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DieseArbeitsmappe"/>
  <mc:AlternateContent xmlns:mc="http://schemas.openxmlformats.org/markup-compatibility/2006">
    <mc:Choice Requires="x15">
      <x15ac:absPath xmlns:x15ac="http://schemas.microsoft.com/office/spreadsheetml/2010/11/ac" url="U:\4_Zertifizierung\41_Dokumente\422_Minergie-P-A\03_Nachweisformular\01_Minergie-Nachweisformular\01_Gültig\"/>
    </mc:Choice>
  </mc:AlternateContent>
  <xr:revisionPtr revIDLastSave="0" documentId="13_ncr:1_{E6554759-98EC-4C38-A63D-DEED7B60FFB0}" xr6:coauthVersionLast="43" xr6:coauthVersionMax="43" xr10:uidLastSave="{00000000-0000-0000-0000-000000000000}"/>
  <bookViews>
    <workbookView xWindow="28680" yWindow="-120" windowWidth="29040" windowHeight="17640" tabRatio="620" xr2:uid="{00000000-000D-0000-FFFF-FFFF00000000}"/>
  </bookViews>
  <sheets>
    <sheet name="Eingaben" sheetId="3" r:id="rId1"/>
    <sheet name="MINERGIE" sheetId="33254" r:id="rId2"/>
    <sheet name="Sommer" sheetId="33255" r:id="rId3"/>
    <sheet name="Nachweis" sheetId="1027" r:id="rId4"/>
    <sheet name="Uebersicht"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Nachweis!$R$8</definedName>
    <definedName name="_gew2">Nachweis!$R$12</definedName>
    <definedName name="_gew3">Nachweis!$R$16</definedName>
    <definedName name="_gew4">Nachweis!$R$20</definedName>
    <definedName name="_gew5">Nachweis!$F$51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Eingaben!$F$83</definedName>
    <definedName name="_Qe2">Eingaben!$G$83</definedName>
    <definedName name="_Qe3">Eingaben!$H$83</definedName>
    <definedName name="_Qe4">Eingaben!$I$83</definedName>
    <definedName name="_Qel1">Eingaben!$F$82</definedName>
    <definedName name="_Qel2">Eingaben!$G$82</definedName>
    <definedName name="_Qel3">Eingaben!$H$82</definedName>
    <definedName name="_Qel4">Eingaben!$I$82</definedName>
    <definedName name="_qh1">Eingaben!$F$89</definedName>
    <definedName name="_qh2">Eingaben!$G$89</definedName>
    <definedName name="_qh3">Eingaben!$H$89</definedName>
    <definedName name="_qh4">Eingaben!$I$89</definedName>
    <definedName name="_qhs1">Eingaben!$F$90</definedName>
    <definedName name="_qhs2">Eingaben!$G$90</definedName>
    <definedName name="_qhs3">Eingaben!$H$90</definedName>
    <definedName name="_qhs4">Eingaben!$I$90</definedName>
    <definedName name="_qw1">Nachweis!$G$35</definedName>
    <definedName name="_qw2">Nachweis!$H$35</definedName>
    <definedName name="_qw3">Nachweis!$I$35</definedName>
    <definedName name="_qw4">Nachweis!$J$35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Eingaben!$F$45</definedName>
    <definedName name="_Vth2">Eingaben!$G$45</definedName>
    <definedName name="_Vth3">Eingaben!$H$45</definedName>
    <definedName name="_Vth4">Eingaben!$I$45</definedName>
    <definedName name="_WRG1">Eingaben!$F$93</definedName>
    <definedName name="_WRG2">Eingaben!$G$93</definedName>
    <definedName name="_WRG3">Eingaben!$H$93</definedName>
    <definedName name="_WRG4">Eingaben!$I$93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Eingaben!$K$85</definedName>
    <definedName name="ACDC1">Standardwerte!$N$25</definedName>
    <definedName name="ACDC2">Standardwerte!$R$25</definedName>
    <definedName name="ACDC3">Standardwerte!$N$29</definedName>
    <definedName name="ACDC4">Standardwerte!$R$29</definedName>
    <definedName name="AEBF">Eingaben!$K$92</definedName>
    <definedName name="AEBF1">Eingaben!$F$92</definedName>
    <definedName name="AEBF2">Eingaben!$G$92</definedName>
    <definedName name="AEBF3">Eingaben!$H$92</definedName>
    <definedName name="AEBF4">Eingaben!$I$92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Nachweis!$J$27</definedName>
    <definedName name="DeckungsgradWW">Nachweis!$L$27</definedName>
    <definedName name="_xlnm.Print_Area" localSheetId="0">Eingaben!$A$1:$K$62</definedName>
    <definedName name="_xlnm.Print_Area" localSheetId="1">MINERGIE!$A$1:$K$73</definedName>
    <definedName name="_xlnm.Print_Area" localSheetId="3">Nachweis!$A$1:$L$84</definedName>
    <definedName name="_xlnm.Print_Area" localSheetId="2">Sommer!$A$1:$M$52</definedName>
    <definedName name="_xlnm.Print_Area" localSheetId="5">Standardwerte!$A$1:$Z$77</definedName>
    <definedName name="_xlnm.Print_Area" localSheetId="4">Uebersicht!$A$1:$K$65</definedName>
    <definedName name="e_1">Standardwerte!$AV$27</definedName>
    <definedName name="e_2">Standardwerte!$AV$28</definedName>
    <definedName name="e_3">Standardwerte!$AV$29</definedName>
    <definedName name="e_4">Standardwerte!$AV$30</definedName>
    <definedName name="E_Qk">Eingaben!$K$84</definedName>
    <definedName name="E_Qk1">Eingaben!$F$84</definedName>
    <definedName name="E_Qk11">Eingaben!$F$79</definedName>
    <definedName name="E_Qk2">Eingaben!$G$84</definedName>
    <definedName name="E_Qk22">Eingaben!$G$79</definedName>
    <definedName name="E_Qk3">Eingaben!$H$84</definedName>
    <definedName name="E_Qk33">Eingaben!$H$79</definedName>
    <definedName name="E_Qk4">Eingaben!$I$84</definedName>
    <definedName name="E_Qk44">Eingaben!$I$79</definedName>
    <definedName name="EBF">Eingaben!$K$19</definedName>
    <definedName name="EBF_MUKEN">Nachweis!$T$2</definedName>
    <definedName name="EBFo">Eingaben!$K$91</definedName>
    <definedName name="EBFo1">Standardwerte!$K$6</definedName>
    <definedName name="EBFo2">Standardwerte!$M$6</definedName>
    <definedName name="EBFo3">Standardwerte!$O$6</definedName>
    <definedName name="EBFo4">Standardwerte!$Q$6</definedName>
    <definedName name="ECAC1">Standardwerte!$T$51:$T$52</definedName>
    <definedName name="ECAC2">Standardwerte!$U$51:$U$52</definedName>
    <definedName name="ECAC3">Standardwerte!$V$51:$V$52</definedName>
    <definedName name="ECAC4">Standardwerte!$W$51:$W$52</definedName>
    <definedName name="EFH">Standardwerte!$BR$3</definedName>
    <definedName name="Einheit">Standardwerte!$Z$47:$Z$48</definedName>
    <definedName name="Einheiten">Standardwerte!$Z$49</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Nachweis!$O$8</definedName>
    <definedName name="EndenergieB">Nachweis!$O$12</definedName>
    <definedName name="EndenergieC">Nachweis!$O$16</definedName>
    <definedName name="EndenergieD">Nachweis!$O$20</definedName>
    <definedName name="EndenergieE">Nachweis!$U$48</definedName>
    <definedName name="Erzeugung">Standardwerte!$T$108:$T$153</definedName>
    <definedName name="f_fr_PV">MINERGIE!$AI$67</definedName>
    <definedName name="F_s1">Eingaben!$F$25</definedName>
    <definedName name="F_s2">Eingaben!$G$25</definedName>
    <definedName name="F_s3">Eingaben!$H$25</definedName>
    <definedName name="F_s4">Eingaben!$I$25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Standardwerte!$R$64</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Eingaben!$F$26</definedName>
    <definedName name="hlicht2">Eingaben!$G$26</definedName>
    <definedName name="hlicht3">Eingaben!$H$26</definedName>
    <definedName name="hlicht4">Eingaben!$I$26</definedName>
    <definedName name="Hoehe">Eingaben!$E$13</definedName>
    <definedName name="Industrienutzung">Standardwerte!$S$22</definedName>
    <definedName name="JaNein">Standardwerte!$AA$47:$AA$48</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Nachweis!$I$58</definedName>
    <definedName name="minergiea">Standardwerte!$BM$33</definedName>
    <definedName name="minergiep">Standardwerte!$BM$28</definedName>
    <definedName name="MUKEN">Nachweis!$Q$2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Eingaben!$C$7</definedName>
    <definedName name="Projekt2">Eingaben!$H$7</definedName>
    <definedName name="Projekt3">Eingaben!$J$7</definedName>
    <definedName name="Projekt4">Eingaben!$C$8</definedName>
    <definedName name="Qe">Eingaben!$K$83</definedName>
    <definedName name="Qe_vollständig">Eingaben!$J$83</definedName>
    <definedName name="qh">Nachweis!$W$2</definedName>
    <definedName name="qh_vollständig">Eingaben!$J$89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Eingaben!$J$90</definedName>
    <definedName name="qw">Nachweis!$L$35</definedName>
    <definedName name="Raum1">Eingaben!$F$32</definedName>
    <definedName name="Raum2">Eingaben!$G$32</definedName>
    <definedName name="Raum3">Eingaben!$H$32</definedName>
    <definedName name="Raum4">Eingaben!$I$32</definedName>
    <definedName name="Reduktion">Standardwerte!$BV$4</definedName>
    <definedName name="REFH">Standardwerte!$BV$3</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Nachweis!$U$47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Eingaben!$K$45</definedName>
    <definedName name="vx">Standardwerte!$P$50</definedName>
    <definedName name="WaermebedarfA">Nachweis!$N$8</definedName>
    <definedName name="WaermebedarfB">Nachweis!$N$12</definedName>
    <definedName name="WaermebedarfC">Nachweis!$N$16</definedName>
    <definedName name="WaermebedarfD">Nachweis!$N$20</definedName>
    <definedName name="WaermebedarfE">Nachweis!$N$24</definedName>
    <definedName name="Waermepumpe">Eingaben!$K$75</definedName>
    <definedName name="Warmwasser">Standardwerte!$N$103</definedName>
    <definedName name="WirkungsgradA">Nachweis!$I$8</definedName>
    <definedName name="WirkungsgradB">Nachweis!$I$12</definedName>
    <definedName name="WirkungsgradC">Nachweis!$I$16</definedName>
    <definedName name="WirkungsgradD">Nachweis!$I$20</definedName>
    <definedName name="wkk">Nachweis!$Q$29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Eingaben!$K$93</definedName>
    <definedName name="WRG_1">Standardwerte!$T$46:$T$49</definedName>
    <definedName name="WRG_2">Standardwerte!$U$46:$U$49</definedName>
    <definedName name="WRG_3">Standardwerte!$V$46:$V$49</definedName>
    <definedName name="WRG_4">Standardwerte!$W$46:$W$49</definedName>
    <definedName name="WRG0">Eingaben!$K$74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Nachweis!$AC$2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Eingaben!$K$64</definedName>
    <definedName name="Zonen_vollständig">Standardwerte!$N$3</definedName>
    <definedName name="Zweckbau">MINERGIE!#REF!</definedName>
    <definedName name="Zweckumbau">MINERGIE!#REF!</definedName>
    <definedName name="Zweckumbau1">MINERGIE!#REF!</definedName>
    <definedName name="Zweckumbau2">MINERGIE!#REF!</definedName>
    <definedName name="Zweckumbau3">MINERGIE!#REF!</definedName>
    <definedName name="Zweckumbau4">MINERGIE!#REF!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33253" l="1"/>
  <c r="B199" i="83" l="1"/>
  <c r="A411" i="33253" l="1"/>
  <c r="A409" i="33253"/>
  <c r="A407" i="33253"/>
  <c r="A405" i="33253"/>
  <c r="A419" i="33253"/>
  <c r="A420" i="33253" s="1"/>
  <c r="A417" i="33253"/>
  <c r="A418" i="33253" s="1"/>
  <c r="A415" i="33253"/>
  <c r="A413" i="33253"/>
  <c r="A414" i="33253" s="1"/>
  <c r="A622" i="33253"/>
  <c r="A623" i="33253" s="1"/>
  <c r="A620" i="33253"/>
  <c r="A621" i="33253" s="1"/>
  <c r="A618" i="33253"/>
  <c r="A616" i="33253"/>
  <c r="A617" i="33253" s="1"/>
  <c r="A427" i="33253" l="1"/>
  <c r="A425" i="33253"/>
  <c r="A423" i="33253"/>
  <c r="A421" i="33253"/>
  <c r="A608" i="33253"/>
  <c r="A609" i="33253" s="1"/>
  <c r="A610" i="33253"/>
  <c r="A611" i="33253" s="1"/>
  <c r="A606" i="33253"/>
  <c r="A607" i="33253" s="1"/>
  <c r="A604" i="33253"/>
  <c r="A445" i="33253" l="1"/>
  <c r="A443" i="33253"/>
  <c r="A441" i="33253"/>
  <c r="A439" i="33253"/>
  <c r="A437" i="33253"/>
  <c r="A460" i="33253"/>
  <c r="A458" i="33253"/>
  <c r="A456" i="33253"/>
  <c r="A454" i="33253"/>
  <c r="A452" i="33253"/>
  <c r="A450" i="33253"/>
  <c r="A448" i="33253"/>
  <c r="A446" i="33253"/>
  <c r="B9" i="33255" l="1"/>
  <c r="B7" i="33255"/>
  <c r="G204" i="83"/>
  <c r="H204" i="83"/>
  <c r="I204" i="83"/>
  <c r="F204" i="83"/>
  <c r="E204" i="83"/>
  <c r="E210" i="83"/>
  <c r="A240"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01" i="83"/>
  <c r="A200" i="83"/>
  <c r="H210" i="83" l="1"/>
  <c r="H26" i="33255" s="1"/>
  <c r="A614" i="33253" s="1"/>
  <c r="G210" i="83"/>
  <c r="H24" i="33255" s="1"/>
  <c r="A613" i="33253" s="1"/>
  <c r="I210" i="83"/>
  <c r="H28" i="33255" s="1"/>
  <c r="A615" i="33253" s="1"/>
  <c r="F210" i="83"/>
  <c r="H22" i="33255" s="1"/>
  <c r="A612" i="33253" s="1"/>
  <c r="T108" i="83" l="1"/>
  <c r="AK155" i="83"/>
  <c r="AK154" i="83"/>
  <c r="A2" i="33253" l="1"/>
  <c r="AI68" i="33254" l="1"/>
  <c r="AH62" i="33254"/>
  <c r="F18" i="33258" l="1"/>
  <c r="E18" i="33258"/>
  <c r="D18" i="33258"/>
  <c r="C18" i="33258"/>
  <c r="C14" i="33258" l="1"/>
  <c r="D12" i="33258"/>
  <c r="E12" i="33258"/>
  <c r="E11" i="33258"/>
  <c r="D11" i="33258"/>
  <c r="D10" i="33258"/>
  <c r="E10" i="33258"/>
  <c r="E9" i="33258"/>
  <c r="D9" i="33258"/>
  <c r="E13" i="33258" l="1"/>
  <c r="D13" i="33258"/>
  <c r="G5" i="33258" l="1"/>
  <c r="D5" i="33258"/>
  <c r="C5" i="33258"/>
  <c r="D4" i="33258"/>
  <c r="C4" i="33258"/>
  <c r="C13" i="33258"/>
  <c r="N39" i="33257" l="1"/>
  <c r="A602" i="33253" l="1"/>
  <c r="A601" i="33253"/>
  <c r="A549" i="33253"/>
  <c r="A547" i="33253"/>
  <c r="A548" i="33253" s="1"/>
  <c r="A545" i="33253"/>
  <c r="A543" i="33253"/>
  <c r="Y145" i="83" l="1"/>
  <c r="Y146" i="83"/>
  <c r="Y147" i="83"/>
  <c r="Y148" i="83"/>
  <c r="Y149" i="83"/>
  <c r="Y144" i="83"/>
  <c r="AT9" i="83" l="1"/>
  <c r="AR9" i="83"/>
  <c r="AQ9" i="83"/>
  <c r="AP9" i="83"/>
  <c r="AO9" i="83"/>
  <c r="AN9" i="83"/>
  <c r="AM9" i="83"/>
  <c r="AL9" i="83"/>
  <c r="AK9" i="83"/>
  <c r="AJ9" i="83"/>
  <c r="AI9" i="83"/>
  <c r="AH9" i="83"/>
  <c r="AF9" i="83"/>
  <c r="BA9" i="83"/>
  <c r="AH22" i="33254"/>
  <c r="AH23" i="33254"/>
  <c r="AH24" i="33254"/>
  <c r="AN9" i="1027"/>
  <c r="AN10" i="1027"/>
  <c r="AN13" i="1027"/>
  <c r="AN14" i="1027"/>
  <c r="AN17" i="1027"/>
  <c r="AN18" i="1027"/>
  <c r="AN21" i="1027"/>
  <c r="AN22" i="1027"/>
  <c r="AN25" i="1027"/>
  <c r="AN27" i="1027"/>
  <c r="U40" i="83" l="1"/>
  <c r="X40" i="83"/>
  <c r="W40" i="83"/>
  <c r="V40" i="83"/>
  <c r="X39" i="83" l="1"/>
  <c r="W39" i="83"/>
  <c r="A506" i="33253" l="1"/>
  <c r="A504" i="33253"/>
  <c r="A505" i="33253" s="1"/>
  <c r="A502" i="33253"/>
  <c r="A500" i="33253"/>
  <c r="A501" i="33253" s="1"/>
  <c r="A498" i="33253"/>
  <c r="F4" i="1" l="1"/>
  <c r="H40" i="33257" l="1"/>
  <c r="AK43" i="1027" l="1"/>
  <c r="AP105" i="83" l="1"/>
  <c r="AK27" i="1027" s="1"/>
  <c r="AP104" i="83" l="1"/>
  <c r="AK39" i="1027" l="1"/>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l="1"/>
  <c r="A3" i="33253" l="1"/>
  <c r="B1" i="33257" s="1"/>
  <c r="A496" i="33253"/>
  <c r="A494" i="33253"/>
  <c r="A495" i="33253" s="1"/>
  <c r="A493" i="33253"/>
  <c r="A490" i="33253"/>
  <c r="A492" i="33253"/>
  <c r="A489" i="33253"/>
  <c r="A491" i="33253"/>
  <c r="A488" i="33253"/>
  <c r="A461" i="33253" l="1"/>
  <c r="A459" i="33253"/>
  <c r="A457" i="33253"/>
  <c r="A455" i="33253"/>
  <c r="A453" i="33253"/>
  <c r="A451" i="33253"/>
  <c r="A447" i="33253"/>
  <c r="A444" i="33253"/>
  <c r="A442" i="33253"/>
  <c r="A440" i="33253"/>
  <c r="A428" i="33253"/>
  <c r="A426" i="33253"/>
  <c r="A422" i="33253"/>
  <c r="A412" i="33253"/>
  <c r="A410" i="33253"/>
  <c r="A406" i="33253"/>
  <c r="A395" i="33253"/>
  <c r="A396" i="33253" s="1"/>
  <c r="A393" i="33253"/>
  <c r="A394" i="33253" s="1"/>
  <c r="A391" i="33253"/>
  <c r="A389" i="33253"/>
  <c r="A390" i="33253" s="1"/>
  <c r="A388" i="33253"/>
  <c r="A386" i="33253"/>
  <c r="A387" i="33253" s="1"/>
  <c r="A384" i="33253"/>
  <c r="A385" i="33253" s="1"/>
  <c r="A382" i="33253"/>
  <c r="A380" i="33253"/>
  <c r="A381" i="33253" s="1"/>
  <c r="A376" i="33253"/>
  <c r="A374" i="33253"/>
  <c r="A370" i="33253"/>
  <c r="A371" i="33253" s="1"/>
  <c r="A368" i="33253"/>
  <c r="A366" i="33253"/>
  <c r="A362" i="33253"/>
  <c r="A358" i="33253"/>
  <c r="A354" i="33253"/>
  <c r="A355" i="33253" s="1"/>
  <c r="A357" i="33253"/>
  <c r="A353" i="33253"/>
  <c r="A350" i="33253"/>
  <c r="A344" i="33253"/>
  <c r="A342" i="33253"/>
  <c r="A341" i="33253"/>
  <c r="A329" i="33253"/>
  <c r="A327" i="33253"/>
  <c r="A328" i="33253" s="1"/>
  <c r="A325" i="33253"/>
  <c r="A323" i="33253"/>
  <c r="A321" i="33253"/>
  <c r="A319" i="33253"/>
  <c r="A317" i="33253"/>
  <c r="A315" i="33253"/>
  <c r="A313" i="33253"/>
  <c r="A311" i="33253"/>
  <c r="A309" i="33253"/>
  <c r="A307" i="33253"/>
  <c r="A305" i="33253"/>
  <c r="A306" i="33253" s="1"/>
  <c r="A303" i="33253"/>
  <c r="A301" i="33253"/>
  <c r="A299" i="33253"/>
  <c r="A297" i="33253"/>
  <c r="A298" i="33253" s="1"/>
  <c r="A295" i="33253"/>
  <c r="A293" i="33253"/>
  <c r="A291" i="33253"/>
  <c r="A289" i="33253"/>
  <c r="A290" i="33253" s="1"/>
  <c r="A287" i="33253"/>
  <c r="A285" i="33253"/>
  <c r="A283" i="33253"/>
  <c r="A275" i="33253"/>
  <c r="A281" i="33253"/>
  <c r="A282" i="33253" s="1"/>
  <c r="A279" i="33253"/>
  <c r="A277" i="33253"/>
  <c r="A273" i="33253"/>
  <c r="A274" i="33253" s="1"/>
  <c r="A271" i="33253"/>
  <c r="A269" i="33253"/>
  <c r="A267" i="33253"/>
  <c r="A265" i="33253"/>
  <c r="A263" i="33253"/>
  <c r="A261" i="33253"/>
  <c r="A259" i="33253"/>
  <c r="A257" i="33253"/>
  <c r="A258" i="33253" s="1"/>
  <c r="A255" i="33253"/>
  <c r="A253" i="33253"/>
  <c r="A251" i="33253"/>
  <c r="A249" i="33253"/>
  <c r="A247" i="33253"/>
  <c r="A245" i="33253"/>
  <c r="A243" i="33253"/>
  <c r="A235" i="33253"/>
  <c r="A233" i="33253"/>
  <c r="A231" i="33253"/>
  <c r="A229" i="33253"/>
  <c r="A227" i="33253"/>
  <c r="A225" i="33253"/>
  <c r="A223" i="33253"/>
  <c r="A137" i="33253"/>
  <c r="A138" i="33253"/>
  <c r="A139" i="33253"/>
  <c r="A140" i="33253"/>
  <c r="A141" i="33253"/>
  <c r="A142" i="33253"/>
  <c r="A143" i="33253"/>
  <c r="A144" i="33253"/>
  <c r="A77" i="33253"/>
  <c r="K64" i="33254" l="1"/>
  <c r="A356" i="33253" s="1"/>
  <c r="F15" i="33254"/>
  <c r="K21" i="33257" l="1"/>
  <c r="H21" i="33257"/>
  <c r="B65" i="33257" l="1"/>
  <c r="C21" i="33257"/>
  <c r="B51" i="83" l="1"/>
  <c r="A18" i="33253" s="1"/>
  <c r="AJ53" i="83"/>
  <c r="G55" i="33254" l="1"/>
  <c r="A343" i="33253" l="1"/>
  <c r="H23" i="33254"/>
  <c r="E24" i="3" l="1"/>
  <c r="B47" i="3"/>
  <c r="F23" i="33254" l="1"/>
  <c r="G23" i="33254"/>
  <c r="I23" i="33254"/>
  <c r="F24" i="33254"/>
  <c r="G24" i="33254"/>
  <c r="H24" i="33254"/>
  <c r="I24" i="33254"/>
  <c r="G15" i="33254"/>
  <c r="H15" i="33254"/>
  <c r="I15" i="33254"/>
  <c r="M137" i="83"/>
  <c r="I92" i="3"/>
  <c r="A120" i="33253" s="1"/>
  <c r="H92" i="3"/>
  <c r="A119" i="33253" s="1"/>
  <c r="G92" i="3"/>
  <c r="A118" i="33253" s="1"/>
  <c r="F92" i="3"/>
  <c r="V14" i="33254" l="1"/>
  <c r="AD13" i="33254"/>
  <c r="A117" i="33253"/>
  <c r="I13" i="33254"/>
  <c r="I12" i="33254"/>
  <c r="F12" i="33254"/>
  <c r="F13" i="33254"/>
  <c r="I20" i="33257" s="1"/>
  <c r="J8" i="33254"/>
  <c r="J7" i="33254"/>
  <c r="H7" i="33254"/>
  <c r="C7" i="33254"/>
  <c r="B73" i="33254"/>
  <c r="B161" i="83" l="1"/>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l="1"/>
  <c r="G4" i="1" l="1"/>
  <c r="A213" i="33253" l="1"/>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79" i="33253"/>
  <c r="A75" i="33253"/>
  <c r="A73" i="33253"/>
  <c r="A71" i="33253"/>
  <c r="A69" i="33253"/>
  <c r="A67" i="33253"/>
  <c r="A66" i="33253"/>
  <c r="A65" i="33253"/>
  <c r="A64" i="33253"/>
  <c r="A63" i="33253"/>
  <c r="A61" i="33253"/>
  <c r="A59" i="33253"/>
  <c r="A57" i="33253"/>
  <c r="A55" i="33253"/>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G91" i="3"/>
  <c r="H91" i="3"/>
  <c r="I91" i="3"/>
  <c r="F91" i="3"/>
  <c r="U37" i="83"/>
  <c r="X37" i="83"/>
  <c r="W37" i="83"/>
  <c r="V37" i="83"/>
  <c r="X42" i="83"/>
  <c r="X41" i="83"/>
  <c r="X38" i="83"/>
  <c r="U42" i="83"/>
  <c r="U41" i="83"/>
  <c r="U39" i="83"/>
  <c r="U38" i="83"/>
  <c r="W42" i="83"/>
  <c r="W41" i="83"/>
  <c r="W38" i="83"/>
  <c r="V42" i="83"/>
  <c r="V41" i="83"/>
  <c r="V39" i="83"/>
  <c r="V38" i="83"/>
  <c r="D567" i="1" l="1"/>
  <c r="AD142" i="83" s="1"/>
  <c r="D566" i="1"/>
  <c r="D565" i="1"/>
  <c r="AD143" i="83" s="1"/>
  <c r="D563" i="1"/>
  <c r="AJ60" i="83" s="1"/>
  <c r="D559" i="1"/>
  <c r="AJ56" i="83" s="1"/>
  <c r="D561" i="1"/>
  <c r="AJ58" i="83" s="1"/>
  <c r="D562" i="1"/>
  <c r="AJ59" i="83" s="1"/>
  <c r="D564" i="1"/>
  <c r="AJ61" i="83" s="1"/>
  <c r="D560" i="1"/>
  <c r="AJ57" i="83" s="1"/>
  <c r="D556" i="1"/>
  <c r="B45" i="33255" s="1"/>
  <c r="D558" i="1"/>
  <c r="B16" i="33255" s="1"/>
  <c r="D557" i="1"/>
  <c r="B47" i="33255" s="1"/>
  <c r="D555" i="1"/>
  <c r="D554" i="1"/>
  <c r="D552" i="1"/>
  <c r="D553" i="1"/>
  <c r="D544" i="1"/>
  <c r="D543" i="1"/>
  <c r="D549" i="1"/>
  <c r="D551" i="1"/>
  <c r="D545" i="1"/>
  <c r="D548" i="1"/>
  <c r="D546" i="1"/>
  <c r="D547" i="1"/>
  <c r="D550" i="1"/>
  <c r="D530" i="1"/>
  <c r="B21" i="33255" s="1"/>
  <c r="D531" i="1"/>
  <c r="D539" i="1"/>
  <c r="B14" i="33255" s="1"/>
  <c r="D532" i="1"/>
  <c r="B23" i="33255" s="1"/>
  <c r="D540" i="1"/>
  <c r="D542" i="1"/>
  <c r="D537" i="1"/>
  <c r="B12" i="33255" s="1"/>
  <c r="D533" i="1"/>
  <c r="B25" i="33255" s="1"/>
  <c r="D541" i="1"/>
  <c r="B36" i="33255" s="1"/>
  <c r="D534" i="1"/>
  <c r="B27" i="33255" s="1"/>
  <c r="D535" i="1"/>
  <c r="B32" i="33255" s="1"/>
  <c r="D536" i="1"/>
  <c r="B35" i="33255" s="1"/>
  <c r="D538" i="1"/>
  <c r="B13" i="33255" s="1"/>
  <c r="D529" i="1"/>
  <c r="D528" i="1"/>
  <c r="D527" i="1"/>
  <c r="D525" i="1"/>
  <c r="W154" i="83" s="1"/>
  <c r="D526" i="1"/>
  <c r="W155" i="83" s="1"/>
  <c r="D522" i="1"/>
  <c r="B26" i="33254" s="1"/>
  <c r="D523" i="1"/>
  <c r="V154" i="83" s="1"/>
  <c r="D524" i="1"/>
  <c r="V155" i="83" s="1"/>
  <c r="A8" i="33253"/>
  <c r="D521" i="1"/>
  <c r="B21" i="33254" s="1"/>
  <c r="D505" i="1"/>
  <c r="A22" i="33258" s="1"/>
  <c r="D507" i="1"/>
  <c r="A24" i="33258" s="1"/>
  <c r="D509" i="1"/>
  <c r="A26" i="33258" s="1"/>
  <c r="D511" i="1"/>
  <c r="A28" i="33258" s="1"/>
  <c r="D513" i="1"/>
  <c r="A30" i="33258" s="1"/>
  <c r="D515" i="1"/>
  <c r="A32" i="33258" s="1"/>
  <c r="D517" i="1"/>
  <c r="A34" i="33258" s="1"/>
  <c r="D519" i="1"/>
  <c r="A36" i="33258" s="1"/>
  <c r="D504" i="1"/>
  <c r="A21" i="33258" s="1"/>
  <c r="D506" i="1"/>
  <c r="A23" i="33258" s="1"/>
  <c r="D508" i="1"/>
  <c r="A25" i="33258" s="1"/>
  <c r="D510" i="1"/>
  <c r="A27" i="33258" s="1"/>
  <c r="D512" i="1"/>
  <c r="A29" i="33258" s="1"/>
  <c r="D514" i="1"/>
  <c r="A31" i="33258" s="1"/>
  <c r="D516" i="1"/>
  <c r="A33" i="33258" s="1"/>
  <c r="D518" i="1"/>
  <c r="A35" i="33258" s="1"/>
  <c r="D520" i="1"/>
  <c r="A37" i="33258" s="1"/>
  <c r="D503" i="1"/>
  <c r="A20" i="33258" s="1"/>
  <c r="D241" i="1"/>
  <c r="V148" i="83" s="1"/>
  <c r="D249" i="1"/>
  <c r="AD122" i="83" s="1"/>
  <c r="AD123" i="83" s="1"/>
  <c r="D190" i="1"/>
  <c r="D160" i="1"/>
  <c r="W112" i="83" s="1"/>
  <c r="D242" i="1"/>
  <c r="V149" i="83" s="1"/>
  <c r="D250" i="1"/>
  <c r="AD138" i="83" s="1"/>
  <c r="AD140" i="83" s="1"/>
  <c r="D191" i="1"/>
  <c r="D161" i="1"/>
  <c r="W113" i="83" s="1"/>
  <c r="D243" i="1"/>
  <c r="V150" i="83" s="1"/>
  <c r="D251" i="1"/>
  <c r="D192" i="1"/>
  <c r="W144" i="83" s="1"/>
  <c r="D244" i="1"/>
  <c r="V151" i="83" s="1"/>
  <c r="D193" i="1"/>
  <c r="W145" i="83" s="1"/>
  <c r="D239" i="1"/>
  <c r="V146" i="83" s="1"/>
  <c r="D188" i="1"/>
  <c r="W140" i="83" s="1"/>
  <c r="D237" i="1"/>
  <c r="V144" i="83" s="1"/>
  <c r="D245" i="1"/>
  <c r="V152" i="83" s="1"/>
  <c r="D220" i="1"/>
  <c r="V127" i="83" s="1"/>
  <c r="D194" i="1"/>
  <c r="W146" i="83" s="1"/>
  <c r="D238" i="1"/>
  <c r="V145" i="83" s="1"/>
  <c r="D246" i="1"/>
  <c r="V153" i="83" s="1"/>
  <c r="D187" i="1"/>
  <c r="W139" i="83" s="1"/>
  <c r="D157" i="1"/>
  <c r="W109" i="83" s="1"/>
  <c r="D240" i="1"/>
  <c r="V147" i="83" s="1"/>
  <c r="D248" i="1"/>
  <c r="D189" i="1"/>
  <c r="D159" i="1"/>
  <c r="W111" i="83" s="1"/>
  <c r="D247" i="1"/>
  <c r="D158" i="1"/>
  <c r="W110" i="83" s="1"/>
  <c r="D22" i="1"/>
  <c r="AA45" i="83" s="1"/>
  <c r="D313" i="1"/>
  <c r="D21" i="1"/>
  <c r="D377" i="1"/>
  <c r="B46" i="33254" s="1"/>
  <c r="D28" i="1"/>
  <c r="D18" i="1"/>
  <c r="D441" i="1"/>
  <c r="M51" i="33257" s="1"/>
  <c r="D27" i="1"/>
  <c r="O12" i="33255" s="1"/>
  <c r="D17" i="1"/>
  <c r="D26" i="1"/>
  <c r="D16" i="1"/>
  <c r="D184" i="1"/>
  <c r="W136" i="83" s="1"/>
  <c r="D25" i="1"/>
  <c r="D15" i="1"/>
  <c r="D89" i="1"/>
  <c r="BC44" i="83" s="1"/>
  <c r="D176" i="1"/>
  <c r="W128" i="83" s="1"/>
  <c r="D24" i="1"/>
  <c r="R12" i="33254" s="1"/>
  <c r="Q13" i="33254" s="1"/>
  <c r="D153" i="1"/>
  <c r="D168" i="1"/>
  <c r="W120" i="83" s="1"/>
  <c r="D23" i="1"/>
  <c r="Q12" i="33254" s="1"/>
  <c r="D9" i="1"/>
  <c r="D73" i="1"/>
  <c r="AF41" i="83" s="1"/>
  <c r="D137" i="1"/>
  <c r="A117" i="83" s="1"/>
  <c r="D233" i="1"/>
  <c r="V140" i="83" s="1"/>
  <c r="D297" i="1"/>
  <c r="D361" i="1"/>
  <c r="B44" i="1027" s="1"/>
  <c r="D425" i="1"/>
  <c r="B18" i="33257" s="1"/>
  <c r="D186" i="1"/>
  <c r="W138" i="83" s="1"/>
  <c r="D178" i="1"/>
  <c r="W130" i="83" s="1"/>
  <c r="D170" i="1"/>
  <c r="W122" i="83" s="1"/>
  <c r="D81" i="1"/>
  <c r="J117" i="83" s="1"/>
  <c r="D145" i="1"/>
  <c r="A125" i="83" s="1"/>
  <c r="D305" i="1"/>
  <c r="D369" i="1"/>
  <c r="B36" i="33254" s="1"/>
  <c r="W89" i="83" s="1"/>
  <c r="D433" i="1"/>
  <c r="B38" i="33257" s="1"/>
  <c r="D185" i="1"/>
  <c r="W137" i="83" s="1"/>
  <c r="T140" i="83" s="1"/>
  <c r="D177" i="1"/>
  <c r="W129" i="83" s="1"/>
  <c r="D169" i="1"/>
  <c r="W121" i="83" s="1"/>
  <c r="D33" i="1"/>
  <c r="D97" i="1"/>
  <c r="O39" i="83" s="1"/>
  <c r="T28" i="83" s="1"/>
  <c r="D257" i="1"/>
  <c r="H6" i="1027" s="1"/>
  <c r="D321" i="1"/>
  <c r="D385" i="1"/>
  <c r="D62" i="33254" s="1"/>
  <c r="D449" i="1"/>
  <c r="M62" i="33257" s="1"/>
  <c r="D183" i="1"/>
  <c r="W135" i="83" s="1"/>
  <c r="D175" i="1"/>
  <c r="W127" i="83" s="1"/>
  <c r="D167" i="1"/>
  <c r="W119" i="83" s="1"/>
  <c r="D41" i="1"/>
  <c r="D105" i="1"/>
  <c r="N58" i="83" s="1"/>
  <c r="L58" i="83" s="1"/>
  <c r="D201" i="1"/>
  <c r="W153" i="83" s="1"/>
  <c r="D265" i="1"/>
  <c r="J7" i="1027" s="1"/>
  <c r="G46" i="1027" s="1"/>
  <c r="D329" i="1"/>
  <c r="B19" i="33255" s="1"/>
  <c r="D393" i="1"/>
  <c r="D457" i="1"/>
  <c r="H58" i="33254" s="1"/>
  <c r="D182" i="1"/>
  <c r="W134" i="83" s="1"/>
  <c r="D174" i="1"/>
  <c r="W126" i="83" s="1"/>
  <c r="D166" i="1"/>
  <c r="W118" i="83" s="1"/>
  <c r="D49" i="1"/>
  <c r="D113" i="1"/>
  <c r="D209" i="1"/>
  <c r="V116" i="83" s="1"/>
  <c r="D273" i="1"/>
  <c r="D337" i="1"/>
  <c r="B29" i="33255" s="1"/>
  <c r="D401" i="1"/>
  <c r="D489" i="1"/>
  <c r="A1" i="33258" s="1"/>
  <c r="D181" i="1"/>
  <c r="W133" i="83" s="1"/>
  <c r="D173" i="1"/>
  <c r="W125" i="83" s="1"/>
  <c r="D165" i="1"/>
  <c r="W117" i="83" s="1"/>
  <c r="D57" i="1"/>
  <c r="D121" i="1"/>
  <c r="A101" i="83" s="1"/>
  <c r="D217" i="1"/>
  <c r="V124" i="83" s="1"/>
  <c r="D281" i="1"/>
  <c r="B46" i="1027" s="1"/>
  <c r="D345" i="1"/>
  <c r="B42" i="33255" s="1"/>
  <c r="D409" i="1"/>
  <c r="B50" i="33254" s="1"/>
  <c r="D196" i="1"/>
  <c r="W148" i="83" s="1"/>
  <c r="D180" i="1"/>
  <c r="W132" i="83" s="1"/>
  <c r="D172" i="1"/>
  <c r="W124" i="83" s="1"/>
  <c r="D164" i="1"/>
  <c r="W116" i="83" s="1"/>
  <c r="T116" i="83" s="1"/>
  <c r="D65" i="1"/>
  <c r="D129" i="1"/>
  <c r="A109" i="83" s="1"/>
  <c r="D225" i="1"/>
  <c r="V132" i="83" s="1"/>
  <c r="D289" i="1"/>
  <c r="B52" i="1027" s="1"/>
  <c r="D353" i="1"/>
  <c r="Q15" i="33255" s="1"/>
  <c r="D417" i="1"/>
  <c r="D195" i="1"/>
  <c r="W147" i="83" s="1"/>
  <c r="D179" i="1"/>
  <c r="W131" i="83" s="1"/>
  <c r="D171" i="1"/>
  <c r="W123" i="83" s="1"/>
  <c r="D163" i="1"/>
  <c r="D30" i="1"/>
  <c r="D8" i="1"/>
  <c r="D32" i="1"/>
  <c r="D40" i="1"/>
  <c r="D48" i="1"/>
  <c r="D56" i="1"/>
  <c r="B43" i="3" s="1"/>
  <c r="D64" i="1"/>
  <c r="D72" i="1"/>
  <c r="AF40" i="83" s="1"/>
  <c r="D80" i="1"/>
  <c r="J116" i="83" s="1"/>
  <c r="D88" i="1"/>
  <c r="BC43" i="83" s="1"/>
  <c r="D96" i="1"/>
  <c r="O38" i="83" s="1"/>
  <c r="T27" i="83" s="1"/>
  <c r="D104" i="1"/>
  <c r="N57" i="83" s="1"/>
  <c r="L57" i="83" s="1"/>
  <c r="D112" i="1"/>
  <c r="D120" i="1"/>
  <c r="A100" i="83" s="1"/>
  <c r="D128" i="1"/>
  <c r="A108" i="83" s="1"/>
  <c r="D136" i="1"/>
  <c r="A116" i="83" s="1"/>
  <c r="D144" i="1"/>
  <c r="A124" i="83" s="1"/>
  <c r="D152" i="1"/>
  <c r="D200" i="1"/>
  <c r="W152" i="83" s="1"/>
  <c r="D208" i="1"/>
  <c r="V115" i="83" s="1"/>
  <c r="D216" i="1"/>
  <c r="V123" i="83" s="1"/>
  <c r="D224" i="1"/>
  <c r="V131" i="83" s="1"/>
  <c r="D232" i="1"/>
  <c r="V139" i="83" s="1"/>
  <c r="D256" i="1"/>
  <c r="B6" i="1027" s="1"/>
  <c r="D264" i="1"/>
  <c r="I7" i="1027" s="1"/>
  <c r="G54" i="33254" s="1"/>
  <c r="I54" i="33254" s="1"/>
  <c r="K50" i="33254" s="1"/>
  <c r="D272" i="1"/>
  <c r="L29" i="1027" s="1"/>
  <c r="D280" i="1"/>
  <c r="B45" i="1027" s="1"/>
  <c r="D288" i="1"/>
  <c r="L45" i="1027" s="1"/>
  <c r="D296" i="1"/>
  <c r="D304" i="1"/>
  <c r="C64" i="1027" s="1"/>
  <c r="D312" i="1"/>
  <c r="D320" i="1"/>
  <c r="D328" i="1"/>
  <c r="B18" i="33255" s="1"/>
  <c r="D336" i="1"/>
  <c r="D344" i="1"/>
  <c r="D352" i="1"/>
  <c r="Q14" i="33255" s="1"/>
  <c r="D360" i="1"/>
  <c r="D368" i="1"/>
  <c r="B35" i="33254" s="1"/>
  <c r="W88" i="83" s="1"/>
  <c r="D376" i="1"/>
  <c r="G3" i="33257" s="1"/>
  <c r="D384" i="1"/>
  <c r="B62" i="33254" s="1"/>
  <c r="D392" i="1"/>
  <c r="AF8" i="83" s="1"/>
  <c r="D400" i="1"/>
  <c r="D408" i="1"/>
  <c r="D416" i="1"/>
  <c r="D424" i="1"/>
  <c r="B14" i="33257" s="1"/>
  <c r="D432" i="1"/>
  <c r="B37" i="33257" s="1"/>
  <c r="D440" i="1"/>
  <c r="M49" i="33257" s="1"/>
  <c r="P47" i="33257" s="1"/>
  <c r="D448" i="1"/>
  <c r="D456" i="1"/>
  <c r="G58" i="33254" s="1"/>
  <c r="D464" i="1"/>
  <c r="B42" i="33257" s="1"/>
  <c r="D472" i="1"/>
  <c r="M65" i="33257" s="1"/>
  <c r="E45" i="33257" s="1"/>
  <c r="D480" i="1"/>
  <c r="D488" i="1"/>
  <c r="K61" i="33257" s="1"/>
  <c r="D496" i="1"/>
  <c r="A11" i="33258" s="1"/>
  <c r="D465" i="1"/>
  <c r="D473" i="1"/>
  <c r="M56" i="33257" s="1"/>
  <c r="D481" i="1"/>
  <c r="D497" i="1"/>
  <c r="A12" i="33258" s="1"/>
  <c r="D10" i="1"/>
  <c r="G21" i="33257" s="1"/>
  <c r="D34" i="1"/>
  <c r="D42" i="1"/>
  <c r="D50" i="1"/>
  <c r="D66" i="1"/>
  <c r="D74" i="1"/>
  <c r="D82" i="1"/>
  <c r="BC37" i="83" s="1"/>
  <c r="D90" i="1"/>
  <c r="BC45" i="83" s="1"/>
  <c r="BD45" i="83" s="1"/>
  <c r="BE45" i="83" s="1"/>
  <c r="D98" i="1"/>
  <c r="O40" i="83" s="1"/>
  <c r="T29" i="83" s="1"/>
  <c r="D106" i="1"/>
  <c r="N59" i="83" s="1"/>
  <c r="L59" i="83" s="1"/>
  <c r="D114" i="1"/>
  <c r="D122" i="1"/>
  <c r="A102" i="83" s="1"/>
  <c r="D130" i="1"/>
  <c r="A110" i="83" s="1"/>
  <c r="D138" i="1"/>
  <c r="A118" i="83" s="1"/>
  <c r="D146" i="1"/>
  <c r="D154" i="1"/>
  <c r="D162" i="1"/>
  <c r="W114" i="83" s="1"/>
  <c r="D202" i="1"/>
  <c r="D210" i="1"/>
  <c r="V117" i="83" s="1"/>
  <c r="D218" i="1"/>
  <c r="V125" i="83" s="1"/>
  <c r="D226" i="1"/>
  <c r="V133" i="83" s="1"/>
  <c r="D234" i="1"/>
  <c r="D258" i="1"/>
  <c r="J6" i="1027" s="1"/>
  <c r="D266" i="1"/>
  <c r="L7" i="1027" s="1"/>
  <c r="H46" i="1027" s="1"/>
  <c r="D274" i="1"/>
  <c r="D282" i="1"/>
  <c r="E46" i="1027" s="1"/>
  <c r="D290" i="1"/>
  <c r="D298" i="1"/>
  <c r="D306" i="1"/>
  <c r="D314" i="1"/>
  <c r="D322" i="1"/>
  <c r="B10" i="33255" s="1"/>
  <c r="D330" i="1"/>
  <c r="D338" i="1"/>
  <c r="B30" i="33255" s="1"/>
  <c r="D346" i="1"/>
  <c r="D354" i="1"/>
  <c r="D362" i="1"/>
  <c r="B19" i="33254" s="1"/>
  <c r="D370" i="1"/>
  <c r="B37" i="33254" s="1"/>
  <c r="W90" i="83" s="1"/>
  <c r="D378" i="1"/>
  <c r="B47" i="33254" s="1"/>
  <c r="D386" i="1"/>
  <c r="D394" i="1"/>
  <c r="AF10" i="83" s="1"/>
  <c r="D402" i="1"/>
  <c r="D410" i="1"/>
  <c r="B25" i="33254" s="1"/>
  <c r="D418" i="1"/>
  <c r="B20" i="33257" s="1"/>
  <c r="D426" i="1"/>
  <c r="D18" i="33257" s="1"/>
  <c r="D434" i="1"/>
  <c r="B39" i="33257" s="1"/>
  <c r="D442" i="1"/>
  <c r="M52" i="33257" s="1"/>
  <c r="M60" i="33257" s="1"/>
  <c r="D450" i="1"/>
  <c r="M61" i="33257" s="1"/>
  <c r="D458" i="1"/>
  <c r="D466" i="1"/>
  <c r="D474" i="1"/>
  <c r="D482" i="1"/>
  <c r="D490" i="1"/>
  <c r="C3" i="33258" s="1"/>
  <c r="D498" i="1"/>
  <c r="A14" i="33258" s="1"/>
  <c r="D11" i="1"/>
  <c r="D19" i="1"/>
  <c r="AJ55" i="83" s="1"/>
  <c r="D35" i="1"/>
  <c r="D43" i="1"/>
  <c r="D51" i="1"/>
  <c r="D59" i="1"/>
  <c r="D67" i="1"/>
  <c r="D75" i="1"/>
  <c r="D83" i="1"/>
  <c r="BC38" i="83" s="1"/>
  <c r="D91" i="1"/>
  <c r="BC46" i="83" s="1"/>
  <c r="BD46" i="83" s="1"/>
  <c r="BE46" i="83" s="1"/>
  <c r="D99" i="1"/>
  <c r="O41" i="83" s="1"/>
  <c r="T30" i="83" s="1"/>
  <c r="D107" i="1"/>
  <c r="D115" i="1"/>
  <c r="D123" i="1"/>
  <c r="A103" i="83" s="1"/>
  <c r="D131" i="1"/>
  <c r="D139" i="1"/>
  <c r="A119" i="83" s="1"/>
  <c r="D147" i="1"/>
  <c r="D155" i="1"/>
  <c r="D203" i="1"/>
  <c r="D211" i="1"/>
  <c r="V118" i="83" s="1"/>
  <c r="D219" i="1"/>
  <c r="V126" i="83" s="1"/>
  <c r="D227" i="1"/>
  <c r="V134" i="83" s="1"/>
  <c r="D235" i="1"/>
  <c r="D259" i="1"/>
  <c r="B7" i="1027" s="1"/>
  <c r="D267" i="1"/>
  <c r="B23" i="1027" s="1"/>
  <c r="D275" i="1"/>
  <c r="B35" i="1027" s="1"/>
  <c r="D283" i="1"/>
  <c r="F45" i="1027" s="1"/>
  <c r="D291" i="1"/>
  <c r="D299" i="1"/>
  <c r="D307" i="1"/>
  <c r="B60" i="1027" s="1"/>
  <c r="D315" i="1"/>
  <c r="D323" i="1"/>
  <c r="B11" i="33255" s="1"/>
  <c r="D331" i="1"/>
  <c r="D339" i="1"/>
  <c r="D347" i="1"/>
  <c r="D355" i="1"/>
  <c r="D363" i="1"/>
  <c r="B20" i="33254" s="1"/>
  <c r="D371" i="1"/>
  <c r="B38" i="33254" s="1"/>
  <c r="W91" i="83" s="1"/>
  <c r="D379" i="1"/>
  <c r="D387" i="1"/>
  <c r="D395" i="1"/>
  <c r="D403" i="1"/>
  <c r="BA12" i="83" s="1"/>
  <c r="D411" i="1"/>
  <c r="D419" i="1"/>
  <c r="B9" i="33257" s="1"/>
  <c r="D427" i="1"/>
  <c r="H18" i="33257" s="1"/>
  <c r="D435" i="1"/>
  <c r="B44" i="33257" s="1"/>
  <c r="D443" i="1"/>
  <c r="M46" i="33257" s="1"/>
  <c r="P44" i="33257" s="1"/>
  <c r="D451" i="1"/>
  <c r="D459" i="1"/>
  <c r="D467" i="1"/>
  <c r="B17" i="33254" s="1"/>
  <c r="D475" i="1"/>
  <c r="G56" i="33254" s="1"/>
  <c r="D483" i="1"/>
  <c r="D491" i="1"/>
  <c r="A4" i="33258" s="1"/>
  <c r="D499" i="1"/>
  <c r="A16" i="33258" s="1"/>
  <c r="D4" i="1"/>
  <c r="D12" i="1"/>
  <c r="D20" i="1"/>
  <c r="D36" i="1"/>
  <c r="D44" i="1"/>
  <c r="D52" i="1"/>
  <c r="D60" i="1"/>
  <c r="D68" i="1"/>
  <c r="D76" i="1"/>
  <c r="D84" i="1"/>
  <c r="BC39" i="83" s="1"/>
  <c r="D92" i="1"/>
  <c r="BC47" i="83" s="1"/>
  <c r="D100" i="1"/>
  <c r="O42" i="83" s="1"/>
  <c r="T31" i="83" s="1"/>
  <c r="D108" i="1"/>
  <c r="D116" i="1"/>
  <c r="D124" i="1"/>
  <c r="A104" i="83" s="1"/>
  <c r="D132" i="1"/>
  <c r="A112" i="83" s="1"/>
  <c r="D140" i="1"/>
  <c r="A120" i="83" s="1"/>
  <c r="D148" i="1"/>
  <c r="D156" i="1"/>
  <c r="D204" i="1"/>
  <c r="V111" i="83" s="1"/>
  <c r="D212" i="1"/>
  <c r="V119" i="83" s="1"/>
  <c r="D228" i="1"/>
  <c r="V135" i="83" s="1"/>
  <c r="D236" i="1"/>
  <c r="D252" i="1"/>
  <c r="AE138" i="83" s="1"/>
  <c r="D260" i="1"/>
  <c r="B11" i="1027" s="1"/>
  <c r="D268" i="1"/>
  <c r="B25" i="1027" s="1"/>
  <c r="D276" i="1"/>
  <c r="B39" i="1027" s="1"/>
  <c r="D284" i="1"/>
  <c r="G45" i="1027" s="1"/>
  <c r="D292" i="1"/>
  <c r="B54" i="1027" s="1"/>
  <c r="D300" i="1"/>
  <c r="B51" i="1027" s="1"/>
  <c r="D308" i="1"/>
  <c r="AF42" i="83" s="1"/>
  <c r="D316" i="1"/>
  <c r="D324" i="1"/>
  <c r="D332" i="1"/>
  <c r="D340" i="1"/>
  <c r="D348" i="1"/>
  <c r="B48" i="33255" s="1"/>
  <c r="D356" i="1"/>
  <c r="D364" i="1"/>
  <c r="B30" i="33254" s="1"/>
  <c r="D372" i="1"/>
  <c r="B39" i="33254" s="1"/>
  <c r="W92" i="83" s="1"/>
  <c r="D380" i="1"/>
  <c r="D388" i="1"/>
  <c r="D396" i="1"/>
  <c r="AF12" i="83" s="1"/>
  <c r="D404" i="1"/>
  <c r="D412" i="1"/>
  <c r="B44" i="33254" s="1"/>
  <c r="D420" i="1"/>
  <c r="B10" i="33257" s="1"/>
  <c r="D428" i="1"/>
  <c r="B28" i="33257" s="1"/>
  <c r="D436" i="1"/>
  <c r="M43" i="33257" s="1"/>
  <c r="P41" i="33257" s="1"/>
  <c r="D444" i="1"/>
  <c r="M53" i="33257" s="1"/>
  <c r="D452" i="1"/>
  <c r="B57" i="33254" s="1"/>
  <c r="B40" i="33257" s="1"/>
  <c r="D460" i="1"/>
  <c r="D468" i="1"/>
  <c r="B18" i="33254" s="1"/>
  <c r="D476" i="1"/>
  <c r="I56" i="33254" s="1"/>
  <c r="D484" i="1"/>
  <c r="D492" i="1"/>
  <c r="A5" i="33258" s="1"/>
  <c r="D500" i="1"/>
  <c r="A17" i="33258" s="1"/>
  <c r="D5" i="1"/>
  <c r="D13" i="1"/>
  <c r="D29" i="1"/>
  <c r="D37" i="1"/>
  <c r="D45" i="1"/>
  <c r="D53" i="1"/>
  <c r="D61" i="1"/>
  <c r="D69" i="1"/>
  <c r="D77" i="1"/>
  <c r="D85" i="1"/>
  <c r="BC40" i="83" s="1"/>
  <c r="D93" i="1"/>
  <c r="BC48" i="83" s="1"/>
  <c r="BD48" i="83" s="1"/>
  <c r="D101" i="1"/>
  <c r="O43" i="83" s="1"/>
  <c r="T32" i="83" s="1"/>
  <c r="D109" i="1"/>
  <c r="D117" i="1"/>
  <c r="D125" i="1"/>
  <c r="A105" i="83" s="1"/>
  <c r="D133" i="1"/>
  <c r="A113" i="83" s="1"/>
  <c r="D141" i="1"/>
  <c r="A121" i="83" s="1"/>
  <c r="D149" i="1"/>
  <c r="D197" i="1"/>
  <c r="W149" i="83" s="1"/>
  <c r="T146" i="83" s="1"/>
  <c r="D205" i="1"/>
  <c r="V112" i="83" s="1"/>
  <c r="D213" i="1"/>
  <c r="V120" i="83" s="1"/>
  <c r="D221" i="1"/>
  <c r="V128" i="83" s="1"/>
  <c r="D229" i="1"/>
  <c r="V136" i="83" s="1"/>
  <c r="D253" i="1"/>
  <c r="D261" i="1"/>
  <c r="B15" i="1027" s="1"/>
  <c r="D269" i="1"/>
  <c r="B27" i="1027" s="1"/>
  <c r="D277" i="1"/>
  <c r="D285" i="1"/>
  <c r="I45" i="1027" s="1"/>
  <c r="D293" i="1"/>
  <c r="B56" i="1027" s="1"/>
  <c r="D301" i="1"/>
  <c r="B61" i="1027" s="1"/>
  <c r="D309" i="1"/>
  <c r="D317" i="1"/>
  <c r="D325" i="1"/>
  <c r="D333" i="1"/>
  <c r="D341" i="1"/>
  <c r="D349" i="1"/>
  <c r="B52" i="33255" s="1"/>
  <c r="D357" i="1"/>
  <c r="B23" i="3" s="1"/>
  <c r="D365" i="1"/>
  <c r="B32" i="33254" s="1"/>
  <c r="D373" i="1"/>
  <c r="B40" i="33254" s="1"/>
  <c r="W93" i="83" s="1"/>
  <c r="D381" i="1"/>
  <c r="D389" i="1"/>
  <c r="AF6" i="83" s="1"/>
  <c r="D397" i="1"/>
  <c r="D405" i="1"/>
  <c r="D413" i="1"/>
  <c r="G53" i="33254" s="1"/>
  <c r="D421" i="1"/>
  <c r="B11" i="33257" s="1"/>
  <c r="D429" i="1"/>
  <c r="B35" i="33257" s="1"/>
  <c r="D437" i="1"/>
  <c r="M44" i="33257" s="1"/>
  <c r="P42" i="33257" s="1"/>
  <c r="D445" i="1"/>
  <c r="M54" i="33257" s="1"/>
  <c r="D453" i="1"/>
  <c r="D461" i="1"/>
  <c r="D469" i="1"/>
  <c r="D477" i="1"/>
  <c r="M67" i="33257" s="1"/>
  <c r="B45" i="33257" s="1"/>
  <c r="D485" i="1"/>
  <c r="D493" i="1"/>
  <c r="A8" i="33258" s="1"/>
  <c r="D501" i="1"/>
  <c r="A18" i="33258" s="1"/>
  <c r="D6" i="1"/>
  <c r="G2" i="3" s="1"/>
  <c r="H2" i="1027" s="1"/>
  <c r="D14" i="1"/>
  <c r="D38" i="1"/>
  <c r="D46" i="1"/>
  <c r="D54" i="1"/>
  <c r="D62" i="1"/>
  <c r="D70" i="1"/>
  <c r="D78" i="1"/>
  <c r="J114" i="83" s="1"/>
  <c r="D86" i="1"/>
  <c r="BC41" i="83" s="1"/>
  <c r="D94" i="1"/>
  <c r="O36" i="83" s="1"/>
  <c r="D102" i="1"/>
  <c r="N55" i="83" s="1"/>
  <c r="D110" i="1"/>
  <c r="D118" i="1"/>
  <c r="A98" i="83" s="1"/>
  <c r="D126" i="1"/>
  <c r="A106" i="83" s="1"/>
  <c r="D134" i="1"/>
  <c r="A114" i="83" s="1"/>
  <c r="D142" i="1"/>
  <c r="A122" i="83" s="1"/>
  <c r="D150" i="1"/>
  <c r="D198" i="1"/>
  <c r="W150" i="83" s="1"/>
  <c r="T150" i="83" s="1"/>
  <c r="D206" i="1"/>
  <c r="V113" i="83" s="1"/>
  <c r="D214" i="1"/>
  <c r="V121" i="83" s="1"/>
  <c r="D222" i="1"/>
  <c r="V129" i="83" s="1"/>
  <c r="D230" i="1"/>
  <c r="V137" i="83" s="1"/>
  <c r="D254" i="1"/>
  <c r="AB47" i="83" s="1"/>
  <c r="D262" i="1"/>
  <c r="B19" i="1027" s="1"/>
  <c r="D270" i="1"/>
  <c r="I27" i="1027" s="1"/>
  <c r="D278" i="1"/>
  <c r="D286" i="1"/>
  <c r="I46" i="1027" s="1"/>
  <c r="D294" i="1"/>
  <c r="F29" i="33257" s="1"/>
  <c r="D302" i="1"/>
  <c r="I61" i="1027" s="1"/>
  <c r="D310" i="1"/>
  <c r="D318" i="1"/>
  <c r="G2" i="33257" s="1"/>
  <c r="D326" i="1"/>
  <c r="D334" i="1"/>
  <c r="D342" i="1"/>
  <c r="B33" i="33255" s="1"/>
  <c r="D350" i="1"/>
  <c r="Q12" i="33255" s="1"/>
  <c r="A383" i="33253" s="1"/>
  <c r="D358" i="1"/>
  <c r="D366" i="1"/>
  <c r="B33" i="33254" s="1"/>
  <c r="W86" i="83" s="1"/>
  <c r="D374" i="1"/>
  <c r="B43" i="33254" s="1"/>
  <c r="D382" i="1"/>
  <c r="B55" i="33254" s="1"/>
  <c r="D390" i="1"/>
  <c r="AF7" i="83" s="1"/>
  <c r="D398" i="1"/>
  <c r="D406" i="1"/>
  <c r="D414" i="1"/>
  <c r="B56" i="33254" s="1"/>
  <c r="D422" i="1"/>
  <c r="B12" i="33257" s="1"/>
  <c r="D430" i="1"/>
  <c r="B30" i="33257" s="1"/>
  <c r="D438" i="1"/>
  <c r="M47" i="33257" s="1"/>
  <c r="P45" i="33257" s="1"/>
  <c r="D446" i="1"/>
  <c r="M42" i="33257" s="1"/>
  <c r="D454" i="1"/>
  <c r="D462" i="1"/>
  <c r="F31" i="33257" s="1"/>
  <c r="D470" i="1"/>
  <c r="M45" i="33257" s="1"/>
  <c r="P43" i="33257" s="1"/>
  <c r="D478" i="1"/>
  <c r="B59" i="1027" s="1"/>
  <c r="D486" i="1"/>
  <c r="D494" i="1"/>
  <c r="A9" i="33258" s="1"/>
  <c r="D502" i="1"/>
  <c r="A19" i="33258" s="1"/>
  <c r="D7" i="1"/>
  <c r="G3" i="3" s="1"/>
  <c r="H3" i="1027" s="1"/>
  <c r="D31" i="1"/>
  <c r="D39" i="1"/>
  <c r="D47" i="1"/>
  <c r="D55" i="1"/>
  <c r="D63" i="1"/>
  <c r="D71" i="1"/>
  <c r="D79" i="1"/>
  <c r="J115" i="83" s="1"/>
  <c r="D87" i="1"/>
  <c r="BC42" i="83" s="1"/>
  <c r="D95" i="1"/>
  <c r="O37" i="83" s="1"/>
  <c r="T26" i="83" s="1"/>
  <c r="D103" i="1"/>
  <c r="N56" i="83" s="1"/>
  <c r="L56" i="83" s="1"/>
  <c r="D111" i="1"/>
  <c r="D119" i="1"/>
  <c r="A99" i="83" s="1"/>
  <c r="D127" i="1"/>
  <c r="A107" i="83" s="1"/>
  <c r="D135" i="1"/>
  <c r="A115" i="83" s="1"/>
  <c r="D143" i="1"/>
  <c r="A123" i="83" s="1"/>
  <c r="D151" i="1"/>
  <c r="D199" i="1"/>
  <c r="W151" i="83" s="1"/>
  <c r="D207" i="1"/>
  <c r="V114" i="83" s="1"/>
  <c r="D215" i="1"/>
  <c r="V122" i="83" s="1"/>
  <c r="D223" i="1"/>
  <c r="V130" i="83" s="1"/>
  <c r="D231" i="1"/>
  <c r="V138" i="83" s="1"/>
  <c r="D255" i="1"/>
  <c r="AB48" i="83" s="1"/>
  <c r="D263" i="1"/>
  <c r="H7" i="1027" s="1"/>
  <c r="H54" i="33254" s="1"/>
  <c r="J54" i="33254" s="1"/>
  <c r="D271" i="1"/>
  <c r="B29" i="1027" s="1"/>
  <c r="D279" i="1"/>
  <c r="D287" i="1"/>
  <c r="J46" i="1027" s="1"/>
  <c r="D295" i="1"/>
  <c r="H29" i="33257" s="1"/>
  <c r="D303" i="1"/>
  <c r="C63" i="1027" s="1"/>
  <c r="D311" i="1"/>
  <c r="D319" i="1"/>
  <c r="D327" i="1"/>
  <c r="B15" i="33255" s="1"/>
  <c r="D335" i="1"/>
  <c r="D343" i="1"/>
  <c r="D351" i="1"/>
  <c r="Q13" i="33255" s="1"/>
  <c r="D359" i="1"/>
  <c r="D367" i="1"/>
  <c r="B34" i="33254" s="1"/>
  <c r="W87" i="83" s="1"/>
  <c r="D375" i="1"/>
  <c r="D391" i="1"/>
  <c r="B41" i="33254" s="1"/>
  <c r="W94" i="83" s="1"/>
  <c r="D399" i="1"/>
  <c r="BA8" i="83" s="1"/>
  <c r="D407" i="1"/>
  <c r="D415" i="1"/>
  <c r="D423" i="1"/>
  <c r="B13" i="33257" s="1"/>
  <c r="D431" i="1"/>
  <c r="B31" i="33257" s="1"/>
  <c r="D439" i="1"/>
  <c r="M48" i="33257" s="1"/>
  <c r="D447" i="1"/>
  <c r="M58" i="33257" s="1"/>
  <c r="D455" i="1"/>
  <c r="B59" i="33254" s="1"/>
  <c r="D463" i="1"/>
  <c r="B53" i="33254" s="1"/>
  <c r="D471" i="1"/>
  <c r="M63" i="33257" s="1"/>
  <c r="H45" i="33257" s="1"/>
  <c r="D479" i="1"/>
  <c r="D487" i="1"/>
  <c r="K59" i="33257" s="1"/>
  <c r="D495" i="1"/>
  <c r="A10" i="33258" s="1"/>
  <c r="T114" i="83" l="1"/>
  <c r="T120" i="83"/>
  <c r="T148" i="83"/>
  <c r="T137" i="83"/>
  <c r="T139" i="83"/>
  <c r="T134" i="83"/>
  <c r="T138" i="83"/>
  <c r="T147" i="83"/>
  <c r="T127" i="83"/>
  <c r="T119" i="83"/>
  <c r="AJ63" i="83"/>
  <c r="AK64" i="83" s="1"/>
  <c r="A630" i="33253" s="1"/>
  <c r="AE142" i="83"/>
  <c r="AE143" i="83"/>
  <c r="T144" i="83"/>
  <c r="T130" i="83"/>
  <c r="W143" i="83"/>
  <c r="T155" i="83" s="1"/>
  <c r="V143" i="83"/>
  <c r="W142" i="83"/>
  <c r="T154" i="83" s="1"/>
  <c r="V142" i="83"/>
  <c r="T128" i="83"/>
  <c r="T136" i="83"/>
  <c r="T131" i="83"/>
  <c r="T143" i="83"/>
  <c r="V141" i="83"/>
  <c r="W141" i="83"/>
  <c r="T135" i="83" s="1"/>
  <c r="T121" i="83"/>
  <c r="T129" i="83"/>
  <c r="T122" i="83"/>
  <c r="T153" i="83"/>
  <c r="M50" i="33258" s="1"/>
  <c r="T117" i="83"/>
  <c r="T123" i="83"/>
  <c r="T113" i="83"/>
  <c r="T152" i="83"/>
  <c r="M49" i="33258" s="1"/>
  <c r="T145" i="83"/>
  <c r="T151" i="83"/>
  <c r="T118" i="83"/>
  <c r="T109" i="83"/>
  <c r="T149" i="83"/>
  <c r="T110" i="83"/>
  <c r="T112" i="83"/>
  <c r="T126" i="83"/>
  <c r="T124" i="83"/>
  <c r="T125" i="83"/>
  <c r="T111" i="83"/>
  <c r="T141" i="83"/>
  <c r="T132" i="83"/>
  <c r="T133" i="83"/>
  <c r="B22" i="33255"/>
  <c r="B26" i="33255"/>
  <c r="B28" i="33255"/>
  <c r="B24" i="33255"/>
  <c r="B41" i="33257"/>
  <c r="H2" i="33255"/>
  <c r="C46" i="33255"/>
  <c r="C34" i="33255"/>
  <c r="P19" i="33255"/>
  <c r="O19" i="33255"/>
  <c r="Q19" i="33255"/>
  <c r="R19" i="33255"/>
  <c r="O53" i="33254"/>
  <c r="O51" i="33254" s="1"/>
  <c r="O63" i="33254" s="1"/>
  <c r="O13" i="33255"/>
  <c r="Q25" i="33255" s="1"/>
  <c r="O32" i="33255"/>
  <c r="O33" i="33255"/>
  <c r="O14" i="33255"/>
  <c r="P14" i="33255" s="1"/>
  <c r="P12" i="33255"/>
  <c r="T27" i="33255"/>
  <c r="W25" i="33255"/>
  <c r="U21" i="33255"/>
  <c r="T23" i="33255"/>
  <c r="U23" i="33255"/>
  <c r="V25" i="33255"/>
  <c r="U27" i="33255"/>
  <c r="V23" i="33255"/>
  <c r="V27" i="33255"/>
  <c r="W27" i="33255"/>
  <c r="W23" i="33255"/>
  <c r="T25" i="33255"/>
  <c r="W21" i="33255"/>
  <c r="U25" i="33255"/>
  <c r="V21" i="33255"/>
  <c r="T21" i="33255"/>
  <c r="R53" i="33254"/>
  <c r="R51" i="33254" s="1"/>
  <c r="R63" i="33254" s="1"/>
  <c r="Q53" i="33254"/>
  <c r="Q51" i="33254" s="1"/>
  <c r="Q63" i="33254" s="1"/>
  <c r="P53" i="33254"/>
  <c r="P51" i="33254" s="1"/>
  <c r="P63" i="33254" s="1"/>
  <c r="V110" i="83"/>
  <c r="V109" i="83"/>
  <c r="B22" i="33254"/>
  <c r="K55" i="33257"/>
  <c r="K57" i="33257"/>
  <c r="K53" i="33257"/>
  <c r="K51" i="33257"/>
  <c r="K49" i="33257"/>
  <c r="K47" i="33257"/>
  <c r="K45" i="33257"/>
  <c r="R50" i="33254"/>
  <c r="Q50" i="33254"/>
  <c r="P50" i="33254"/>
  <c r="O50" i="33254"/>
  <c r="R29" i="83"/>
  <c r="B49" i="33254"/>
  <c r="B48" i="33254"/>
  <c r="G20" i="33257"/>
  <c r="E13" i="33254"/>
  <c r="A62" i="33253"/>
  <c r="A82" i="33253"/>
  <c r="A76" i="33253"/>
  <c r="A32" i="33253"/>
  <c r="A58" i="33253"/>
  <c r="A30" i="33253"/>
  <c r="A78" i="33253"/>
  <c r="A48" i="33253"/>
  <c r="A56" i="33253"/>
  <c r="A28" i="33253"/>
  <c r="A52" i="33253"/>
  <c r="A60" i="33253"/>
  <c r="A54" i="33253"/>
  <c r="A34" i="33253"/>
  <c r="A80" i="33253"/>
  <c r="A50" i="33253"/>
  <c r="N29" i="83"/>
  <c r="T58" i="83"/>
  <c r="T57" i="83"/>
  <c r="N12" i="33254"/>
  <c r="I62" i="33254"/>
  <c r="H57" i="33254"/>
  <c r="I56" i="1027"/>
  <c r="H36" i="33257"/>
  <c r="L56" i="1027"/>
  <c r="K36" i="33257"/>
  <c r="K29" i="33257"/>
  <c r="G56" i="1027"/>
  <c r="F36" i="33257"/>
  <c r="A111" i="83"/>
  <c r="K1" i="33257"/>
  <c r="Q2" i="1027"/>
  <c r="B1" i="3" s="1"/>
  <c r="O12" i="33254"/>
  <c r="N13" i="33254" s="1"/>
  <c r="N35" i="1027"/>
  <c r="R25" i="83"/>
  <c r="T56" i="83"/>
  <c r="BA10" i="83"/>
  <c r="G2" i="33254"/>
  <c r="G3" i="33254"/>
  <c r="I53" i="33254"/>
  <c r="D383" i="1"/>
  <c r="B27" i="3"/>
  <c r="B35" i="3"/>
  <c r="T25" i="83"/>
  <c r="Q36" i="83"/>
  <c r="Q38" i="83"/>
  <c r="Q37" i="83"/>
  <c r="B13" i="3"/>
  <c r="B12" i="33254"/>
  <c r="K1" i="3"/>
  <c r="M1" i="33255" s="1"/>
  <c r="K1" i="33254"/>
  <c r="B41" i="3"/>
  <c r="H14" i="3"/>
  <c r="H13" i="33254"/>
  <c r="D13" i="3"/>
  <c r="E12" i="33254"/>
  <c r="B28" i="3"/>
  <c r="B51" i="3"/>
  <c r="B46" i="3"/>
  <c r="B42" i="3"/>
  <c r="B30" i="3"/>
  <c r="B44" i="3"/>
  <c r="B16" i="3"/>
  <c r="B15" i="33254" s="1"/>
  <c r="B29" i="3"/>
  <c r="G13" i="3"/>
  <c r="G12" i="33254"/>
  <c r="B52" i="3"/>
  <c r="I8" i="3"/>
  <c r="B38" i="3"/>
  <c r="K16" i="3"/>
  <c r="K15" i="33254"/>
  <c r="K32" i="33254" s="1"/>
  <c r="B60" i="3"/>
  <c r="G7" i="3"/>
  <c r="B17" i="3"/>
  <c r="B40" i="3"/>
  <c r="B57" i="3"/>
  <c r="D14" i="3"/>
  <c r="B34" i="3"/>
  <c r="B21" i="3"/>
  <c r="B24" i="33254" s="1"/>
  <c r="C60" i="3"/>
  <c r="B48" i="3"/>
  <c r="B55" i="3"/>
  <c r="B14" i="3"/>
  <c r="B13" i="33254"/>
  <c r="G49" i="3"/>
  <c r="B39" i="3"/>
  <c r="F60" i="3"/>
  <c r="C48" i="3"/>
  <c r="K15" i="3"/>
  <c r="K29" i="3" s="1"/>
  <c r="K14" i="33254"/>
  <c r="B31" i="3"/>
  <c r="B37" i="3"/>
  <c r="B15" i="3"/>
  <c r="E29" i="3" s="1"/>
  <c r="B14" i="33254"/>
  <c r="E32" i="33254" s="1"/>
  <c r="G48" i="3"/>
  <c r="H13" i="3"/>
  <c r="H12" i="33254"/>
  <c r="B19" i="3"/>
  <c r="B23" i="33254" s="1"/>
  <c r="N25" i="83"/>
  <c r="AB50" i="83"/>
  <c r="AB52" i="83"/>
  <c r="AB51" i="83"/>
  <c r="AB49" i="83"/>
  <c r="Q35" i="83"/>
  <c r="AD118" i="83"/>
  <c r="B24" i="3"/>
  <c r="B90" i="3"/>
  <c r="AA47" i="83"/>
  <c r="R41" i="83" s="1"/>
  <c r="O2" i="1027"/>
  <c r="N59" i="1027" s="1"/>
  <c r="N60" i="1027" s="1"/>
  <c r="AA48" i="83"/>
  <c r="Q42" i="83" s="1"/>
  <c r="O3" i="1027"/>
  <c r="AD139" i="83"/>
  <c r="AE140" i="83"/>
  <c r="AE139" i="83"/>
  <c r="W115" i="83"/>
  <c r="T115" i="83" s="1"/>
  <c r="L55" i="83"/>
  <c r="A74" i="33253" s="1"/>
  <c r="T55" i="83"/>
  <c r="Z49" i="83"/>
  <c r="AK63" i="83" l="1"/>
  <c r="BN28" i="83" s="1"/>
  <c r="T142" i="83"/>
  <c r="M16" i="1027" s="1"/>
  <c r="B18" i="1027" s="1"/>
  <c r="B1" i="1027"/>
  <c r="B1" i="33254"/>
  <c r="B1" i="33255"/>
  <c r="AM72" i="83"/>
  <c r="AM80" i="83"/>
  <c r="AL77" i="83"/>
  <c r="AL82" i="83"/>
  <c r="AM78" i="83"/>
  <c r="AM73" i="83"/>
  <c r="AM81" i="83"/>
  <c r="AL78" i="83"/>
  <c r="AL74" i="83"/>
  <c r="AL83" i="83"/>
  <c r="AL76" i="83"/>
  <c r="AM74" i="83"/>
  <c r="AM82" i="83"/>
  <c r="AL79" i="83"/>
  <c r="AM77" i="83"/>
  <c r="AL75" i="83"/>
  <c r="AL72" i="83"/>
  <c r="AM75" i="83"/>
  <c r="AM83" i="83"/>
  <c r="AL80" i="83"/>
  <c r="AM76" i="83"/>
  <c r="AL73" i="83"/>
  <c r="AL81" i="83"/>
  <c r="AM79" i="83"/>
  <c r="J52" i="83"/>
  <c r="J45" i="83"/>
  <c r="J18" i="83"/>
  <c r="J14" i="83"/>
  <c r="J16" i="83"/>
  <c r="K13" i="83"/>
  <c r="K15" i="83"/>
  <c r="J20" i="83"/>
  <c r="J19" i="83"/>
  <c r="K11" i="83"/>
  <c r="J13" i="83"/>
  <c r="J17" i="83"/>
  <c r="K14" i="83"/>
  <c r="K20" i="83"/>
  <c r="K16" i="83"/>
  <c r="J10" i="83"/>
  <c r="J12" i="83"/>
  <c r="K21" i="83"/>
  <c r="J11" i="83"/>
  <c r="K17" i="83"/>
  <c r="K19" i="83"/>
  <c r="J21" i="83"/>
  <c r="K12" i="83"/>
  <c r="J15" i="83"/>
  <c r="K18" i="83"/>
  <c r="K10" i="83"/>
  <c r="A619" i="33253"/>
  <c r="A424" i="33253"/>
  <c r="A416" i="33253"/>
  <c r="P27" i="33255"/>
  <c r="P25" i="33255"/>
  <c r="O21" i="33255"/>
  <c r="R23" i="33255"/>
  <c r="R27" i="33255"/>
  <c r="O23" i="33255"/>
  <c r="R21" i="33255"/>
  <c r="P21" i="33255"/>
  <c r="Q23" i="33255"/>
  <c r="R25" i="33255"/>
  <c r="Q21" i="33255"/>
  <c r="P23" i="33255"/>
  <c r="O25" i="33255"/>
  <c r="P35" i="33255"/>
  <c r="O35" i="33255"/>
  <c r="Q50" i="33255"/>
  <c r="R50" i="33255"/>
  <c r="O36" i="33255"/>
  <c r="R48" i="33255"/>
  <c r="R49" i="33255"/>
  <c r="P47" i="33255"/>
  <c r="U36" i="33255"/>
  <c r="O48" i="33255"/>
  <c r="W35" i="33255"/>
  <c r="R47" i="33255"/>
  <c r="R36" i="33255"/>
  <c r="P49" i="33255"/>
  <c r="V35" i="33255"/>
  <c r="O50" i="33255"/>
  <c r="V36" i="33255"/>
  <c r="W36" i="33255"/>
  <c r="Q48" i="33255"/>
  <c r="O49" i="33255"/>
  <c r="T36" i="33255"/>
  <c r="Q35" i="33255"/>
  <c r="Q47" i="33255"/>
  <c r="P48" i="33255"/>
  <c r="Q49" i="33255"/>
  <c r="P36" i="33255"/>
  <c r="R35" i="33255"/>
  <c r="T35" i="33255"/>
  <c r="P50" i="33255"/>
  <c r="Q36" i="33255"/>
  <c r="U35" i="33255"/>
  <c r="O47" i="33255"/>
  <c r="P13" i="33255"/>
  <c r="A438" i="33253" s="1"/>
  <c r="O27" i="33255"/>
  <c r="Q27" i="33255"/>
  <c r="S63" i="33254"/>
  <c r="A550" i="33253"/>
  <c r="A330" i="33253"/>
  <c r="A322" i="33253"/>
  <c r="A544" i="33253"/>
  <c r="A546" i="33253"/>
  <c r="A266" i="33253"/>
  <c r="A250" i="33253"/>
  <c r="M8" i="1027"/>
  <c r="M20" i="1027"/>
  <c r="F22" i="1027" s="1"/>
  <c r="M12" i="1027"/>
  <c r="AF13" i="1027" s="1"/>
  <c r="A499" i="33253"/>
  <c r="A375" i="33253"/>
  <c r="A449" i="33253"/>
  <c r="A377" i="33253"/>
  <c r="A369" i="33253"/>
  <c r="A359" i="33253"/>
  <c r="A503" i="33253"/>
  <c r="A314" i="33253"/>
  <c r="A326" i="33253"/>
  <c r="A318" i="33253"/>
  <c r="A248" i="33253"/>
  <c r="A280" i="33253"/>
  <c r="A256" i="33253"/>
  <c r="A264" i="33253"/>
  <c r="A296" i="33253"/>
  <c r="A288" i="33253"/>
  <c r="A304" i="33253"/>
  <c r="A272" i="33253"/>
  <c r="A310" i="33253"/>
  <c r="P17" i="33254"/>
  <c r="Q17" i="33254"/>
  <c r="R17" i="33254"/>
  <c r="O17" i="33254"/>
  <c r="A230" i="33253"/>
  <c r="P41" i="33254"/>
  <c r="D34" i="33258" s="1"/>
  <c r="R41" i="33254"/>
  <c r="F34" i="33258" s="1"/>
  <c r="A300" i="33253"/>
  <c r="A284" i="33253"/>
  <c r="A276" i="33253"/>
  <c r="A292" i="33253"/>
  <c r="A268" i="33253"/>
  <c r="A244" i="33253"/>
  <c r="A260" i="33253"/>
  <c r="A252" i="33253"/>
  <c r="A236" i="33253"/>
  <c r="A302" i="33253"/>
  <c r="A324" i="33253"/>
  <c r="A224" i="33253"/>
  <c r="A367" i="33253"/>
  <c r="A316" i="33253"/>
  <c r="A320" i="33253"/>
  <c r="A363" i="33253"/>
  <c r="A246" i="33253"/>
  <c r="A351" i="33253"/>
  <c r="A262" i="33253"/>
  <c r="A278" i="33253"/>
  <c r="A226" i="33253"/>
  <c r="A270" i="33253"/>
  <c r="A312" i="33253"/>
  <c r="A254" i="33253"/>
  <c r="A232" i="33253"/>
  <c r="A294" i="33253"/>
  <c r="A234" i="33253"/>
  <c r="A286" i="33253"/>
  <c r="A308" i="33253"/>
  <c r="A228" i="33253"/>
  <c r="A214" i="33253"/>
  <c r="A70" i="33253"/>
  <c r="A72" i="33253"/>
  <c r="A68" i="33253"/>
  <c r="P22" i="33254"/>
  <c r="B58" i="1027"/>
  <c r="B43" i="1027"/>
  <c r="BA11" i="83"/>
  <c r="O42" i="33254"/>
  <c r="R22" i="33254"/>
  <c r="AF11" i="83"/>
  <c r="Q22" i="33254"/>
  <c r="Q35" i="33254" s="1"/>
  <c r="E28" i="33258" s="1"/>
  <c r="O22" i="33254"/>
  <c r="AD12" i="33254" s="1"/>
  <c r="N62" i="83"/>
  <c r="H93" i="3" s="1"/>
  <c r="M62" i="83"/>
  <c r="N63" i="83"/>
  <c r="I93" i="3" s="1"/>
  <c r="M63" i="83"/>
  <c r="G4" i="3"/>
  <c r="H4" i="1027" s="1"/>
  <c r="I7" i="3"/>
  <c r="I7" i="33254" s="1"/>
  <c r="B3" i="3"/>
  <c r="U3" i="83"/>
  <c r="B3" i="1027"/>
  <c r="C3" i="1027"/>
  <c r="B22" i="33257"/>
  <c r="I21" i="33257"/>
  <c r="B8" i="3"/>
  <c r="B8" i="33254" s="1"/>
  <c r="B21" i="33257"/>
  <c r="B7" i="3"/>
  <c r="B7" i="33254" s="1"/>
  <c r="C3" i="3"/>
  <c r="M61" i="83"/>
  <c r="N61" i="83"/>
  <c r="G93" i="3" s="1"/>
  <c r="G7" i="33254"/>
  <c r="U48" i="83"/>
  <c r="U49" i="83"/>
  <c r="U47" i="83"/>
  <c r="V47" i="83"/>
  <c r="V49" i="83"/>
  <c r="V48" i="83"/>
  <c r="W47" i="83"/>
  <c r="W48" i="83"/>
  <c r="W49" i="83"/>
  <c r="T49" i="83"/>
  <c r="T47" i="83"/>
  <c r="T48" i="83"/>
  <c r="AD152" i="83"/>
  <c r="AD151" i="83"/>
  <c r="AD153" i="83"/>
  <c r="G90" i="3"/>
  <c r="H90" i="3"/>
  <c r="A115" i="33253" s="1"/>
  <c r="I90" i="3"/>
  <c r="A116" i="33253" s="1"/>
  <c r="F90" i="3"/>
  <c r="G89" i="3"/>
  <c r="A108" i="33253"/>
  <c r="AK40" i="83"/>
  <c r="K88" i="83"/>
  <c r="K96" i="83"/>
  <c r="J25" i="83"/>
  <c r="K95" i="83"/>
  <c r="J90" i="83"/>
  <c r="J85" i="83"/>
  <c r="J94" i="83"/>
  <c r="K86" i="83"/>
  <c r="K92" i="83"/>
  <c r="J86" i="83"/>
  <c r="J87" i="83"/>
  <c r="J91" i="83"/>
  <c r="J88" i="83"/>
  <c r="Q41" i="83"/>
  <c r="K85" i="83"/>
  <c r="J93" i="83"/>
  <c r="AM40" i="83"/>
  <c r="K89" i="83"/>
  <c r="K94" i="83"/>
  <c r="AI40" i="83"/>
  <c r="J95" i="83"/>
  <c r="R42" i="83"/>
  <c r="J92" i="83"/>
  <c r="J26" i="83"/>
  <c r="K93" i="83"/>
  <c r="J96" i="83"/>
  <c r="AG40" i="83"/>
  <c r="K90" i="83"/>
  <c r="K87" i="83"/>
  <c r="K91" i="83"/>
  <c r="J89" i="83"/>
  <c r="N60" i="83"/>
  <c r="M60" i="83"/>
  <c r="H89" i="3"/>
  <c r="I89" i="3"/>
  <c r="F89" i="3"/>
  <c r="B62" i="3"/>
  <c r="B84" i="1027"/>
  <c r="L1" i="1027"/>
  <c r="BM33" i="83" l="1"/>
  <c r="R29" i="33255" s="1"/>
  <c r="BM28" i="83"/>
  <c r="A6" i="33253"/>
  <c r="A5" i="33253" s="1"/>
  <c r="S16" i="1027"/>
  <c r="AK16" i="1027"/>
  <c r="AF59" i="33254"/>
  <c r="AC16" i="1027"/>
  <c r="C11" i="33258"/>
  <c r="F17" i="1027"/>
  <c r="AN16" i="1027"/>
  <c r="A130" i="33253"/>
  <c r="F18" i="1027"/>
  <c r="R16" i="1027"/>
  <c r="B17" i="1027"/>
  <c r="AF17" i="1027"/>
  <c r="U16" i="1027"/>
  <c r="M17" i="1027"/>
  <c r="T16" i="1027"/>
  <c r="F10" i="1027"/>
  <c r="AF9" i="1027"/>
  <c r="F14" i="1027"/>
  <c r="AF21" i="1027"/>
  <c r="AE15" i="1027"/>
  <c r="F9" i="1027"/>
  <c r="F13" i="1027"/>
  <c r="F21" i="1027"/>
  <c r="AE21" i="1027" s="1"/>
  <c r="A392" i="33253"/>
  <c r="A408" i="33253"/>
  <c r="A605" i="33253"/>
  <c r="W42" i="33255"/>
  <c r="P42" i="33255"/>
  <c r="R51" i="33255"/>
  <c r="R42" i="33255"/>
  <c r="U29" i="33255"/>
  <c r="U30" i="33255" s="1"/>
  <c r="P29" i="33255"/>
  <c r="O29" i="33255"/>
  <c r="O42" i="33255"/>
  <c r="O51" i="33255"/>
  <c r="P51" i="33255"/>
  <c r="U42" i="33255"/>
  <c r="Q51" i="33255"/>
  <c r="V42" i="33255"/>
  <c r="I33" i="33255"/>
  <c r="Q42" i="33255"/>
  <c r="T42" i="33255"/>
  <c r="M13" i="1027"/>
  <c r="AC12" i="1027"/>
  <c r="T12" i="1027"/>
  <c r="AE59" i="33254"/>
  <c r="AN12" i="1027"/>
  <c r="U12" i="1027"/>
  <c r="B14" i="1027"/>
  <c r="S12" i="1027"/>
  <c r="R12" i="1027"/>
  <c r="B13" i="1027"/>
  <c r="AK12" i="1027"/>
  <c r="A128" i="33253"/>
  <c r="C10" i="33258"/>
  <c r="T8" i="1027"/>
  <c r="AK8" i="1027"/>
  <c r="S8" i="1027"/>
  <c r="AD59" i="33254"/>
  <c r="AN8" i="1027"/>
  <c r="A126" i="33253"/>
  <c r="R8" i="1027"/>
  <c r="U8" i="1027"/>
  <c r="M9" i="1027"/>
  <c r="C9" i="33258"/>
  <c r="B9" i="1027"/>
  <c r="AC8" i="1027"/>
  <c r="B10" i="1027"/>
  <c r="A132" i="33253"/>
  <c r="U20" i="1027"/>
  <c r="B21" i="1027"/>
  <c r="AC20" i="1027"/>
  <c r="AN20" i="1027"/>
  <c r="S20" i="1027"/>
  <c r="R20" i="1027"/>
  <c r="T20" i="1027"/>
  <c r="AK20" i="1027"/>
  <c r="M21" i="1027"/>
  <c r="B22" i="1027"/>
  <c r="AG59" i="33254"/>
  <c r="C12" i="33258"/>
  <c r="Q38" i="33254"/>
  <c r="E31" i="33258" s="1"/>
  <c r="Q37" i="33254"/>
  <c r="E30" i="33258" s="1"/>
  <c r="Q39" i="33254"/>
  <c r="E32" i="33258" s="1"/>
  <c r="Q36" i="33254"/>
  <c r="E29" i="33258" s="1"/>
  <c r="Q40" i="33254"/>
  <c r="E33" i="33258" s="1"/>
  <c r="Q34" i="33254"/>
  <c r="E27" i="33258" s="1"/>
  <c r="Q41" i="33254"/>
  <c r="E34" i="33258" s="1"/>
  <c r="AF12" i="33254"/>
  <c r="AD14" i="33254"/>
  <c r="P35" i="33254"/>
  <c r="D28" i="33258" s="1"/>
  <c r="AE12" i="33254"/>
  <c r="R38" i="33254"/>
  <c r="F31" i="33258" s="1"/>
  <c r="AG12" i="33254"/>
  <c r="O41" i="33254"/>
  <c r="C34" i="33258" s="1"/>
  <c r="A113" i="33253"/>
  <c r="O34" i="33254"/>
  <c r="C27" i="33258" s="1"/>
  <c r="O36" i="33254"/>
  <c r="C29" i="33258" s="1"/>
  <c r="O35" i="33254"/>
  <c r="C28" i="33258" s="1"/>
  <c r="O39" i="33254"/>
  <c r="C32" i="33258" s="1"/>
  <c r="O37" i="33254"/>
  <c r="C30" i="33258" s="1"/>
  <c r="O38" i="33254"/>
  <c r="C31" i="33258" s="1"/>
  <c r="O40" i="33254"/>
  <c r="C33" i="33258" s="1"/>
  <c r="A114" i="33253"/>
  <c r="P37" i="33254"/>
  <c r="D30" i="33258" s="1"/>
  <c r="P34" i="33254"/>
  <c r="D27" i="33258" s="1"/>
  <c r="P40" i="33254"/>
  <c r="D33" i="33258" s="1"/>
  <c r="P39" i="33254"/>
  <c r="D32" i="33258" s="1"/>
  <c r="P38" i="33254"/>
  <c r="D31" i="33258" s="1"/>
  <c r="P36" i="33254"/>
  <c r="D29" i="33258" s="1"/>
  <c r="X58" i="33254"/>
  <c r="W58" i="33254"/>
  <c r="W67" i="33254"/>
  <c r="W59" i="33254" s="1"/>
  <c r="A109" i="33253"/>
  <c r="A110" i="33253"/>
  <c r="R34" i="33254"/>
  <c r="F27" i="33258" s="1"/>
  <c r="X67" i="33254"/>
  <c r="X59" i="33254" s="1"/>
  <c r="R36" i="33254"/>
  <c r="F29" i="33258" s="1"/>
  <c r="R37" i="33254"/>
  <c r="F30" i="33258" s="1"/>
  <c r="R39" i="33254"/>
  <c r="F32" i="33258" s="1"/>
  <c r="R35" i="33254"/>
  <c r="F28" i="33258" s="1"/>
  <c r="Y67" i="33254"/>
  <c r="Y59" i="33254" s="1"/>
  <c r="R40" i="33254"/>
  <c r="F33" i="33258" s="1"/>
  <c r="Y58" i="33254"/>
  <c r="V58" i="33254"/>
  <c r="V67" i="33254"/>
  <c r="A112" i="33253"/>
  <c r="A111" i="33253"/>
  <c r="AC93" i="83"/>
  <c r="F93" i="3"/>
  <c r="G51" i="1027"/>
  <c r="Q29" i="33255" l="1"/>
  <c r="B43" i="33257"/>
  <c r="BA6" i="83"/>
  <c r="V29" i="33255"/>
  <c r="V30" i="33255" s="1"/>
  <c r="AA93" i="83"/>
  <c r="Z36" i="33254"/>
  <c r="A603" i="33253" s="1"/>
  <c r="T29" i="33255"/>
  <c r="T30" i="33255" s="1"/>
  <c r="O30" i="33255" s="1"/>
  <c r="W29" i="33255"/>
  <c r="W30" i="33255" s="1"/>
  <c r="R30" i="33255" s="1"/>
  <c r="AB93" i="83"/>
  <c r="V16" i="1027"/>
  <c r="W16" i="1027"/>
  <c r="W12" i="1027"/>
  <c r="V12" i="1027"/>
  <c r="W8" i="1027"/>
  <c r="V8" i="1027"/>
  <c r="W20" i="1027"/>
  <c r="V20" i="1027"/>
  <c r="P30" i="33255"/>
  <c r="G26" i="33254"/>
  <c r="F26" i="33254"/>
  <c r="H26" i="33254"/>
  <c r="I26" i="33254"/>
  <c r="W68" i="33254"/>
  <c r="Y68" i="33254"/>
  <c r="X68" i="33254"/>
  <c r="Z67" i="33254"/>
  <c r="Z58" i="33254"/>
  <c r="V59" i="33254"/>
  <c r="Z59" i="33254" s="1"/>
  <c r="V68" i="33254"/>
  <c r="A172" i="33253"/>
  <c r="J118" i="83"/>
  <c r="A84" i="33253" s="1"/>
  <c r="Q30" i="33255" l="1"/>
  <c r="W48" i="33255" s="1"/>
  <c r="V48" i="33255"/>
  <c r="V47" i="33255"/>
  <c r="A625" i="33253" s="1"/>
  <c r="O52" i="33255"/>
  <c r="I52" i="33255" s="1"/>
  <c r="U47" i="33255"/>
  <c r="A624" i="33253" s="1"/>
  <c r="U48" i="33255"/>
  <c r="R52" i="33255"/>
  <c r="L52" i="33255" s="1"/>
  <c r="X47" i="33255"/>
  <c r="A627" i="33253" s="1"/>
  <c r="W47" i="33255"/>
  <c r="A626" i="33253" s="1"/>
  <c r="X48" i="33255"/>
  <c r="P52" i="33255"/>
  <c r="J52" i="33255" s="1"/>
  <c r="Q52" i="33255"/>
  <c r="K52" i="33255" s="1"/>
  <c r="Z68" i="33254"/>
  <c r="E92" i="3"/>
  <c r="D90" i="3"/>
  <c r="B80" i="3"/>
  <c r="BO72" i="83"/>
  <c r="BO73" i="83" s="1"/>
  <c r="BP72" i="83"/>
  <c r="BP73" i="83" s="1"/>
  <c r="J33" i="1027"/>
  <c r="BQ72" i="83"/>
  <c r="BQ73" i="83" s="1"/>
  <c r="G33" i="1027"/>
  <c r="H33" i="1027"/>
  <c r="I33" i="1027"/>
  <c r="Z1" i="83"/>
  <c r="BC5" i="83"/>
  <c r="BC6" i="83"/>
  <c r="BC7" i="83"/>
  <c r="BC8" i="83"/>
  <c r="BC9" i="83"/>
  <c r="BC10" i="83"/>
  <c r="BC11" i="83"/>
  <c r="BC12" i="83"/>
  <c r="BC13" i="83"/>
  <c r="BC14" i="83"/>
  <c r="BC15" i="83"/>
  <c r="BC16" i="83"/>
  <c r="BC17" i="83"/>
  <c r="BC18" i="83"/>
  <c r="BC19" i="83"/>
  <c r="BC20" i="83"/>
  <c r="BC21" i="83"/>
  <c r="BC22" i="83"/>
  <c r="AE23" i="83"/>
  <c r="AI23" i="83"/>
  <c r="BC23" i="83"/>
  <c r="AI24" i="83"/>
  <c r="BC24" i="83"/>
  <c r="AI25" i="83"/>
  <c r="BC25" i="83"/>
  <c r="BC26" i="83"/>
  <c r="BC27" i="83"/>
  <c r="BC28" i="83"/>
  <c r="BK28" i="83"/>
  <c r="BC29" i="83"/>
  <c r="BC30" i="83"/>
  <c r="BC31" i="83"/>
  <c r="BC32" i="83"/>
  <c r="O35" i="83"/>
  <c r="BD37" i="83"/>
  <c r="BE37" i="83" s="1"/>
  <c r="BD38" i="83"/>
  <c r="BE38" i="83" s="1"/>
  <c r="BD39" i="83"/>
  <c r="BE39" i="83" s="1"/>
  <c r="BD40" i="83"/>
  <c r="BE40" i="83" s="1"/>
  <c r="BD41" i="83"/>
  <c r="BE41" i="83" s="1"/>
  <c r="BD42" i="83"/>
  <c r="BE42" i="83" s="1"/>
  <c r="BD43" i="83"/>
  <c r="BE43" i="83" s="1"/>
  <c r="L44" i="83"/>
  <c r="BD44" i="83"/>
  <c r="BE44" i="83" s="1"/>
  <c r="L45" i="83"/>
  <c r="L46" i="83"/>
  <c r="BD47" i="83"/>
  <c r="BE47" i="83" s="1"/>
  <c r="R85" i="83"/>
  <c r="R86" i="83"/>
  <c r="R87" i="83"/>
  <c r="R88" i="83"/>
  <c r="R89" i="83"/>
  <c r="R90" i="83"/>
  <c r="R91" i="83"/>
  <c r="R92" i="83"/>
  <c r="R93" i="83"/>
  <c r="R94" i="83"/>
  <c r="R95" i="83"/>
  <c r="K114" i="83"/>
  <c r="K115" i="83"/>
  <c r="L115" i="83" s="1"/>
  <c r="M115" i="83" s="1"/>
  <c r="K116" i="83"/>
  <c r="L116" i="83" s="1"/>
  <c r="M116" i="83" s="1"/>
  <c r="K117" i="83"/>
  <c r="L117" i="83" s="1"/>
  <c r="M117" i="83" s="1"/>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l="1"/>
  <c r="BN73" i="83" s="1"/>
  <c r="BL32" i="83"/>
  <c r="L114" i="83"/>
  <c r="K118" i="83"/>
  <c r="A86" i="33253" s="1"/>
  <c r="AG26" i="83"/>
  <c r="AG25" i="83"/>
  <c r="AG24" i="83"/>
  <c r="AG23" i="83"/>
  <c r="R45" i="83"/>
  <c r="Q45" i="83" s="1"/>
  <c r="AE67" i="83" s="1"/>
  <c r="R46" i="83"/>
  <c r="Q46" i="83" s="1"/>
  <c r="R43" i="83"/>
  <c r="Q43" i="83" s="1"/>
  <c r="R44" i="83"/>
  <c r="Q44" i="83" s="1"/>
  <c r="BB33" i="83"/>
  <c r="G79" i="3"/>
  <c r="F79" i="3"/>
  <c r="I79" i="3"/>
  <c r="H79" i="3"/>
  <c r="AE68" i="83" l="1"/>
  <c r="AE66" i="83"/>
  <c r="C19" i="33258"/>
  <c r="AE65" i="83"/>
  <c r="A44" i="33253"/>
  <c r="E19" i="33258"/>
  <c r="A42" i="33253"/>
  <c r="D19" i="33258"/>
  <c r="A46" i="33253"/>
  <c r="F19" i="33258"/>
  <c r="A40" i="33253"/>
  <c r="A16" i="33253"/>
  <c r="AZ158" i="83"/>
  <c r="BB158" i="83"/>
  <c r="BA158" i="83"/>
  <c r="BC158" i="83"/>
  <c r="B53" i="1027"/>
  <c r="S44" i="83"/>
  <c r="H31" i="1027" s="1"/>
  <c r="S43" i="83"/>
  <c r="R97" i="83" s="1"/>
  <c r="S45" i="83"/>
  <c r="I31" i="1027" s="1"/>
  <c r="B40" i="1027"/>
  <c r="B34" i="1027"/>
  <c r="AB14" i="1027"/>
  <c r="AB13" i="1027" s="1"/>
  <c r="AB22" i="1027"/>
  <c r="AB21" i="1027" s="1"/>
  <c r="AB10" i="1027"/>
  <c r="AB9" i="1027" s="1"/>
  <c r="AB18" i="1027"/>
  <c r="AB17" i="1027" s="1"/>
  <c r="F19" i="83"/>
  <c r="CM158" i="83"/>
  <c r="CA158" i="83"/>
  <c r="BQ158" i="83"/>
  <c r="BG158" i="83"/>
  <c r="AU158" i="83"/>
  <c r="AK158" i="83"/>
  <c r="AA158" i="83"/>
  <c r="O158" i="83"/>
  <c r="E158" i="83"/>
  <c r="BZ158" i="83"/>
  <c r="BF158" i="83"/>
  <c r="AJ158" i="83"/>
  <c r="Z158" i="83"/>
  <c r="CL158" i="83"/>
  <c r="BP158" i="83"/>
  <c r="AT158" i="83"/>
  <c r="D158" i="83"/>
  <c r="CI158" i="83"/>
  <c r="BY158" i="83"/>
  <c r="BO158" i="83"/>
  <c r="AS158" i="83"/>
  <c r="AI158" i="83"/>
  <c r="W158" i="83"/>
  <c r="M158" i="83"/>
  <c r="C158" i="83"/>
  <c r="BX158" i="83"/>
  <c r="BN158" i="83"/>
  <c r="AR158" i="83"/>
  <c r="V158" i="83"/>
  <c r="B158" i="83"/>
  <c r="CH158" i="83"/>
  <c r="AH158" i="83"/>
  <c r="L158" i="83"/>
  <c r="CQ158" i="83"/>
  <c r="CG158" i="83"/>
  <c r="BW158" i="83"/>
  <c r="BK158" i="83"/>
  <c r="AQ158" i="83"/>
  <c r="AE158" i="83"/>
  <c r="U158" i="83"/>
  <c r="K158" i="83"/>
  <c r="CN158" i="83"/>
  <c r="CD158" i="83"/>
  <c r="AX158" i="83"/>
  <c r="R158" i="83"/>
  <c r="CP158" i="83"/>
  <c r="CF158" i="83"/>
  <c r="BV158" i="83"/>
  <c r="BJ158" i="83"/>
  <c r="AP158" i="83"/>
  <c r="AD158" i="83"/>
  <c r="T158" i="83"/>
  <c r="J158" i="83"/>
  <c r="BH158" i="83"/>
  <c r="AB158" i="83"/>
  <c r="F158" i="83"/>
  <c r="CO158" i="83"/>
  <c r="CE158" i="83"/>
  <c r="BS158" i="83"/>
  <c r="BI158" i="83"/>
  <c r="AY158" i="83"/>
  <c r="AM158" i="83"/>
  <c r="AC158" i="83"/>
  <c r="S158" i="83"/>
  <c r="G158" i="83"/>
  <c r="BR158" i="83"/>
  <c r="AL158" i="83"/>
  <c r="N158" i="83"/>
  <c r="B33" i="1027"/>
  <c r="I17" i="83"/>
  <c r="I18" i="83"/>
  <c r="AP5" i="83" s="1"/>
  <c r="I14" i="83"/>
  <c r="AL5" i="83" s="1"/>
  <c r="S46" i="83"/>
  <c r="R100" i="83" s="1"/>
  <c r="O44" i="83"/>
  <c r="C18" i="83"/>
  <c r="O45" i="83"/>
  <c r="B41" i="1027"/>
  <c r="B14" i="83"/>
  <c r="I11" i="83"/>
  <c r="AI5" i="83" s="1"/>
  <c r="I13" i="83"/>
  <c r="I20" i="83"/>
  <c r="AR5" i="83" s="1"/>
  <c r="I15" i="83"/>
  <c r="AM5" i="83" s="1"/>
  <c r="A28" i="83"/>
  <c r="F42" i="1027"/>
  <c r="I21" i="83"/>
  <c r="I96" i="83" s="1"/>
  <c r="O46" i="83"/>
  <c r="I19" i="83"/>
  <c r="I94" i="83" s="1"/>
  <c r="E84" i="3"/>
  <c r="I16" i="83"/>
  <c r="I91" i="83" s="1"/>
  <c r="B18" i="83"/>
  <c r="B29" i="83"/>
  <c r="B84" i="3"/>
  <c r="C23" i="83"/>
  <c r="I10" i="83"/>
  <c r="AH5" i="83" s="1"/>
  <c r="B19" i="83"/>
  <c r="I12" i="83"/>
  <c r="AJ5" i="83" s="1"/>
  <c r="B42" i="1027"/>
  <c r="W55" i="83"/>
  <c r="V55" i="83" s="1"/>
  <c r="U63" i="83" s="1"/>
  <c r="W58" i="83"/>
  <c r="V58" i="83" s="1"/>
  <c r="U66" i="83" s="1"/>
  <c r="W56" i="83"/>
  <c r="V56" i="83" s="1"/>
  <c r="U64" i="83" s="1"/>
  <c r="W57" i="83"/>
  <c r="V57" i="83" s="1"/>
  <c r="U65" i="83" s="1"/>
  <c r="M114" i="83"/>
  <c r="M118" i="83" s="1"/>
  <c r="A90" i="33253" s="1"/>
  <c r="L118" i="83"/>
  <c r="A88" i="33253" s="1"/>
  <c r="P51" i="83"/>
  <c r="F25" i="83"/>
  <c r="C30" i="83"/>
  <c r="F16" i="83"/>
  <c r="F31" i="83"/>
  <c r="C15" i="83"/>
  <c r="A14" i="83"/>
  <c r="E32" i="83"/>
  <c r="F17" i="83"/>
  <c r="C20" i="83"/>
  <c r="C19" i="83"/>
  <c r="E24" i="83"/>
  <c r="B15" i="83"/>
  <c r="B25" i="83"/>
  <c r="D33" i="83"/>
  <c r="C16" i="83"/>
  <c r="D20" i="83"/>
  <c r="E28" i="83"/>
  <c r="B31" i="83"/>
  <c r="A32" i="83"/>
  <c r="D21" i="83"/>
  <c r="B16" i="83"/>
  <c r="D26" i="83"/>
  <c r="E14" i="83"/>
  <c r="F18" i="83"/>
  <c r="B17" i="83"/>
  <c r="C22" i="83"/>
  <c r="C27" i="83"/>
  <c r="C17" i="83"/>
  <c r="E21" i="83"/>
  <c r="A24" i="83"/>
  <c r="F29" i="83"/>
  <c r="F15" i="83"/>
  <c r="C14" i="83"/>
  <c r="D17" i="83"/>
  <c r="E20" i="83"/>
  <c r="F22" i="83"/>
  <c r="F23" i="83"/>
  <c r="D24" i="83"/>
  <c r="D27" i="83"/>
  <c r="F28" i="83"/>
  <c r="F30" i="83"/>
  <c r="BD33" i="83"/>
  <c r="D34" i="83"/>
  <c r="A35" i="83"/>
  <c r="B36" i="83"/>
  <c r="D37" i="83"/>
  <c r="B38" i="83"/>
  <c r="A39" i="83"/>
  <c r="B40" i="83"/>
  <c r="B41" i="83"/>
  <c r="B42" i="83"/>
  <c r="D44" i="83"/>
  <c r="B45" i="83"/>
  <c r="F47" i="83"/>
  <c r="E126" i="83"/>
  <c r="G132" i="83" s="1"/>
  <c r="A12" i="83" s="1"/>
  <c r="E22" i="83"/>
  <c r="F26" i="83"/>
  <c r="E30" i="83"/>
  <c r="A38" i="83"/>
  <c r="A42" i="83"/>
  <c r="C44" i="83"/>
  <c r="E47" i="83"/>
  <c r="D14" i="83"/>
  <c r="E17" i="83"/>
  <c r="A19" i="83"/>
  <c r="F20" i="83"/>
  <c r="F24" i="83"/>
  <c r="A25" i="83"/>
  <c r="E27" i="83"/>
  <c r="A33" i="83"/>
  <c r="E34" i="83"/>
  <c r="B35" i="83"/>
  <c r="C36" i="83"/>
  <c r="E37" i="83"/>
  <c r="C38" i="83"/>
  <c r="B39" i="83"/>
  <c r="C40" i="83"/>
  <c r="C41" i="83"/>
  <c r="C42" i="83"/>
  <c r="A43" i="83"/>
  <c r="E44" i="83"/>
  <c r="C45" i="83"/>
  <c r="A46" i="83"/>
  <c r="B96" i="83"/>
  <c r="F14" i="83"/>
  <c r="A16" i="83"/>
  <c r="D19" i="83"/>
  <c r="C25" i="83"/>
  <c r="F27" i="83"/>
  <c r="A31" i="83"/>
  <c r="B32" i="83"/>
  <c r="B33" i="83"/>
  <c r="F34" i="83"/>
  <c r="C35" i="83"/>
  <c r="D36" i="83"/>
  <c r="F37" i="83"/>
  <c r="D38" i="83"/>
  <c r="C39" i="83"/>
  <c r="D40" i="83"/>
  <c r="D41" i="83"/>
  <c r="D42" i="83"/>
  <c r="B43" i="83"/>
  <c r="F44" i="83"/>
  <c r="D45" i="83"/>
  <c r="B46" i="83"/>
  <c r="C96" i="83"/>
  <c r="C24" i="83"/>
  <c r="B27" i="83"/>
  <c r="BC33" i="83"/>
  <c r="A36" i="83"/>
  <c r="C37" i="83"/>
  <c r="A40" i="83"/>
  <c r="A41" i="83"/>
  <c r="D16" i="83"/>
  <c r="E19" i="83"/>
  <c r="D25" i="83"/>
  <c r="A26" i="83"/>
  <c r="C31" i="83"/>
  <c r="C32" i="83"/>
  <c r="C33" i="83"/>
  <c r="D35" i="83"/>
  <c r="E36" i="83"/>
  <c r="E38" i="83"/>
  <c r="D39" i="83"/>
  <c r="E40" i="83"/>
  <c r="E41" i="83"/>
  <c r="E42" i="83"/>
  <c r="C43" i="83"/>
  <c r="E45" i="83"/>
  <c r="C46" i="83"/>
  <c r="A47" i="83"/>
  <c r="D96" i="83"/>
  <c r="D28" i="83"/>
  <c r="E16" i="83"/>
  <c r="A18" i="83"/>
  <c r="A21" i="83"/>
  <c r="A22" i="83"/>
  <c r="A23" i="83"/>
  <c r="E25" i="83"/>
  <c r="B26" i="83"/>
  <c r="A29" i="83"/>
  <c r="A30" i="83"/>
  <c r="D31" i="83"/>
  <c r="D32" i="83"/>
  <c r="E33" i="83"/>
  <c r="E35" i="83"/>
  <c r="F36" i="83"/>
  <c r="F38" i="83"/>
  <c r="E39" i="83"/>
  <c r="F40" i="83"/>
  <c r="F41" i="83"/>
  <c r="F42" i="83"/>
  <c r="D43" i="83"/>
  <c r="F45" i="83"/>
  <c r="D46" i="83"/>
  <c r="B47" i="83"/>
  <c r="E96" i="83"/>
  <c r="A17" i="83"/>
  <c r="E23" i="83"/>
  <c r="A15" i="83"/>
  <c r="D18" i="83"/>
  <c r="B21" i="83"/>
  <c r="B22" i="83"/>
  <c r="B23" i="83"/>
  <c r="C26" i="83"/>
  <c r="B28" i="83"/>
  <c r="C29" i="83"/>
  <c r="B30" i="83"/>
  <c r="E31" i="83"/>
  <c r="F32" i="83"/>
  <c r="F33" i="83"/>
  <c r="A34" i="83"/>
  <c r="F35" i="83"/>
  <c r="A37" i="83"/>
  <c r="F39" i="83"/>
  <c r="E43" i="83"/>
  <c r="A44" i="83"/>
  <c r="E46" i="83"/>
  <c r="C47" i="83"/>
  <c r="F96" i="83"/>
  <c r="B20" i="83"/>
  <c r="E29" i="83"/>
  <c r="D15" i="83"/>
  <c r="E18" i="83"/>
  <c r="A20" i="83"/>
  <c r="C21" i="83"/>
  <c r="D22" i="83"/>
  <c r="D23" i="83"/>
  <c r="B24" i="83"/>
  <c r="E26" i="83"/>
  <c r="A27" i="83"/>
  <c r="C28" i="83"/>
  <c r="D29" i="83"/>
  <c r="D30" i="83"/>
  <c r="B34" i="83"/>
  <c r="B37" i="83"/>
  <c r="F43" i="83"/>
  <c r="B44" i="83"/>
  <c r="F46" i="83"/>
  <c r="D47" i="83"/>
  <c r="G96" i="83"/>
  <c r="E15" i="83"/>
  <c r="F21" i="83"/>
  <c r="C34" i="83"/>
  <c r="A45" i="83"/>
  <c r="D126" i="83"/>
  <c r="G131" i="83" s="1"/>
  <c r="A11" i="83" s="1"/>
  <c r="A126" i="83"/>
  <c r="G128" i="83" s="1"/>
  <c r="A8" i="83" s="1"/>
  <c r="B126" i="83"/>
  <c r="G129" i="83" s="1"/>
  <c r="A9" i="83" s="1"/>
  <c r="F126" i="83"/>
  <c r="G133" i="83" s="1"/>
  <c r="A13" i="83" s="1"/>
  <c r="C126" i="83"/>
  <c r="G130" i="83" s="1"/>
  <c r="A10" i="83" s="1"/>
  <c r="V64" i="83" l="1"/>
  <c r="X56" i="83"/>
  <c r="AB56" i="83"/>
  <c r="AF56" i="83"/>
  <c r="V63" i="83"/>
  <c r="X55" i="83"/>
  <c r="AB55" i="83"/>
  <c r="AF55" i="83"/>
  <c r="AG55" i="83" s="1"/>
  <c r="BN74" i="83" s="1"/>
  <c r="V65" i="83"/>
  <c r="X57" i="83"/>
  <c r="AB57" i="83"/>
  <c r="AF57" i="83"/>
  <c r="AG57" i="83" s="1"/>
  <c r="BP74" i="83" s="1"/>
  <c r="V66" i="83"/>
  <c r="X58" i="83"/>
  <c r="AB58" i="83"/>
  <c r="AF58" i="83"/>
  <c r="AG58" i="83" s="1"/>
  <c r="BQ74" i="83" s="1"/>
  <c r="G31" i="1027"/>
  <c r="R98" i="83"/>
  <c r="R99" i="83"/>
  <c r="F47" i="1027"/>
  <c r="A180" i="33253" s="1"/>
  <c r="F50" i="1027"/>
  <c r="A183" i="33253" s="1"/>
  <c r="F48" i="1027"/>
  <c r="A181" i="33253" s="1"/>
  <c r="F49" i="1027"/>
  <c r="A182" i="33253" s="1"/>
  <c r="I86" i="83"/>
  <c r="I87" i="83"/>
  <c r="I85" i="83"/>
  <c r="AQ5" i="83"/>
  <c r="I93" i="83"/>
  <c r="I95" i="83"/>
  <c r="I89" i="83"/>
  <c r="AS5" i="83"/>
  <c r="AB16" i="1027"/>
  <c r="H17" i="1027" s="1"/>
  <c r="I20" i="1027"/>
  <c r="F12" i="33258" s="1"/>
  <c r="AB20" i="1027"/>
  <c r="H21" i="1027" s="1"/>
  <c r="AB12" i="1027"/>
  <c r="H13" i="1027" s="1"/>
  <c r="AB8" i="1027"/>
  <c r="H9" i="1027" s="1"/>
  <c r="AN5" i="83"/>
  <c r="I90" i="83"/>
  <c r="P50" i="83"/>
  <c r="AO5" i="83"/>
  <c r="I92" i="83"/>
  <c r="N24" i="83"/>
  <c r="L24" i="83" s="1"/>
  <c r="V17" i="33254" s="1"/>
  <c r="J31" i="1027"/>
  <c r="R24" i="83"/>
  <c r="P24" i="83" s="1"/>
  <c r="N28" i="83"/>
  <c r="L28" i="83" s="1"/>
  <c r="I88" i="83"/>
  <c r="AK5" i="83"/>
  <c r="R28" i="83"/>
  <c r="B47" i="1027"/>
  <c r="I76" i="3"/>
  <c r="I77" i="3"/>
  <c r="I78" i="3"/>
  <c r="B50" i="1027"/>
  <c r="B48" i="1027"/>
  <c r="H76" i="3"/>
  <c r="H77" i="3"/>
  <c r="H78" i="3"/>
  <c r="B49" i="1027"/>
  <c r="B4" i="83"/>
  <c r="B11" i="83"/>
  <c r="D11" i="83"/>
  <c r="C11" i="83"/>
  <c r="F11" i="83"/>
  <c r="E11" i="83"/>
  <c r="C12" i="83"/>
  <c r="D12" i="83"/>
  <c r="F12" i="83"/>
  <c r="E12" i="83"/>
  <c r="B12" i="83"/>
  <c r="E10" i="83"/>
  <c r="F10" i="83"/>
  <c r="B10" i="83"/>
  <c r="D10" i="83"/>
  <c r="C10" i="83"/>
  <c r="C8" i="83"/>
  <c r="B8" i="83"/>
  <c r="D8" i="83"/>
  <c r="E8" i="83"/>
  <c r="F8" i="83"/>
  <c r="B9" i="83"/>
  <c r="C9" i="83"/>
  <c r="E9" i="83"/>
  <c r="F9" i="83"/>
  <c r="D9" i="83"/>
  <c r="C13" i="83"/>
  <c r="B13" i="83"/>
  <c r="D13" i="83"/>
  <c r="F13" i="83"/>
  <c r="E13" i="83"/>
  <c r="J43" i="83" l="1"/>
  <c r="J42" i="83"/>
  <c r="J41" i="83"/>
  <c r="J36" i="83"/>
  <c r="J37" i="83"/>
  <c r="J35" i="83"/>
  <c r="A466" i="33253"/>
  <c r="A467" i="33253" s="1"/>
  <c r="X17" i="33254"/>
  <c r="A464" i="33253"/>
  <c r="A465" i="33253" s="1"/>
  <c r="W17" i="33254"/>
  <c r="AV15" i="83"/>
  <c r="O2" i="33254"/>
  <c r="A462" i="33253"/>
  <c r="A463" i="33253" s="1"/>
  <c r="AW15" i="83"/>
  <c r="N2" i="33254"/>
  <c r="X84" i="33254"/>
  <c r="AX15" i="83"/>
  <c r="W84" i="33254"/>
  <c r="O78" i="33254"/>
  <c r="O79" i="33254" s="1"/>
  <c r="V84" i="33254"/>
  <c r="P78" i="33254"/>
  <c r="P79" i="33254" s="1"/>
  <c r="P84" i="33254"/>
  <c r="Q78" i="33254"/>
  <c r="Q79" i="33254" s="1"/>
  <c r="Q84" i="33254"/>
  <c r="O84" i="33254"/>
  <c r="Q59" i="33254"/>
  <c r="V36" i="33254"/>
  <c r="O59" i="33254"/>
  <c r="P59" i="33254"/>
  <c r="AE74" i="33254"/>
  <c r="W36" i="33254"/>
  <c r="AF74" i="33254"/>
  <c r="X36" i="33254"/>
  <c r="G4" i="33258"/>
  <c r="C22" i="33257"/>
  <c r="K73" i="33254"/>
  <c r="C8" i="33254"/>
  <c r="K62" i="3"/>
  <c r="K47" i="3" s="1"/>
  <c r="K65" i="33257" s="1"/>
  <c r="L84" i="1027"/>
  <c r="A13" i="33253"/>
  <c r="AD74" i="33254"/>
  <c r="AD73" i="33254"/>
  <c r="AF73" i="33254"/>
  <c r="AE73" i="33254"/>
  <c r="E17" i="33258"/>
  <c r="D17" i="33258"/>
  <c r="C17" i="33258"/>
  <c r="X13" i="33254"/>
  <c r="X48" i="33254"/>
  <c r="Q95" i="33254"/>
  <c r="W33" i="33254"/>
  <c r="W35" i="33254" s="1"/>
  <c r="W13" i="33254"/>
  <c r="W48" i="33254"/>
  <c r="P95" i="33254"/>
  <c r="V13" i="33254"/>
  <c r="V18" i="33254" s="1"/>
  <c r="O95" i="33254"/>
  <c r="V48" i="33254"/>
  <c r="X33" i="33254"/>
  <c r="X35" i="33254" s="1"/>
  <c r="V33" i="33254"/>
  <c r="V35" i="33254" s="1"/>
  <c r="Q68" i="33254"/>
  <c r="P47" i="33254"/>
  <c r="P49" i="33254" s="1"/>
  <c r="P48" i="33254"/>
  <c r="P80" i="33254"/>
  <c r="P68" i="33254"/>
  <c r="P83" i="33254"/>
  <c r="P86" i="33254" s="1"/>
  <c r="O47" i="33254"/>
  <c r="O49" i="33254" s="1"/>
  <c r="O68" i="33254"/>
  <c r="O83" i="33254"/>
  <c r="O86" i="33254" s="1"/>
  <c r="O48" i="33254"/>
  <c r="O80" i="33254"/>
  <c r="Q47" i="33254"/>
  <c r="Q49" i="33254" s="1"/>
  <c r="Q48" i="33254"/>
  <c r="Q80" i="33254"/>
  <c r="Q83" i="33254"/>
  <c r="Q86" i="33254" s="1"/>
  <c r="A167" i="33253"/>
  <c r="A24" i="33253"/>
  <c r="A22" i="33253"/>
  <c r="BC157" i="83"/>
  <c r="A20" i="33253"/>
  <c r="AV9" i="83"/>
  <c r="AV14" i="83"/>
  <c r="AW9" i="83"/>
  <c r="AW14" i="83"/>
  <c r="AX9" i="83"/>
  <c r="AX14" i="83"/>
  <c r="AV7" i="83"/>
  <c r="AV6" i="83"/>
  <c r="AX7" i="83"/>
  <c r="AX6" i="83"/>
  <c r="AW7" i="83"/>
  <c r="AW6" i="83"/>
  <c r="P31" i="33254"/>
  <c r="Q31" i="33254"/>
  <c r="O31" i="33254"/>
  <c r="N132" i="83"/>
  <c r="O132" i="83"/>
  <c r="BR55" i="83"/>
  <c r="BR56" i="83"/>
  <c r="BR57" i="83"/>
  <c r="I16" i="1027"/>
  <c r="F11" i="33258" s="1"/>
  <c r="AU157" i="83"/>
  <c r="P99" i="83"/>
  <c r="P97" i="83"/>
  <c r="G81" i="3"/>
  <c r="P98" i="83"/>
  <c r="F81" i="3"/>
  <c r="E50" i="1027"/>
  <c r="H81" i="3"/>
  <c r="AI37" i="83"/>
  <c r="AK37" i="83"/>
  <c r="N26" i="83"/>
  <c r="BT55" i="83"/>
  <c r="G38" i="1027"/>
  <c r="AG36" i="83"/>
  <c r="J99" i="83"/>
  <c r="BP55" i="83"/>
  <c r="AF17" i="83"/>
  <c r="J98" i="83"/>
  <c r="BM55" i="83"/>
  <c r="AV12" i="83"/>
  <c r="O97" i="83"/>
  <c r="Q97" i="83" s="1"/>
  <c r="BV55" i="83"/>
  <c r="BQ55" i="83"/>
  <c r="AV8" i="83"/>
  <c r="N23" i="83"/>
  <c r="BO55" i="83"/>
  <c r="AV10" i="83"/>
  <c r="BU55" i="83"/>
  <c r="AV13" i="83"/>
  <c r="J100" i="83"/>
  <c r="AV11" i="83"/>
  <c r="BS55" i="83"/>
  <c r="K4" i="83"/>
  <c r="G30" i="1027" s="1"/>
  <c r="I12" i="1027"/>
  <c r="F10" i="33258" s="1"/>
  <c r="S97" i="83"/>
  <c r="AG37" i="83"/>
  <c r="K64" i="3"/>
  <c r="S52" i="33255" s="1"/>
  <c r="BK157" i="83"/>
  <c r="CA157" i="83"/>
  <c r="BS157" i="83"/>
  <c r="AE157" i="83"/>
  <c r="W157" i="83"/>
  <c r="CQ157" i="83"/>
  <c r="O157" i="83"/>
  <c r="CI157" i="83"/>
  <c r="AM157" i="83"/>
  <c r="C51" i="83"/>
  <c r="G157" i="83"/>
  <c r="BM57" i="83"/>
  <c r="AX10" i="83"/>
  <c r="O4" i="83"/>
  <c r="I30" i="1027" s="1"/>
  <c r="N30" i="83"/>
  <c r="I38" i="1027"/>
  <c r="R23" i="83"/>
  <c r="AW11" i="83"/>
  <c r="O98" i="83"/>
  <c r="Q98" i="83" s="1"/>
  <c r="M4" i="83"/>
  <c r="Q24" i="83" s="1"/>
  <c r="AI36" i="83"/>
  <c r="BV56" i="83"/>
  <c r="AW8" i="83"/>
  <c r="BM56" i="83"/>
  <c r="BO56" i="83"/>
  <c r="K99" i="83"/>
  <c r="K100" i="83"/>
  <c r="AF18" i="83"/>
  <c r="AW10" i="83"/>
  <c r="BU56" i="83"/>
  <c r="K98" i="83"/>
  <c r="AW12" i="83"/>
  <c r="BT56" i="83"/>
  <c r="S98" i="83"/>
  <c r="AW13" i="83"/>
  <c r="BQ56" i="83"/>
  <c r="R26" i="83"/>
  <c r="BP56" i="83"/>
  <c r="BS56" i="83"/>
  <c r="BV57" i="83"/>
  <c r="BO57" i="83"/>
  <c r="BS57" i="83"/>
  <c r="L99" i="83"/>
  <c r="L98" i="83"/>
  <c r="N27" i="83"/>
  <c r="AF19" i="83"/>
  <c r="O99" i="83"/>
  <c r="Q99" i="83" s="1"/>
  <c r="S99" i="83"/>
  <c r="AK36" i="83"/>
  <c r="AX11" i="83"/>
  <c r="BP57" i="83"/>
  <c r="BQ57" i="83"/>
  <c r="AX13" i="83"/>
  <c r="BU57" i="83"/>
  <c r="AX8" i="83"/>
  <c r="BT57" i="83"/>
  <c r="AX12" i="83"/>
  <c r="L100" i="83"/>
  <c r="P28" i="83"/>
  <c r="J44" i="83" s="1"/>
  <c r="I8" i="1027"/>
  <c r="F9" i="33258" s="1"/>
  <c r="J54" i="83"/>
  <c r="G42" i="1027" s="1"/>
  <c r="J56" i="83"/>
  <c r="I42" i="1027" s="1"/>
  <c r="F51" i="83"/>
  <c r="X59" i="83"/>
  <c r="D51" i="83"/>
  <c r="C4" i="83"/>
  <c r="F30" i="1027" s="1"/>
  <c r="J57" i="83"/>
  <c r="J42" i="1027" s="1"/>
  <c r="F4" i="83"/>
  <c r="J49" i="83" s="1"/>
  <c r="D4" i="83"/>
  <c r="J55" i="83"/>
  <c r="J48" i="83" l="1"/>
  <c r="J47" i="83"/>
  <c r="J38" i="83"/>
  <c r="J50" i="83" s="1"/>
  <c r="A468" i="33253"/>
  <c r="A469" i="33253" s="1"/>
  <c r="Y17" i="33254"/>
  <c r="W18" i="33254"/>
  <c r="W25" i="33254" s="1"/>
  <c r="V25" i="33254"/>
  <c r="X18" i="33254"/>
  <c r="X25" i="33254" s="1"/>
  <c r="M25" i="33254"/>
  <c r="K25" i="33254" s="1"/>
  <c r="K41" i="33257"/>
  <c r="A628" i="33253"/>
  <c r="A629" i="33253" s="1"/>
  <c r="Y84" i="33254"/>
  <c r="AY15" i="83"/>
  <c r="AZ15" i="83" s="1"/>
  <c r="X82" i="33254"/>
  <c r="X81" i="33254"/>
  <c r="V82" i="33254"/>
  <c r="V81" i="33254"/>
  <c r="W82" i="33254"/>
  <c r="W81" i="33254"/>
  <c r="R84" i="33254"/>
  <c r="S84" i="33254" s="1"/>
  <c r="O85" i="33254" s="1"/>
  <c r="R78" i="33254"/>
  <c r="R79" i="33254" s="1"/>
  <c r="R59" i="33254"/>
  <c r="V78" i="33254"/>
  <c r="O30" i="33254"/>
  <c r="O32" i="33254" s="1"/>
  <c r="W78" i="33254"/>
  <c r="X78" i="33254"/>
  <c r="AG74" i="33254"/>
  <c r="AI74" i="33254" s="1"/>
  <c r="Y36" i="33254"/>
  <c r="AG73" i="33254"/>
  <c r="AI73" i="33254" s="1"/>
  <c r="F17" i="33258"/>
  <c r="E37" i="33258"/>
  <c r="E36" i="33258"/>
  <c r="D36" i="33258"/>
  <c r="D37" i="33258"/>
  <c r="C37" i="33258"/>
  <c r="C36" i="33258"/>
  <c r="Y13" i="33254"/>
  <c r="Y48" i="33254"/>
  <c r="R95" i="33254"/>
  <c r="Y33" i="33254"/>
  <c r="V50" i="33254"/>
  <c r="A566" i="33253"/>
  <c r="X50" i="33254"/>
  <c r="A568" i="33253"/>
  <c r="W50" i="33254"/>
  <c r="A567" i="33253"/>
  <c r="W49" i="33254"/>
  <c r="A572" i="33253"/>
  <c r="X49" i="33254"/>
  <c r="A573" i="33253"/>
  <c r="V49" i="33254"/>
  <c r="A571" i="33253"/>
  <c r="R47" i="33254"/>
  <c r="R49" i="33254" s="1"/>
  <c r="R48" i="33254"/>
  <c r="S48" i="33254" s="1"/>
  <c r="R83" i="33254"/>
  <c r="R86" i="33254" s="1"/>
  <c r="S86" i="33254" s="1"/>
  <c r="R80" i="33254"/>
  <c r="S80" i="33254" s="1"/>
  <c r="R68" i="33254"/>
  <c r="O43" i="33254"/>
  <c r="AF13" i="33254"/>
  <c r="AF14" i="33254" s="1"/>
  <c r="X14" i="33254"/>
  <c r="AG13" i="33254"/>
  <c r="AG14" i="33254" s="1"/>
  <c r="AE13" i="33254"/>
  <c r="AE14" i="33254" s="1"/>
  <c r="A165" i="33253"/>
  <c r="A164" i="33253"/>
  <c r="A166" i="33253"/>
  <c r="K43" i="3"/>
  <c r="Q26" i="33254"/>
  <c r="Q43" i="33254"/>
  <c r="P26" i="33254"/>
  <c r="P43" i="33254"/>
  <c r="O26" i="33254"/>
  <c r="W14" i="33254"/>
  <c r="K42" i="3"/>
  <c r="AE9" i="1027" s="1"/>
  <c r="Y14" i="33254"/>
  <c r="A26" i="33253"/>
  <c r="AY9" i="83"/>
  <c r="AZ9" i="83" s="1"/>
  <c r="AY14" i="83"/>
  <c r="AZ14" i="83" s="1"/>
  <c r="R31" i="33254"/>
  <c r="R33" i="33254" s="1"/>
  <c r="AY7" i="83"/>
  <c r="AZ7" i="83" s="1"/>
  <c r="AY6" i="83"/>
  <c r="AZ6" i="83" s="1"/>
  <c r="P30" i="33254"/>
  <c r="P32" i="33254" s="1"/>
  <c r="Q30" i="33254"/>
  <c r="Q32" i="33254" s="1"/>
  <c r="Q135" i="83"/>
  <c r="Q137" i="83"/>
  <c r="Q132" i="83"/>
  <c r="M130" i="83"/>
  <c r="R130" i="83"/>
  <c r="M135" i="83"/>
  <c r="R135" i="83"/>
  <c r="M131" i="83"/>
  <c r="R131" i="83"/>
  <c r="R136" i="83"/>
  <c r="M136" i="83"/>
  <c r="M133" i="83"/>
  <c r="R133" i="83"/>
  <c r="R127" i="83"/>
  <c r="M127" i="83"/>
  <c r="R128" i="83"/>
  <c r="M128" i="83"/>
  <c r="M132" i="83"/>
  <c r="R132" i="83"/>
  <c r="M129" i="83"/>
  <c r="R129" i="83"/>
  <c r="M134" i="83"/>
  <c r="R134" i="83"/>
  <c r="R126" i="83"/>
  <c r="M126" i="83"/>
  <c r="BR58" i="83"/>
  <c r="E49" i="1027"/>
  <c r="K39" i="3"/>
  <c r="J24" i="3"/>
  <c r="B32" i="3"/>
  <c r="I81" i="3"/>
  <c r="P100" i="83"/>
  <c r="K21" i="3"/>
  <c r="J101" i="83"/>
  <c r="E47" i="1027"/>
  <c r="E48" i="1027"/>
  <c r="AM37" i="83"/>
  <c r="J46" i="3"/>
  <c r="H30" i="1027"/>
  <c r="M28" i="83"/>
  <c r="K101" i="83"/>
  <c r="P26" i="83" s="1"/>
  <c r="L101" i="83"/>
  <c r="L30" i="83" s="1"/>
  <c r="R39" i="83"/>
  <c r="Q39" i="83" s="1"/>
  <c r="N3" i="83"/>
  <c r="S3" i="83"/>
  <c r="J89" i="3"/>
  <c r="J90" i="3"/>
  <c r="S1" i="83"/>
  <c r="Q1" i="83"/>
  <c r="AM36" i="83"/>
  <c r="BT58" i="83"/>
  <c r="S2" i="83"/>
  <c r="M98" i="83"/>
  <c r="S4" i="83"/>
  <c r="M6" i="83" s="1"/>
  <c r="S36" i="83" s="1"/>
  <c r="R30" i="83"/>
  <c r="AY13" i="83"/>
  <c r="AZ13" i="83" s="1"/>
  <c r="BU58" i="83"/>
  <c r="O100" i="83"/>
  <c r="O101" i="83" s="1"/>
  <c r="AY10" i="83"/>
  <c r="AZ10" i="83" s="1"/>
  <c r="Q4" i="83"/>
  <c r="Q28" i="83" s="1"/>
  <c r="M99" i="83"/>
  <c r="S100" i="83"/>
  <c r="J38" i="1027"/>
  <c r="BQ58" i="83"/>
  <c r="AY11" i="83"/>
  <c r="AZ11" i="83" s="1"/>
  <c r="AY8" i="83"/>
  <c r="AZ8" i="83" s="1"/>
  <c r="BS58" i="83"/>
  <c r="AF20" i="83"/>
  <c r="M100" i="83"/>
  <c r="BM58" i="83"/>
  <c r="R27" i="83"/>
  <c r="BV58" i="83"/>
  <c r="BO58" i="83"/>
  <c r="S22" i="83"/>
  <c r="AY12" i="83"/>
  <c r="AZ12" i="83" s="1"/>
  <c r="B69" i="33254" s="1"/>
  <c r="J69" i="33254" s="1"/>
  <c r="A372" i="33253" s="1"/>
  <c r="A373" i="33253" s="1"/>
  <c r="BP58" i="83"/>
  <c r="BP59" i="83" s="1"/>
  <c r="H42" i="1027"/>
  <c r="AE13" i="1027" l="1"/>
  <c r="AE17" i="1027"/>
  <c r="Y18" i="33254"/>
  <c r="Y25" i="33254" s="1"/>
  <c r="BA15" i="83"/>
  <c r="D72" i="33254" s="1"/>
  <c r="AF15" i="83"/>
  <c r="B72" i="33254" s="1"/>
  <c r="Q85" i="33254"/>
  <c r="Y82" i="33254"/>
  <c r="Y81" i="33254"/>
  <c r="Y34" i="33254" s="1"/>
  <c r="P85" i="33254"/>
  <c r="P81" i="33254"/>
  <c r="P82" i="33254" s="1"/>
  <c r="R81" i="33254"/>
  <c r="R82" i="33254" s="1"/>
  <c r="O81" i="33254"/>
  <c r="O82" i="33254" s="1"/>
  <c r="Q81" i="33254"/>
  <c r="Q82" i="33254" s="1"/>
  <c r="R85" i="33254"/>
  <c r="Y78" i="33254"/>
  <c r="Z78" i="33254" s="1"/>
  <c r="AI75" i="33254"/>
  <c r="F36" i="33258"/>
  <c r="F37" i="33258"/>
  <c r="Z33" i="33254"/>
  <c r="Y35" i="33254"/>
  <c r="S47" i="33254"/>
  <c r="B45" i="33254" s="1"/>
  <c r="Y50" i="33254"/>
  <c r="A569" i="33253"/>
  <c r="Y49" i="33254"/>
  <c r="A574" i="33253"/>
  <c r="R43" i="33254"/>
  <c r="A507" i="33253"/>
  <c r="A508" i="33253" s="1"/>
  <c r="L41" i="33257"/>
  <c r="V15" i="33254"/>
  <c r="V19" i="33254" s="1"/>
  <c r="AD15" i="33254"/>
  <c r="W15" i="33254"/>
  <c r="W19" i="33254" s="1"/>
  <c r="AE15" i="33254"/>
  <c r="X15" i="33254"/>
  <c r="X19" i="33254" s="1"/>
  <c r="AF15" i="33254"/>
  <c r="AH13" i="33254"/>
  <c r="AH14" i="33254"/>
  <c r="Q6" i="83"/>
  <c r="S38" i="83" s="1"/>
  <c r="Q5" i="83"/>
  <c r="R44" i="33254" s="1"/>
  <c r="O5" i="83"/>
  <c r="O6" i="83"/>
  <c r="S37" i="83" s="1"/>
  <c r="R26" i="33254"/>
  <c r="M5" i="83"/>
  <c r="I64" i="33257"/>
  <c r="D64" i="33254"/>
  <c r="B66" i="3"/>
  <c r="D64" i="33257"/>
  <c r="B64" i="33257"/>
  <c r="R30" i="33254"/>
  <c r="S30" i="33254" s="1"/>
  <c r="S31" i="33254"/>
  <c r="N139" i="83"/>
  <c r="O139" i="83"/>
  <c r="P139" i="83"/>
  <c r="Q139" i="83"/>
  <c r="D15" i="33254"/>
  <c r="B64" i="33254"/>
  <c r="B72" i="3"/>
  <c r="D69" i="33254"/>
  <c r="B69" i="3"/>
  <c r="D66" i="33254"/>
  <c r="B66" i="33254"/>
  <c r="K66" i="33254" s="1"/>
  <c r="A364" i="33253" s="1"/>
  <c r="A365" i="33253" s="1"/>
  <c r="D70" i="3"/>
  <c r="D67" i="33254"/>
  <c r="B67" i="33254"/>
  <c r="D65" i="33254"/>
  <c r="B65" i="33254"/>
  <c r="J65" i="33254" s="1"/>
  <c r="A360" i="33253" s="1"/>
  <c r="A361" i="33253" s="1"/>
  <c r="B71" i="3"/>
  <c r="B68" i="33254"/>
  <c r="D68" i="33254"/>
  <c r="L26" i="83"/>
  <c r="I73" i="3"/>
  <c r="J103" i="83"/>
  <c r="N134" i="83" s="1"/>
  <c r="J102" i="83"/>
  <c r="J109" i="83"/>
  <c r="K103" i="83"/>
  <c r="O134" i="83" s="1"/>
  <c r="K109" i="83"/>
  <c r="L102" i="83"/>
  <c r="L109" i="83"/>
  <c r="B67" i="3"/>
  <c r="B68" i="3"/>
  <c r="D68" i="3"/>
  <c r="K102" i="83"/>
  <c r="L103" i="83"/>
  <c r="M101" i="83"/>
  <c r="D69" i="3"/>
  <c r="L30" i="1027"/>
  <c r="K5" i="83"/>
  <c r="Q100" i="83"/>
  <c r="K6" i="83"/>
  <c r="J30" i="1027"/>
  <c r="D72" i="3"/>
  <c r="B70" i="3"/>
  <c r="AE5" i="83"/>
  <c r="D71" i="3"/>
  <c r="Z14" i="33254" l="1"/>
  <c r="Z25" i="33254" s="1"/>
  <c r="H37" i="33257" s="1"/>
  <c r="A477" i="33253" s="1"/>
  <c r="W88" i="33254"/>
  <c r="W87" i="33254"/>
  <c r="W89" i="33254" s="1"/>
  <c r="X88" i="33254"/>
  <c r="X87" i="33254"/>
  <c r="Y87" i="33254"/>
  <c r="Y89" i="33254" s="1"/>
  <c r="Y88" i="33254"/>
  <c r="V87" i="33254"/>
  <c r="V88" i="33254"/>
  <c r="P134" i="83"/>
  <c r="P135" i="83"/>
  <c r="W85" i="33254"/>
  <c r="Y47" i="33254"/>
  <c r="Y83" i="33254"/>
  <c r="V85" i="33254"/>
  <c r="X85" i="33254"/>
  <c r="Y85" i="33254"/>
  <c r="O55" i="33254"/>
  <c r="P55" i="33254"/>
  <c r="Q55" i="33254"/>
  <c r="R55" i="33254"/>
  <c r="O89" i="33254"/>
  <c r="P89" i="33254"/>
  <c r="P90" i="33254" s="1"/>
  <c r="Q89" i="33254"/>
  <c r="Q90" i="33254" s="1"/>
  <c r="Q91" i="33254" s="1"/>
  <c r="Q92" i="33254" s="1"/>
  <c r="A333" i="33253" s="1"/>
  <c r="R89" i="33254"/>
  <c r="R90" i="33254" s="1"/>
  <c r="R97" i="33254" s="1"/>
  <c r="S85" i="33254"/>
  <c r="R88" i="33254"/>
  <c r="Q88" i="33254"/>
  <c r="P88" i="33254"/>
  <c r="Q25" i="33254"/>
  <c r="R25" i="33254"/>
  <c r="A242" i="33253" s="1"/>
  <c r="P25" i="33254"/>
  <c r="P33" i="33254" s="1"/>
  <c r="D25" i="33258" s="1"/>
  <c r="O25" i="33254"/>
  <c r="P136" i="83"/>
  <c r="P133" i="83"/>
  <c r="I32" i="1027"/>
  <c r="P131" i="83"/>
  <c r="P137" i="83"/>
  <c r="N137" i="83"/>
  <c r="N135" i="83"/>
  <c r="O137" i="83"/>
  <c r="O136" i="83"/>
  <c r="N133" i="83"/>
  <c r="N136" i="83"/>
  <c r="O131" i="83"/>
  <c r="O135" i="83"/>
  <c r="A38" i="33253"/>
  <c r="R62" i="83"/>
  <c r="A37" i="33253"/>
  <c r="AF17" i="33254"/>
  <c r="AE17" i="33254"/>
  <c r="AD17" i="33254"/>
  <c r="Y15" i="33254"/>
  <c r="Y19" i="33254" s="1"/>
  <c r="AG15" i="33254"/>
  <c r="AG17" i="33254" s="1"/>
  <c r="L105" i="83"/>
  <c r="K17" i="3"/>
  <c r="P30" i="83"/>
  <c r="R6" i="83" s="1"/>
  <c r="P126" i="83"/>
  <c r="P132" i="83"/>
  <c r="D67" i="3"/>
  <c r="O130" i="83"/>
  <c r="O133" i="83"/>
  <c r="O127" i="83"/>
  <c r="O129" i="83"/>
  <c r="R32" i="33254"/>
  <c r="S32" i="33254" s="1"/>
  <c r="S26" i="33254"/>
  <c r="S43" i="33254"/>
  <c r="O126" i="83"/>
  <c r="O128" i="83"/>
  <c r="N127" i="83"/>
  <c r="N129" i="83"/>
  <c r="P130" i="83"/>
  <c r="P129" i="83"/>
  <c r="P128" i="83"/>
  <c r="P127" i="83"/>
  <c r="N130" i="83"/>
  <c r="N128" i="83"/>
  <c r="N131" i="83"/>
  <c r="N126" i="83"/>
  <c r="O124" i="83"/>
  <c r="B63" i="33254"/>
  <c r="J63" i="33254" s="1"/>
  <c r="A352" i="33253" s="1"/>
  <c r="AG35" i="83"/>
  <c r="AG38" i="83" s="1"/>
  <c r="AG41" i="83" s="1"/>
  <c r="J27" i="83" s="1"/>
  <c r="F94" i="3" s="1"/>
  <c r="R61" i="83"/>
  <c r="A36" i="33253"/>
  <c r="R60" i="83"/>
  <c r="A35" i="33253"/>
  <c r="J32" i="1027"/>
  <c r="R63" i="83"/>
  <c r="N124" i="83"/>
  <c r="M102" i="83"/>
  <c r="M109" i="83"/>
  <c r="AK35" i="83"/>
  <c r="AK38" i="83" s="1"/>
  <c r="AK41" i="83" s="1"/>
  <c r="J29" i="83" s="1"/>
  <c r="H94" i="3" s="1"/>
  <c r="AI35" i="83"/>
  <c r="AM35" i="83"/>
  <c r="R37" i="83"/>
  <c r="H37" i="3" s="1"/>
  <c r="R38" i="83"/>
  <c r="R35" i="83"/>
  <c r="R36" i="83"/>
  <c r="G37" i="3" s="1"/>
  <c r="P124" i="83"/>
  <c r="K105" i="83"/>
  <c r="J105" i="83"/>
  <c r="M103" i="83"/>
  <c r="Q136" i="83" s="1"/>
  <c r="G32" i="1027"/>
  <c r="H32" i="1027"/>
  <c r="K104" i="83"/>
  <c r="K107" i="83" s="1"/>
  <c r="M105" i="83"/>
  <c r="K19" i="3"/>
  <c r="K91" i="3"/>
  <c r="J104" i="83"/>
  <c r="L104" i="83"/>
  <c r="L107" i="83" s="1"/>
  <c r="F75" i="3"/>
  <c r="K75" i="3" s="1"/>
  <c r="F85" i="3"/>
  <c r="K85" i="3" s="1"/>
  <c r="L25" i="83"/>
  <c r="G37" i="1027" s="1"/>
  <c r="U48" i="1027" l="1"/>
  <c r="U47" i="1027"/>
  <c r="X83" i="33254"/>
  <c r="Q33" i="33254"/>
  <c r="W83" i="33254"/>
  <c r="X90" i="33254"/>
  <c r="W90" i="33254"/>
  <c r="Y90" i="33254"/>
  <c r="V89" i="33254"/>
  <c r="O33" i="33254"/>
  <c r="V90" i="33254"/>
  <c r="K23" i="3"/>
  <c r="X89" i="33254"/>
  <c r="V83" i="33254"/>
  <c r="A240" i="33253"/>
  <c r="W79" i="33254"/>
  <c r="V79" i="33254"/>
  <c r="V80" i="33254" s="1"/>
  <c r="R87" i="33254"/>
  <c r="P97" i="33254"/>
  <c r="Q97" i="33254"/>
  <c r="A237" i="33253"/>
  <c r="A238" i="33253" s="1"/>
  <c r="D24" i="33258"/>
  <c r="F24" i="33258"/>
  <c r="Y79" i="33254"/>
  <c r="F25" i="33258"/>
  <c r="X79" i="33254"/>
  <c r="X80" i="33254" s="1"/>
  <c r="Q44" i="33254" s="1"/>
  <c r="Q130" i="83"/>
  <c r="Q134" i="83"/>
  <c r="A241" i="33253"/>
  <c r="E24" i="33258"/>
  <c r="K21" i="33254"/>
  <c r="AI65" i="33254"/>
  <c r="S68" i="33254"/>
  <c r="Q93" i="33254"/>
  <c r="A337" i="33253" s="1"/>
  <c r="R91" i="33254"/>
  <c r="R93" i="33254" s="1"/>
  <c r="R94" i="33254" s="1"/>
  <c r="P91" i="33254"/>
  <c r="Z48" i="33254"/>
  <c r="Q45" i="33257" s="1"/>
  <c r="S59" i="33254"/>
  <c r="AH17" i="33254"/>
  <c r="I37" i="3"/>
  <c r="AF13" i="83"/>
  <c r="BA13" i="83"/>
  <c r="Z62" i="33254"/>
  <c r="BA14" i="83" s="1"/>
  <c r="E56" i="33254"/>
  <c r="Z19" i="33254"/>
  <c r="F37" i="33257" s="1"/>
  <c r="K37" i="33257" s="1"/>
  <c r="Q127" i="83"/>
  <c r="Q129" i="83"/>
  <c r="Q131" i="83"/>
  <c r="Q128" i="83"/>
  <c r="Q126" i="83"/>
  <c r="Q133" i="83"/>
  <c r="BR59" i="83"/>
  <c r="K23" i="33254"/>
  <c r="K24" i="3"/>
  <c r="T51" i="83"/>
  <c r="T52" i="83"/>
  <c r="R64" i="83"/>
  <c r="N138" i="83"/>
  <c r="G43" i="1027" s="1"/>
  <c r="H88" i="3"/>
  <c r="O138" i="83"/>
  <c r="H43" i="1027" s="1"/>
  <c r="AK50" i="83"/>
  <c r="V51" i="83"/>
  <c r="V52" i="83"/>
  <c r="S35" i="83"/>
  <c r="W52" i="83"/>
  <c r="W51" i="83"/>
  <c r="U51" i="83"/>
  <c r="U52" i="83"/>
  <c r="AI38" i="83"/>
  <c r="AI41" i="83" s="1"/>
  <c r="J28" i="83" s="1"/>
  <c r="F88" i="3"/>
  <c r="AM50" i="83"/>
  <c r="AM38" i="83"/>
  <c r="AM41" i="83" s="1"/>
  <c r="J30" i="83" s="1"/>
  <c r="I94" i="3" s="1"/>
  <c r="P25" i="83"/>
  <c r="H37" i="1027" s="1"/>
  <c r="L42" i="1027"/>
  <c r="K46" i="3"/>
  <c r="D47" i="3" s="1"/>
  <c r="P138" i="83"/>
  <c r="I43" i="1027" s="1"/>
  <c r="N105" i="83"/>
  <c r="M104" i="83"/>
  <c r="M107" i="83" s="1"/>
  <c r="N103" i="83"/>
  <c r="S5" i="83" s="1"/>
  <c r="Q124" i="83"/>
  <c r="BV59" i="83"/>
  <c r="H41" i="1027"/>
  <c r="BT59" i="83"/>
  <c r="K106" i="83"/>
  <c r="J107" i="83"/>
  <c r="N2" i="83"/>
  <c r="L33" i="1027" s="1"/>
  <c r="J106" i="83"/>
  <c r="K89" i="3"/>
  <c r="BS59" i="83"/>
  <c r="K25" i="3" s="1"/>
  <c r="F52" i="1027"/>
  <c r="BQ59" i="83"/>
  <c r="L32" i="1027"/>
  <c r="BU59" i="83"/>
  <c r="K92" i="3"/>
  <c r="J51" i="83"/>
  <c r="BR72" i="83"/>
  <c r="BR73" i="83" s="1"/>
  <c r="BR76" i="83" s="1"/>
  <c r="BR77" i="83" s="1"/>
  <c r="K79" i="3"/>
  <c r="I41" i="1027"/>
  <c r="L106" i="83"/>
  <c r="F77" i="3"/>
  <c r="F76" i="3"/>
  <c r="F78" i="3"/>
  <c r="AG50" i="83"/>
  <c r="N44" i="1027" l="1"/>
  <c r="AL25" i="1027"/>
  <c r="A156" i="33253"/>
  <c r="Q24" i="1027"/>
  <c r="I51" i="1027"/>
  <c r="A523" i="33253" s="1"/>
  <c r="AN24" i="1027"/>
  <c r="AL27" i="1027"/>
  <c r="P24" i="1027"/>
  <c r="A157" i="33253"/>
  <c r="J51" i="1027"/>
  <c r="A528" i="33253" s="1"/>
  <c r="O44" i="33254"/>
  <c r="V47" i="33254" s="1"/>
  <c r="X47" i="33254"/>
  <c r="Y80" i="33254"/>
  <c r="Y86" i="33254" s="1"/>
  <c r="W80" i="33254"/>
  <c r="V86" i="33254"/>
  <c r="V34" i="33254" s="1"/>
  <c r="C25" i="33258"/>
  <c r="Z79" i="33254"/>
  <c r="Z80" i="33254" s="1"/>
  <c r="Z81" i="33254" s="1"/>
  <c r="X86" i="33254"/>
  <c r="X34" i="33254" s="1"/>
  <c r="Q87" i="33254"/>
  <c r="P87" i="33254"/>
  <c r="Y38" i="33254"/>
  <c r="Y40" i="33254"/>
  <c r="R99" i="33254"/>
  <c r="R100" i="33254" s="1"/>
  <c r="A559" i="33253" s="1"/>
  <c r="E47" i="3"/>
  <c r="A579" i="33253"/>
  <c r="E25" i="33258"/>
  <c r="S33" i="33254"/>
  <c r="Q94" i="33254"/>
  <c r="A563" i="33253" s="1"/>
  <c r="A346" i="33253"/>
  <c r="J94" i="3"/>
  <c r="G94" i="3"/>
  <c r="Q99" i="33254"/>
  <c r="Q100" i="33254" s="1"/>
  <c r="R92" i="33254"/>
  <c r="Z49" i="33254"/>
  <c r="Q46" i="33257" s="1"/>
  <c r="A575" i="33253"/>
  <c r="Z50" i="33254"/>
  <c r="Q47" i="33257" s="1"/>
  <c r="A570" i="33253"/>
  <c r="P92" i="33254"/>
  <c r="P93" i="33254"/>
  <c r="P94" i="33254" s="1"/>
  <c r="P99" i="33254"/>
  <c r="P100" i="33254" s="1"/>
  <c r="A557" i="33253" s="1"/>
  <c r="I35" i="1027"/>
  <c r="H17" i="33254" s="1"/>
  <c r="X46" i="33254"/>
  <c r="H35" i="1027"/>
  <c r="G17" i="33254" s="1"/>
  <c r="W46" i="33254"/>
  <c r="G35" i="1027"/>
  <c r="F17" i="33254" s="1"/>
  <c r="V46" i="33254"/>
  <c r="A338" i="33253"/>
  <c r="K30" i="3"/>
  <c r="A476" i="33253"/>
  <c r="AF14" i="83"/>
  <c r="D71" i="33254"/>
  <c r="B70" i="33254"/>
  <c r="B73" i="3"/>
  <c r="D70" i="33254"/>
  <c r="D73" i="3"/>
  <c r="H86" i="1027"/>
  <c r="G86" i="1027"/>
  <c r="I86" i="1027"/>
  <c r="H80" i="3"/>
  <c r="F82" i="3"/>
  <c r="AK49" i="83"/>
  <c r="H27" i="3" s="1"/>
  <c r="H57" i="1027"/>
  <c r="K41" i="3"/>
  <c r="K40" i="3"/>
  <c r="H82" i="3"/>
  <c r="I88" i="3"/>
  <c r="G88" i="3"/>
  <c r="F80" i="3"/>
  <c r="AM49" i="83"/>
  <c r="I27" i="3" s="1"/>
  <c r="P29" i="83"/>
  <c r="J37" i="1027" s="1"/>
  <c r="M106" i="83"/>
  <c r="N106" i="83" s="1"/>
  <c r="N108" i="83" s="1"/>
  <c r="G41" i="1027"/>
  <c r="Q138" i="83"/>
  <c r="J43" i="1027" s="1"/>
  <c r="I57" i="1027"/>
  <c r="K90" i="3" s="1"/>
  <c r="J57" i="1027"/>
  <c r="B57" i="1027"/>
  <c r="G57" i="1027"/>
  <c r="AG49" i="83"/>
  <c r="F27" i="3" s="1"/>
  <c r="AG56" i="83"/>
  <c r="W86" i="33254" l="1"/>
  <c r="W34" i="33254" s="1"/>
  <c r="W37" i="33254" s="1"/>
  <c r="P44" i="33254"/>
  <c r="B71" i="33254"/>
  <c r="J71" i="33254" s="1"/>
  <c r="A378" i="33253" s="1"/>
  <c r="A379" i="33253" s="1"/>
  <c r="J72" i="33254"/>
  <c r="A578" i="33253"/>
  <c r="X37" i="33254"/>
  <c r="Y37" i="33254"/>
  <c r="V37" i="33254"/>
  <c r="W38" i="33254"/>
  <c r="W40" i="33254"/>
  <c r="X38" i="33254"/>
  <c r="X40" i="33254"/>
  <c r="A334" i="33253"/>
  <c r="D20" i="33258"/>
  <c r="E20" i="33258"/>
  <c r="C20" i="33258"/>
  <c r="A558" i="33253"/>
  <c r="A336" i="33253"/>
  <c r="A541" i="33253"/>
  <c r="A332" i="33253"/>
  <c r="A564" i="33253"/>
  <c r="AE18" i="33254"/>
  <c r="AE19" i="33254" s="1"/>
  <c r="AE21" i="33254" s="1"/>
  <c r="AD18" i="33254"/>
  <c r="AD19" i="33254" s="1"/>
  <c r="AD21" i="33254" s="1"/>
  <c r="AF18" i="33254"/>
  <c r="AF19" i="33254" s="1"/>
  <c r="AF21" i="33254" s="1"/>
  <c r="J35" i="1027"/>
  <c r="I17" i="33254" s="1"/>
  <c r="Y46" i="33254"/>
  <c r="Z46" i="33254" s="1"/>
  <c r="Q48" i="33257" s="1"/>
  <c r="A478" i="33253"/>
  <c r="A479" i="33253" s="1"/>
  <c r="L37" i="33257"/>
  <c r="AG18" i="33254"/>
  <c r="J86" i="1027"/>
  <c r="G82" i="3"/>
  <c r="I82" i="3"/>
  <c r="M57" i="1027"/>
  <c r="J41" i="1027"/>
  <c r="I80" i="3"/>
  <c r="G80" i="3"/>
  <c r="M72" i="83"/>
  <c r="BO74" i="83"/>
  <c r="BR74" i="83" s="1"/>
  <c r="AG59" i="83"/>
  <c r="W47" i="33254" l="1"/>
  <c r="A577" i="33253"/>
  <c r="Z34" i="33254"/>
  <c r="Z37" i="33254"/>
  <c r="A539" i="33253"/>
  <c r="A540" i="33253"/>
  <c r="F20" i="33258"/>
  <c r="A542" i="33253"/>
  <c r="A562" i="33253"/>
  <c r="AH18" i="33254"/>
  <c r="AG19" i="33254"/>
  <c r="AG21" i="33254" s="1"/>
  <c r="AH21" i="33254" s="1"/>
  <c r="L41" i="1027"/>
  <c r="F37" i="3"/>
  <c r="K37" i="3" s="1"/>
  <c r="M73" i="83"/>
  <c r="AH19" i="33254" l="1"/>
  <c r="T2" i="1027"/>
  <c r="M75" i="83"/>
  <c r="L43" i="1027" l="1"/>
  <c r="F38" i="33257" s="1"/>
  <c r="G86" i="3"/>
  <c r="G45" i="3" l="1"/>
  <c r="A122" i="33253" s="1"/>
  <c r="G58" i="1027"/>
  <c r="H38" i="1027"/>
  <c r="BW28" i="83"/>
  <c r="D25" i="3" s="1"/>
  <c r="A480" i="33253" l="1"/>
  <c r="H36" i="1027"/>
  <c r="E25" i="3"/>
  <c r="I86" i="3"/>
  <c r="I45" i="3" l="1"/>
  <c r="A124" i="33253" s="1"/>
  <c r="G87" i="3"/>
  <c r="F87" i="3"/>
  <c r="L29" i="83"/>
  <c r="I37" i="1027" s="1"/>
  <c r="J36" i="1027" l="1"/>
  <c r="I87" i="3"/>
  <c r="M74" i="83"/>
  <c r="H86" i="3" l="1"/>
  <c r="H45" i="3" l="1"/>
  <c r="A123" i="33253" s="1"/>
  <c r="I36" i="1027" l="1"/>
  <c r="H87" i="3"/>
  <c r="F74" i="3" l="1"/>
  <c r="K74" i="3" s="1"/>
  <c r="F86" i="3" l="1"/>
  <c r="F45" i="3" s="1"/>
  <c r="A121" i="33253" s="1"/>
  <c r="K93" i="3"/>
  <c r="AI50" i="83"/>
  <c r="K45" i="3" l="1"/>
  <c r="AO50" i="83"/>
  <c r="AI49" i="83"/>
  <c r="G27" i="3" s="1"/>
  <c r="G77" i="3"/>
  <c r="G78" i="3"/>
  <c r="G76" i="3"/>
  <c r="D38" i="3" l="1"/>
  <c r="E43" i="33254"/>
  <c r="G36" i="1027"/>
  <c r="L36" i="1027"/>
  <c r="AO49" i="83"/>
  <c r="A205" i="33253" l="1"/>
  <c r="A206" i="33253"/>
  <c r="A207" i="33253"/>
  <c r="A204" i="33253" l="1"/>
  <c r="AC2" i="1027"/>
  <c r="G34" i="1027"/>
  <c r="AD32" i="33254" s="1"/>
  <c r="I34" i="1027"/>
  <c r="AF32" i="33254" s="1"/>
  <c r="J34" i="1027"/>
  <c r="AG32" i="33254" s="1"/>
  <c r="H34" i="1027"/>
  <c r="AE32" i="33254" s="1"/>
  <c r="F84" i="3"/>
  <c r="G40" i="1027" s="1"/>
  <c r="C22" i="33258" s="1"/>
  <c r="F83" i="3"/>
  <c r="H84" i="3"/>
  <c r="H83" i="3"/>
  <c r="I39" i="1027" s="1"/>
  <c r="I84" i="3"/>
  <c r="I83" i="3"/>
  <c r="J39" i="1027" s="1"/>
  <c r="G84" i="3"/>
  <c r="G83" i="3"/>
  <c r="H39" i="1027" s="1"/>
  <c r="AH32" i="33254" l="1"/>
  <c r="E23" i="33258"/>
  <c r="Q106" i="33254"/>
  <c r="D23" i="33258"/>
  <c r="P106" i="33254"/>
  <c r="F23" i="33258"/>
  <c r="R106" i="33254"/>
  <c r="H40" i="1027"/>
  <c r="D22" i="33258" s="1"/>
  <c r="J40" i="1027"/>
  <c r="F22" i="33258" s="1"/>
  <c r="I40" i="1027"/>
  <c r="E22" i="33258" s="1"/>
  <c r="A185" i="33253"/>
  <c r="K83" i="3"/>
  <c r="L86" i="1027" s="1"/>
  <c r="K84" i="3"/>
  <c r="G39" i="1027"/>
  <c r="A184" i="33253"/>
  <c r="A189" i="33253"/>
  <c r="A190" i="33253"/>
  <c r="A192" i="33253"/>
  <c r="A187" i="33253"/>
  <c r="A186" i="33253"/>
  <c r="A191" i="33253"/>
  <c r="A197" i="33253"/>
  <c r="A196" i="33253"/>
  <c r="A195" i="33253"/>
  <c r="L35" i="1027"/>
  <c r="A199" i="33253"/>
  <c r="J83" i="3"/>
  <c r="K80" i="3" s="1"/>
  <c r="AF18" i="1027" l="1"/>
  <c r="AF19" i="1027" s="1"/>
  <c r="AF14" i="1027"/>
  <c r="AF15" i="1027" s="1"/>
  <c r="L13" i="1027" s="1"/>
  <c r="AG13" i="1027" s="1"/>
  <c r="AF10" i="1027"/>
  <c r="AF11" i="1027" s="1"/>
  <c r="AE10" i="1027"/>
  <c r="AE11" i="1027" s="1"/>
  <c r="AE22" i="1027"/>
  <c r="AE23" i="1027" s="1"/>
  <c r="AF22" i="1027"/>
  <c r="AF23" i="1027" s="1"/>
  <c r="AE18" i="1027"/>
  <c r="AE19" i="1027" s="1"/>
  <c r="AE14" i="1027"/>
  <c r="C23" i="33258"/>
  <c r="O106" i="33254"/>
  <c r="S106" i="33254" s="1"/>
  <c r="R104" i="33254"/>
  <c r="A599" i="33253" s="1"/>
  <c r="P104" i="33254"/>
  <c r="A597" i="33253" s="1"/>
  <c r="Q104" i="33254"/>
  <c r="A598" i="33253" s="1"/>
  <c r="AN6" i="1027"/>
  <c r="G12" i="33258"/>
  <c r="G11" i="33258"/>
  <c r="G10" i="33258"/>
  <c r="G9" i="33258"/>
  <c r="O104" i="33254"/>
  <c r="A201" i="33253"/>
  <c r="A200" i="33253"/>
  <c r="L40" i="1027"/>
  <c r="A202" i="33253"/>
  <c r="A194" i="33253"/>
  <c r="A193" i="33253"/>
  <c r="A209" i="33253"/>
  <c r="L39" i="1027"/>
  <c r="I52" i="1027"/>
  <c r="A529" i="33253" s="1"/>
  <c r="A208" i="33253"/>
  <c r="Z12" i="1027"/>
  <c r="Z13" i="1027" s="1"/>
  <c r="Z16" i="1027"/>
  <c r="Z17" i="1027" s="1"/>
  <c r="Z18" i="1027" s="1"/>
  <c r="Z19" i="1027" s="1"/>
  <c r="Z20" i="1027"/>
  <c r="Z21" i="1027" s="1"/>
  <c r="Z22" i="1027" s="1"/>
  <c r="Z23" i="1027" s="1"/>
  <c r="Z8" i="1027"/>
  <c r="Z9" i="1027" s="1"/>
  <c r="Z10" i="1027" s="1"/>
  <c r="Z11" i="1027" s="1"/>
  <c r="Z2" i="1027"/>
  <c r="H51" i="1027"/>
  <c r="F53" i="1027"/>
  <c r="I53" i="1027" s="1"/>
  <c r="A530" i="33253" s="1"/>
  <c r="L17" i="1027" l="1"/>
  <c r="AG17" i="1027" s="1"/>
  <c r="L21" i="1027"/>
  <c r="AG21" i="1027" s="1"/>
  <c r="S104" i="33254"/>
  <c r="A596" i="33253"/>
  <c r="AL39" i="1027"/>
  <c r="A517" i="33253"/>
  <c r="AL40" i="1027"/>
  <c r="A518" i="33253"/>
  <c r="A198" i="33253"/>
  <c r="A203" i="33253"/>
  <c r="A177" i="33253"/>
  <c r="Z14" i="1027"/>
  <c r="Z15" i="1027" s="1"/>
  <c r="N45" i="33257" l="1"/>
  <c r="A600" i="33253"/>
  <c r="L57" i="1027"/>
  <c r="R43" i="33257" l="1"/>
  <c r="K50" i="33257"/>
  <c r="N49" i="33257"/>
  <c r="R47" i="33257" s="1"/>
  <c r="K58" i="33257" l="1"/>
  <c r="A514" i="33253" l="1"/>
  <c r="N48" i="33257"/>
  <c r="R46" i="33257" s="1"/>
  <c r="K56" i="33257" l="1"/>
  <c r="A513" i="33253" s="1"/>
  <c r="A474" i="33253" l="1"/>
  <c r="D58" i="1" l="1"/>
  <c r="B45" i="3" s="1"/>
  <c r="W41" i="33254" l="1"/>
  <c r="H44" i="1027" s="1"/>
  <c r="A220" i="33253" s="1"/>
  <c r="Y41" i="33254"/>
  <c r="J44" i="1027" s="1"/>
  <c r="A222" i="33253" s="1"/>
  <c r="X41" i="33254"/>
  <c r="I44" i="1027" s="1"/>
  <c r="A221" i="33253" s="1"/>
  <c r="G49" i="1027" l="1"/>
  <c r="N49" i="1027" l="1"/>
  <c r="A170" i="33253"/>
  <c r="A239" i="33253" l="1"/>
  <c r="C24" i="33258"/>
  <c r="S25" i="33254"/>
  <c r="D63" i="33254" s="1"/>
  <c r="Z47" i="33254"/>
  <c r="Q44" i="33257" s="1"/>
  <c r="A576" i="33253"/>
  <c r="D66" i="3" l="1"/>
  <c r="S44" i="33254"/>
  <c r="A580" i="33253" l="1"/>
  <c r="N46" i="33257"/>
  <c r="R44" i="33257" l="1"/>
  <c r="K52" i="33257"/>
  <c r="A511" i="33253" l="1"/>
  <c r="S82" i="33254" l="1"/>
  <c r="O90" i="33254"/>
  <c r="O97" i="33254" s="1"/>
  <c r="O88" i="33254"/>
  <c r="S88" i="33254" s="1"/>
  <c r="O54" i="33254" l="1"/>
  <c r="R54" i="33254"/>
  <c r="R56" i="33254" s="1"/>
  <c r="R98" i="33254" s="1"/>
  <c r="Q54" i="33254"/>
  <c r="Q56" i="33254" s="1"/>
  <c r="Q98" i="33254" s="1"/>
  <c r="P54" i="33254"/>
  <c r="P56" i="33254" s="1"/>
  <c r="P98" i="33254" s="1"/>
  <c r="S90" i="33254"/>
  <c r="O91" i="33254"/>
  <c r="A554" i="33253" l="1"/>
  <c r="I50" i="33254"/>
  <c r="F35" i="33258" s="1"/>
  <c r="A552" i="33253"/>
  <c r="G50" i="33254"/>
  <c r="D35" i="33258" s="1"/>
  <c r="A553" i="33253"/>
  <c r="H50" i="33254"/>
  <c r="E35" i="33258" s="1"/>
  <c r="S56" i="33254"/>
  <c r="A555" i="33253" s="1"/>
  <c r="O92" i="33254"/>
  <c r="S91" i="33254"/>
  <c r="O93" i="33254"/>
  <c r="S93" i="33254" l="1"/>
  <c r="K49" i="33254" s="1"/>
  <c r="H39" i="33257" s="1"/>
  <c r="A485" i="33253" s="1"/>
  <c r="S92" i="33254"/>
  <c r="K48" i="33254" s="1"/>
  <c r="A335" i="33253"/>
  <c r="O94" i="33254"/>
  <c r="A331" i="33253"/>
  <c r="D50" i="33254" l="1"/>
  <c r="A339" i="33253" s="1"/>
  <c r="A340" i="33253" s="1"/>
  <c r="A561" i="33253"/>
  <c r="S94" i="33254"/>
  <c r="F39" i="33257"/>
  <c r="K39" i="33257" s="1"/>
  <c r="A484" i="33253" l="1"/>
  <c r="A565" i="33253"/>
  <c r="L39" i="33257" l="1"/>
  <c r="A486" i="33253"/>
  <c r="O99" i="33254"/>
  <c r="O100" i="33254" s="1"/>
  <c r="O56" i="33254"/>
  <c r="O87" i="33254"/>
  <c r="G486" i="33253" l="1"/>
  <c r="A487" i="33253"/>
  <c r="A551" i="33253"/>
  <c r="O98" i="33254"/>
  <c r="V38" i="33254"/>
  <c r="V40" i="33254"/>
  <c r="F50" i="33254"/>
  <c r="C35" i="33258" s="1"/>
  <c r="A556" i="33253"/>
  <c r="S98" i="33254" l="1"/>
  <c r="S100" i="33254"/>
  <c r="V41" i="33254"/>
  <c r="A560" i="33253" l="1"/>
  <c r="N47" i="33257"/>
  <c r="G44" i="1027"/>
  <c r="Z41" i="33254"/>
  <c r="R45" i="33257" l="1"/>
  <c r="K54" i="33257"/>
  <c r="F30" i="33257"/>
  <c r="G59" i="1027"/>
  <c r="A219" i="33253"/>
  <c r="L44" i="1027"/>
  <c r="G87" i="1027" s="1"/>
  <c r="A512" i="33253" l="1"/>
  <c r="A470" i="33253"/>
  <c r="N61" i="33257"/>
  <c r="S61" i="33257" s="1"/>
  <c r="T61" i="33257" s="1"/>
  <c r="Z70" i="33254"/>
  <c r="A215" i="33253"/>
  <c r="AI71" i="33254" l="1"/>
  <c r="I55" i="33254" s="1"/>
  <c r="F43" i="33257"/>
  <c r="Y71" i="33254" l="1"/>
  <c r="W71" i="33254"/>
  <c r="AL43" i="1027"/>
  <c r="A345" i="33253"/>
  <c r="A535" i="33253"/>
  <c r="Z71" i="33254" l="1"/>
  <c r="W2" i="1027" l="1"/>
  <c r="AG18" i="1027" l="1"/>
  <c r="AG19" i="1027" s="1"/>
  <c r="J17" i="1027" s="1"/>
  <c r="AG14" i="1027"/>
  <c r="AG15" i="1027" s="1"/>
  <c r="J13" i="1027" s="1"/>
  <c r="G48" i="1027" s="1"/>
  <c r="AG22" i="1027"/>
  <c r="AG23" i="1027" s="1"/>
  <c r="J21" i="1027" s="1"/>
  <c r="X20" i="1027"/>
  <c r="X8" i="1027"/>
  <c r="X16" i="1027"/>
  <c r="X12" i="1027"/>
  <c r="L34" i="1027"/>
  <c r="A188" i="33253" s="1"/>
  <c r="AA14" i="1027"/>
  <c r="AA15" i="1027" s="1"/>
  <c r="N24" i="1027"/>
  <c r="AH58" i="33254" s="1"/>
  <c r="AA10" i="1027"/>
  <c r="AA11" i="1027" s="1"/>
  <c r="AA22" i="1027"/>
  <c r="AA23" i="1027" s="1"/>
  <c r="AA18" i="1027"/>
  <c r="AA19" i="1027" s="1"/>
  <c r="A169" i="33253" l="1"/>
  <c r="N48" i="1027"/>
  <c r="Y13" i="1027"/>
  <c r="X13" i="1027"/>
  <c r="X17" i="1027"/>
  <c r="Y17" i="1027"/>
  <c r="X18" i="1027" s="1"/>
  <c r="X19" i="1027" s="1"/>
  <c r="Y9" i="1027"/>
  <c r="X9" i="1027"/>
  <c r="X21" i="1027"/>
  <c r="Y21" i="1027"/>
  <c r="L51" i="1027"/>
  <c r="AN5" i="1027"/>
  <c r="AN7" i="1027" s="1"/>
  <c r="AN45" i="1027" s="1"/>
  <c r="N51" i="1027"/>
  <c r="O51" i="1027"/>
  <c r="X10" i="1027" l="1"/>
  <c r="X11" i="1027" s="1"/>
  <c r="L9" i="1027" s="1"/>
  <c r="AG9" i="1027" s="1"/>
  <c r="AG10" i="1027" s="1"/>
  <c r="AG11" i="1027" s="1"/>
  <c r="X14" i="1027"/>
  <c r="X15" i="1027" s="1"/>
  <c r="Y14" i="1027" s="1"/>
  <c r="Y15" i="1027" s="1"/>
  <c r="J14" i="1027" s="1"/>
  <c r="X22" i="1027"/>
  <c r="X23" i="1027" s="1"/>
  <c r="Y22" i="1027" s="1"/>
  <c r="Y23" i="1027" s="1"/>
  <c r="L22" i="1027"/>
  <c r="H50" i="1027"/>
  <c r="Y18" i="1027"/>
  <c r="Y19" i="1027" s="1"/>
  <c r="J18" i="1027" s="1"/>
  <c r="L18" i="1027"/>
  <c r="H49" i="1027"/>
  <c r="N16" i="1027"/>
  <c r="AN43" i="1027"/>
  <c r="AH33" i="33254" s="1"/>
  <c r="AN44" i="1027"/>
  <c r="AH35" i="33254" s="1"/>
  <c r="H47" i="1027" l="1"/>
  <c r="O47" i="1027" s="1"/>
  <c r="Y10" i="1027"/>
  <c r="Y11" i="1027" s="1"/>
  <c r="L10" i="1027"/>
  <c r="J9" i="1027"/>
  <c r="J27" i="1027" s="1"/>
  <c r="J22" i="1027"/>
  <c r="G50" i="1027"/>
  <c r="N20" i="1027"/>
  <c r="O20" i="1027" s="1"/>
  <c r="P20" i="1027" s="1"/>
  <c r="J50" i="1027" s="1"/>
  <c r="A527" i="33253" s="1"/>
  <c r="O50" i="1027"/>
  <c r="A176" i="33253"/>
  <c r="L14" i="1027"/>
  <c r="H48" i="1027"/>
  <c r="N12" i="1027"/>
  <c r="Q12" i="1027" s="1"/>
  <c r="L27" i="1027"/>
  <c r="A179" i="33253" s="1"/>
  <c r="A175" i="33253"/>
  <c r="O49" i="1027"/>
  <c r="Q16" i="1027"/>
  <c r="L49" i="1027"/>
  <c r="AF58" i="33254"/>
  <c r="AL16" i="1027"/>
  <c r="O16" i="1027"/>
  <c r="P16" i="1027" s="1"/>
  <c r="J49" i="1027" s="1"/>
  <c r="A526" i="33253" s="1"/>
  <c r="AD36" i="33254"/>
  <c r="AG35" i="33254"/>
  <c r="AG36" i="33254"/>
  <c r="AF35" i="33254"/>
  <c r="AE33" i="33254"/>
  <c r="AE34" i="33254" s="1"/>
  <c r="AE36" i="33254"/>
  <c r="AD35" i="33254"/>
  <c r="AE35" i="33254"/>
  <c r="AF36" i="33254"/>
  <c r="AD33" i="33254"/>
  <c r="AD34" i="33254" s="1"/>
  <c r="AF33" i="33254"/>
  <c r="AF34" i="33254" s="1"/>
  <c r="AG33" i="33254"/>
  <c r="AG34" i="33254" s="1"/>
  <c r="A173" i="33253" l="1"/>
  <c r="H54" i="1027"/>
  <c r="J10" i="1027"/>
  <c r="G47" i="1027"/>
  <c r="G54" i="1027" s="1"/>
  <c r="N8" i="1027"/>
  <c r="AL20" i="1027"/>
  <c r="AG58" i="33254"/>
  <c r="L50" i="1027"/>
  <c r="Q20" i="1027"/>
  <c r="AD20" i="1027" s="1"/>
  <c r="A171" i="33253"/>
  <c r="N50" i="1027"/>
  <c r="AC58" i="83"/>
  <c r="AC56" i="83"/>
  <c r="AC55" i="83"/>
  <c r="Y55" i="83"/>
  <c r="Y58" i="83"/>
  <c r="AC57" i="83"/>
  <c r="Y57" i="83"/>
  <c r="A178" i="33253"/>
  <c r="Y56" i="83"/>
  <c r="AD12" i="1027"/>
  <c r="I48" i="1027"/>
  <c r="A520" i="33253" s="1"/>
  <c r="AD55" i="83"/>
  <c r="I28" i="1027"/>
  <c r="Z56" i="83"/>
  <c r="AD57" i="83"/>
  <c r="Z57" i="83"/>
  <c r="AD56" i="83"/>
  <c r="Z55" i="83"/>
  <c r="Z58" i="83"/>
  <c r="L48" i="1027"/>
  <c r="AE58" i="33254"/>
  <c r="AL12" i="1027"/>
  <c r="O12" i="1027"/>
  <c r="P12" i="1027" s="1"/>
  <c r="J48" i="1027" s="1"/>
  <c r="A525" i="33253" s="1"/>
  <c r="AD58" i="83"/>
  <c r="A174" i="33253"/>
  <c r="O48" i="1027"/>
  <c r="O52" i="1027" s="1"/>
  <c r="O18" i="33254" s="1"/>
  <c r="I49" i="1027"/>
  <c r="AD16" i="1027"/>
  <c r="AE37" i="33254"/>
  <c r="AG37" i="33254"/>
  <c r="AF37" i="33254"/>
  <c r="AH36" i="33254"/>
  <c r="AH34" i="33254"/>
  <c r="AD37" i="33254"/>
  <c r="F58" i="1027" l="1"/>
  <c r="N27" i="1027"/>
  <c r="Q8" i="1027"/>
  <c r="Q27" i="1027" s="1"/>
  <c r="L47" i="1027"/>
  <c r="L54" i="1027" s="1"/>
  <c r="AA56" i="83" s="1"/>
  <c r="AD58" i="33254"/>
  <c r="AI58" i="33254" s="1"/>
  <c r="AG62" i="33254" s="1"/>
  <c r="AL8" i="1027"/>
  <c r="O8" i="1027"/>
  <c r="P8" i="1027" s="1"/>
  <c r="J47" i="1027" s="1"/>
  <c r="N47" i="1027"/>
  <c r="N52" i="1027" s="1"/>
  <c r="R15" i="33254" s="1"/>
  <c r="A584" i="33253" s="1"/>
  <c r="A168" i="33253"/>
  <c r="I50" i="1027"/>
  <c r="A522" i="33253" s="1"/>
  <c r="H10" i="33258"/>
  <c r="I10" i="33258"/>
  <c r="I12" i="33258"/>
  <c r="H12" i="33258"/>
  <c r="P18" i="33254"/>
  <c r="A587" i="33253" s="1"/>
  <c r="I11" i="33258"/>
  <c r="H11" i="33258"/>
  <c r="Q18" i="33254"/>
  <c r="A588" i="33253" s="1"/>
  <c r="A521" i="33253"/>
  <c r="R18" i="33254"/>
  <c r="A589" i="33253" s="1"/>
  <c r="AH37" i="33254"/>
  <c r="AH38" i="33254" s="1"/>
  <c r="H42" i="33257" s="1"/>
  <c r="A532" i="33253" s="1"/>
  <c r="A586" i="33253"/>
  <c r="H43" i="33257"/>
  <c r="AD8" i="1027" l="1"/>
  <c r="I47" i="1027"/>
  <c r="A519" i="33253" s="1"/>
  <c r="O27" i="1027"/>
  <c r="AE55" i="83"/>
  <c r="AA57" i="83"/>
  <c r="P27" i="1027"/>
  <c r="AA58" i="83"/>
  <c r="O103" i="33254"/>
  <c r="A591" i="33253" s="1"/>
  <c r="Q103" i="33254"/>
  <c r="A593" i="33253" s="1"/>
  <c r="AE56" i="83"/>
  <c r="P103" i="33254"/>
  <c r="A592" i="33253" s="1"/>
  <c r="AE57" i="83"/>
  <c r="AE58" i="83"/>
  <c r="AA55" i="83"/>
  <c r="Q15" i="33254"/>
  <c r="A583" i="33253" s="1"/>
  <c r="R103" i="33254"/>
  <c r="R105" i="33254" s="1"/>
  <c r="O15" i="33254"/>
  <c r="A581" i="33253" s="1"/>
  <c r="P15" i="33254"/>
  <c r="A582" i="33253" s="1"/>
  <c r="AD62" i="33254"/>
  <c r="AE62" i="33254"/>
  <c r="AF62" i="33254"/>
  <c r="I87" i="1027"/>
  <c r="L87" i="1027" s="1"/>
  <c r="S18" i="33254"/>
  <c r="F42" i="33257"/>
  <c r="K42" i="33257" s="1"/>
  <c r="A524" i="33253"/>
  <c r="J54" i="1027"/>
  <c r="I58" i="1027" s="1"/>
  <c r="A536" i="33253"/>
  <c r="K43" i="33257"/>
  <c r="I54" i="1027" l="1"/>
  <c r="AI63" i="33254"/>
  <c r="AI67" i="33254" s="1"/>
  <c r="AI70" i="33254" s="1"/>
  <c r="I9" i="33258"/>
  <c r="H9" i="33258"/>
  <c r="Q28" i="1027"/>
  <c r="Q105" i="33254"/>
  <c r="A594" i="33253"/>
  <c r="O105" i="33254"/>
  <c r="AE59" i="83"/>
  <c r="AA60" i="83" s="1"/>
  <c r="S103" i="33254"/>
  <c r="A595" i="33253" s="1"/>
  <c r="AA59" i="83"/>
  <c r="P105" i="33254"/>
  <c r="S15" i="33254"/>
  <c r="A585" i="33253" s="1"/>
  <c r="AI62" i="33254"/>
  <c r="AH87" i="83" s="1"/>
  <c r="H38" i="33257"/>
  <c r="A210" i="33253"/>
  <c r="L58" i="1027"/>
  <c r="BR75" i="83"/>
  <c r="N44" i="33257"/>
  <c r="K48" i="33257" s="1"/>
  <c r="A510" i="33253" s="1"/>
  <c r="A590" i="33253"/>
  <c r="A531" i="33253"/>
  <c r="L42" i="33257"/>
  <c r="A533" i="33253"/>
  <c r="A534" i="33253" s="1"/>
  <c r="L43" i="33257"/>
  <c r="A537" i="33253"/>
  <c r="A538" i="33253" s="1"/>
  <c r="AI69" i="33254" l="1"/>
  <c r="Q29" i="1027"/>
  <c r="S72" i="33254"/>
  <c r="N54" i="33257" s="1"/>
  <c r="H59" i="33254"/>
  <c r="S71" i="33254"/>
  <c r="AE61" i="83"/>
  <c r="S105" i="33254"/>
  <c r="N43" i="33257"/>
  <c r="K46" i="33257" s="1"/>
  <c r="A509" i="33253"/>
  <c r="G59" i="33254"/>
  <c r="A211" i="33253"/>
  <c r="A212" i="33253" s="1"/>
  <c r="N58" i="1027"/>
  <c r="A481" i="33253"/>
  <c r="K38" i="33257"/>
  <c r="R42" i="33257"/>
  <c r="I59" i="33254" l="1"/>
  <c r="N53" i="33257"/>
  <c r="K60" i="33257" s="1"/>
  <c r="A515" i="33253" s="1"/>
  <c r="S73" i="33254"/>
  <c r="S75" i="33254" s="1"/>
  <c r="Z72" i="33254" s="1"/>
  <c r="Z73" i="33254" s="1"/>
  <c r="E57" i="33254" s="1"/>
  <c r="I57" i="33254" s="1"/>
  <c r="A348" i="33253" s="1"/>
  <c r="A349" i="33253" s="1"/>
  <c r="N56" i="33257"/>
  <c r="K62" i="33257"/>
  <c r="A516" i="33253" s="1"/>
  <c r="R41" i="33257"/>
  <c r="Q42" i="33257" s="1"/>
  <c r="N50" i="33257"/>
  <c r="L38" i="33257"/>
  <c r="A482" i="33253"/>
  <c r="A483" i="33253" s="1"/>
  <c r="I59" i="1027" l="1"/>
  <c r="L59" i="1027" s="1"/>
  <c r="A217" i="33253" s="1"/>
  <c r="A218" i="33253" s="1"/>
  <c r="AL44" i="1027"/>
  <c r="AL45" i="1027" s="1"/>
  <c r="A497" i="33253" s="1"/>
  <c r="R55" i="33257"/>
  <c r="F40" i="33257"/>
  <c r="K40" i="33257" s="1"/>
  <c r="L40" i="33257" s="1"/>
  <c r="A347" i="33253"/>
  <c r="Q43" i="33257"/>
  <c r="Q41" i="33257"/>
  <c r="H30" i="33257" l="1"/>
  <c r="A471" i="33253" s="1"/>
  <c r="A216" i="33253"/>
  <c r="H31" i="33257"/>
  <c r="A475" i="33253" s="1"/>
  <c r="Q55" i="33257"/>
  <c r="K30" i="33257" l="1"/>
  <c r="A472" i="33253" s="1"/>
  <c r="A473" i="33253" s="1"/>
  <c r="N60" i="33257"/>
  <c r="S60" i="33257" s="1"/>
  <c r="T60" i="33257" s="1"/>
  <c r="N52" i="33257"/>
  <c r="S39" i="33257" s="1"/>
  <c r="N58" i="33257"/>
  <c r="K63" i="33257"/>
  <c r="N55" i="33257" l="1"/>
  <c r="S40" i="33257" s="1"/>
  <c r="S38" i="33257"/>
  <c r="S37" i="33257" s="1"/>
  <c r="S55" i="33257" s="1"/>
  <c r="T55" i="33257" s="1"/>
  <c r="L30" i="332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 Huber</author>
    <author>widmer</author>
    <author>arthur</author>
    <author>Huber</author>
  </authors>
  <commentList>
    <comment ref="B17" authorId="0" shapeId="0" xr:uid="{00000000-0006-0000-0000-00000100000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0" shapeId="0" xr:uid="{00000000-0006-0000-0000-00000200000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1" shapeId="0" xr:uid="{00000000-0006-0000-0000-00000300000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0" shapeId="0" xr:uid="{00000000-0006-0000-0000-00000400000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0" shapeId="0" xr:uid="{00000000-0006-0000-0000-00000500000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1" shapeId="0" xr:uid="{00000000-0006-0000-0000-00000600000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2" shapeId="0" xr:uid="{00000000-0006-0000-0000-00000700000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0" shapeId="0" xr:uid="{00000000-0006-0000-0000-00000800000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r>
      </text>
    </comment>
    <comment ref="B32" authorId="0" shapeId="0" xr:uid="{00000000-0006-0000-0000-00000900000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0" shapeId="0" xr:uid="{00000000-0006-0000-0000-00000A00000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r>
      </text>
    </comment>
    <comment ref="B35" authorId="0" shapeId="0" xr:uid="{00000000-0006-0000-0000-00000B00000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xr:uid="{00000000-0006-0000-0000-00000C00000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0" shapeId="0" xr:uid="{00000000-0006-0000-0000-00000D00000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0" shapeId="0" xr:uid="{00000000-0006-0000-0000-00000E00000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0" shapeId="0" xr:uid="{00000000-0006-0000-0000-00000F00000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0" shapeId="0" xr:uid="{00000000-0006-0000-0000-00001000000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1" shapeId="0" xr:uid="{00000000-0006-0000-0000-000011000000}">
      <text>
        <r>
          <rPr>
            <sz val="8"/>
            <color indexed="81"/>
            <rFont val="Tahoma"/>
            <family val="2"/>
          </rPr>
          <t>Gilt für alle Kategorien ausser 'MFH' und 'EFH'. Ausnahmen siehe Nutzungsreglement Anhang C. Begründung immer zwingend, wenn Zusatzanforderung nicht erfüllt wird.</t>
        </r>
      </text>
    </comment>
    <comment ref="B68" authorId="1" shapeId="0" xr:uid="{00000000-0006-0000-0000-000012000000}">
      <text>
        <r>
          <rPr>
            <sz val="8"/>
            <color indexed="81"/>
            <rFont val="Tahoma"/>
            <family val="2"/>
          </rPr>
          <t>Gilt für Kategorien ‚Restaurants’, ‚Sportbauten’ und ‚Hallenbäder’ – falls Energieverbrauch für Warmwasser &gt;10 kWh/m2 (EBF0):
20% mit erneuerbarer Energie erbringen.</t>
        </r>
      </text>
    </comment>
    <comment ref="B69" authorId="1" shapeId="0" xr:uid="{00000000-0006-0000-0000-000013000000}">
      <text>
        <r>
          <rPr>
            <sz val="8"/>
            <color indexed="81"/>
            <rFont val="Tahoma"/>
            <family val="2"/>
          </rPr>
          <t>Gilt für Kategorien 'Verkauf' und 'Spital'.
Abwärme ist grundsätzlich zu nutzen. Begründung immer zwingend, wenn Zusatzanforderung nicht erfüllt wird.</t>
        </r>
      </text>
    </comment>
    <comment ref="B72" authorId="0" shapeId="0" xr:uid="{00000000-0006-0000-0000-000014000000}">
      <text>
        <r>
          <rPr>
            <sz val="8"/>
            <color indexed="81"/>
            <rFont val="Tahoma"/>
            <family val="2"/>
          </rPr>
          <t>Gilt für Kategorie "Hallenbad"</t>
        </r>
      </text>
    </comment>
    <comment ref="B73" authorId="0" shapeId="0" xr:uid="{00000000-0006-0000-0000-000015000000}">
      <text>
        <r>
          <rPr>
            <sz val="8"/>
            <color indexed="81"/>
            <rFont val="Tahoma"/>
            <family val="2"/>
          </rPr>
          <t>Gilt für MINERGIE-P und MINERGIE-A.</t>
        </r>
      </text>
    </comment>
    <comment ref="B80" authorId="0" shapeId="0" xr:uid="{00000000-0006-0000-0000-00001600000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65" authorId="0" shapeId="0" xr:uid="{00000000-0006-0000-01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69" authorId="0" shapeId="0" xr:uid="{00000000-0006-0000-0100-000002000000}">
      <text>
        <r>
          <rPr>
            <sz val="9"/>
            <color indexed="81"/>
            <rFont val="Segoe UI"/>
            <family val="2"/>
          </rPr>
          <t>Gilt für Kategorie "Hallenbad"
Valable pour la catégorie "Piscine couverte"
Vale per la categoria "Piscine coperte"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Fuchs Daniel</author>
    <author>arthur</author>
  </authors>
  <commentList>
    <comment ref="B20" authorId="0" shapeId="0" xr:uid="{00000000-0006-0000-0200-000001000000}">
      <text>
        <r>
          <rPr>
            <sz val="9"/>
            <color indexed="81"/>
            <rFont val="Tahoma"/>
            <family val="2"/>
          </rPr>
          <t>g-Wert und Produktebezeichnung
valeur g (taux de transmission d'énergie) et nom du produit utilisé.
valori g, descrizione del prodotto</t>
        </r>
      </text>
    </comment>
    <comment ref="B36" authorId="1" shapeId="0" xr:uid="{00000000-0006-0000-0200-000002000000}">
      <text>
        <r>
          <rPr>
            <b/>
            <sz val="9"/>
            <color indexed="81"/>
            <rFont val="Segoe UI"/>
            <family val="2"/>
          </rPr>
          <t xml:space="preserve">Hinweis:
</t>
        </r>
        <r>
          <rPr>
            <sz val="9"/>
            <color indexed="81"/>
            <rFont val="Segoe UI"/>
            <family val="2"/>
          </rPr>
          <t xml:space="preserve">Falls Nein, so muss die Möglichkeit zur Fensterlüftung trotzdem erfüllt sein.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arthur</author>
    <author>Arthur Huber</author>
  </authors>
  <commentList>
    <comment ref="K45" authorId="0" shapeId="0" xr:uid="{00000000-0006-0000-0400-00000100000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xr:uid="{00000000-0006-0000-0400-00000200000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xr:uid="{00000000-0006-0000-0400-00000300000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xr:uid="{00000000-0006-0000-0400-00000400000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xr:uid="{00000000-0006-0000-0400-00000500000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xr:uid="{00000000-0006-0000-0400-00000600000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xr:uid="{00000000-0006-0000-0400-00000700000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xr:uid="{00000000-0006-0000-0400-00000800000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xr:uid="{00000000-0006-0000-0400-00000900000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xr:uid="{00000000-0006-0000-0400-00000A000000}">
      <text>
        <r>
          <rPr>
            <b/>
            <sz val="9"/>
            <color indexed="81"/>
            <rFont val="Segoe UI"/>
            <family val="2"/>
          </rPr>
          <t xml:space="preserve">MKZ:
</t>
        </r>
        <r>
          <rPr>
            <sz val="9"/>
            <color indexed="81"/>
            <rFont val="Segoe UI"/>
            <family val="2"/>
          </rPr>
          <t>Minergie-Kennzahl</t>
        </r>
      </text>
    </comment>
    <comment ref="B64" authorId="1" shapeId="0" xr:uid="{00000000-0006-0000-0400-00000B000000}">
      <text>
        <r>
          <rPr>
            <sz val="8"/>
            <color indexed="81"/>
            <rFont val="Tahoma"/>
            <family val="2"/>
          </rPr>
          <t>Gilt für MINERGIE-P und MINERGIE-A.</t>
        </r>
      </text>
    </comment>
  </commentList>
</comments>
</file>

<file path=xl/sharedStrings.xml><?xml version="1.0" encoding="utf-8"?>
<sst xmlns="http://schemas.openxmlformats.org/spreadsheetml/2006/main" count="5931" uniqueCount="3755">
  <si>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</si>
  <si>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</si>
  <si>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</si>
  <si>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</si>
  <si>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</si>
  <si>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</si>
  <si>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</si>
  <si>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</si>
  <si>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</si>
  <si>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</si>
  <si>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</si>
  <si>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</si>
  <si>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</si>
  <si>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</si>
  <si>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</si>
  <si>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</si>
  <si>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</si>
  <si>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</si>
  <si>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</si>
  <si>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</si>
  <si>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</si>
  <si>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</si>
  <si>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</si>
  <si>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</si>
  <si>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</si>
  <si>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</si>
  <si>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</si>
  <si>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</si>
  <si>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</si>
  <si>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</si>
  <si>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</si>
  <si>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</si>
  <si>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</si>
  <si>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</si>
  <si>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</si>
  <si>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</si>
  <si>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</si>
  <si>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</si>
  <si>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</si>
  <si>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</si>
  <si>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</si>
  <si>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</si>
  <si>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</si>
  <si>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</si>
  <si>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</si>
  <si>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</si>
  <si>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</si>
  <si>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</si>
  <si>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</si>
  <si>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</si>
  <si>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</si>
  <si>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</si>
  <si>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</si>
  <si>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</si>
  <si>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</si>
  <si>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</si>
  <si>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</si>
  <si>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</si>
  <si>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</si>
  <si>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</si>
  <si>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</si>
  <si>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</si>
  <si>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</si>
  <si>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</si>
  <si>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</si>
  <si>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</si>
  <si>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</si>
  <si>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</si>
  <si>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</si>
  <si>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</si>
  <si>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</si>
  <si>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</si>
  <si>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</si>
  <si>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</si>
  <si>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</si>
  <si>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</si>
  <si>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</si>
  <si>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</si>
  <si>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</si>
  <si>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</si>
  <si>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</si>
  <si>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</si>
  <si>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</si>
  <si>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</si>
  <si>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</si>
  <si>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</si>
  <si>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</si>
  <si>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</si>
  <si>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</si>
  <si>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</si>
  <si>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</si>
  <si>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</si>
  <si>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</si>
  <si>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</si>
  <si>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</si>
  <si>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</si>
  <si>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</si>
  <si>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</si>
  <si>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</si>
  <si>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</si>
  <si>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</si>
  <si>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</si>
  <si>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</si>
  <si>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</si>
  <si>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</si>
  <si>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</si>
  <si>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</si>
  <si>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</si>
  <si>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</si>
  <si>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</si>
  <si>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</si>
  <si>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</si>
  <si>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</si>
  <si>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</si>
  <si>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</si>
  <si>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</si>
  <si>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</si>
  <si>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</si>
  <si>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</si>
  <si>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</si>
  <si>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</si>
  <si>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</si>
  <si>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</si>
  <si>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</si>
  <si>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</si>
  <si>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</si>
  <si>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</si>
  <si>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</si>
  <si>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</si>
  <si>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</si>
  <si>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</si>
  <si>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</si>
  <si>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</si>
  <si>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</si>
  <si>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</si>
  <si>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</si>
  <si>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</si>
  <si>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</si>
  <si>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</si>
  <si>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</si>
  <si>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</si>
  <si>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</si>
  <si>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</si>
  <si>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</si>
  <si>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</si>
  <si>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</si>
  <si>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</si>
  <si>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</si>
  <si>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</si>
  <si>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</si>
  <si>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</si>
  <si>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</si>
  <si>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</si>
  <si>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</si>
  <si>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</si>
  <si>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</si>
  <si>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</si>
  <si>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</si>
  <si>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</si>
  <si>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</si>
  <si>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</si>
  <si>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</si>
  <si>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</si>
  <si>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</si>
  <si>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</si>
  <si>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</si>
  <si>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</si>
  <si>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</si>
  <si>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</si>
  <si>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</si>
  <si>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</si>
  <si>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</si>
  <si>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</si>
  <si>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</si>
  <si>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</si>
  <si>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</si>
  <si>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</si>
  <si>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</si>
  <si>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</si>
  <si>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</si>
  <si>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</si>
  <si>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</si>
  <si>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</si>
  <si>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</si>
  <si>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</si>
  <si>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</si>
  <si>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</si>
  <si>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</si>
  <si>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</si>
  <si>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</si>
  <si>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</si>
  <si>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</si>
  <si>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</si>
  <si>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</si>
  <si>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</si>
  <si>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</si>
  <si>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</si>
  <si>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</si>
  <si>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</si>
  <si>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</si>
  <si>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</si>
  <si>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</si>
  <si>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</si>
  <si>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</si>
  <si>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</si>
  <si>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</si>
  <si>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</si>
  <si>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</si>
  <si>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</si>
  <si>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</si>
  <si>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</si>
  <si>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</si>
  <si>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</si>
  <si>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</si>
  <si>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</si>
  <si>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</si>
  <si>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</si>
  <si>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</si>
  <si>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</si>
  <si>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</si>
  <si>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</si>
  <si>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</si>
  <si>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</si>
  <si>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</si>
  <si>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</si>
  <si>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</si>
  <si>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</si>
  <si>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</si>
  <si>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</si>
  <si>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</si>
  <si>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</si>
  <si>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</si>
  <si>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</si>
  <si>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</si>
  <si>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</si>
  <si>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</si>
  <si>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</si>
  <si>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</si>
  <si>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</si>
  <si>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</si>
  <si>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</si>
  <si>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</si>
  <si>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</si>
  <si>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</si>
  <si>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</si>
  <si>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</si>
  <si>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</si>
  <si>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</si>
  <si>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</si>
  <si>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</si>
  <si>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</si>
  <si>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</si>
  <si>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</si>
  <si>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</si>
  <si>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</si>
  <si>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</si>
  <si>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</si>
  <si>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</si>
  <si>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</si>
  <si>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</si>
  <si>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</si>
  <si>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</si>
  <si>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</si>
  <si>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</si>
  <si>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</si>
  <si>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</si>
  <si>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</si>
  <si>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</si>
  <si>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</si>
  <si>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</si>
  <si>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</si>
  <si>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</si>
  <si>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</si>
  <si>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</si>
  <si>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</si>
  <si>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</si>
  <si>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</si>
  <si>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</si>
  <si>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</si>
  <si>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</si>
  <si>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</si>
  <si>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</si>
  <si>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</si>
  <si>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</si>
  <si>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</si>
  <si>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</si>
  <si>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</si>
  <si>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</si>
  <si>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</si>
  <si>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</si>
  <si>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</si>
  <si>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</si>
  <si>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</si>
  <si>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</si>
  <si>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</si>
  <si>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</si>
  <si>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</si>
  <si>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</si>
  <si>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</si>
  <si>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</si>
  <si>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</si>
  <si>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</si>
  <si>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</si>
  <si>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</si>
  <si>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</si>
  <si>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</si>
  <si>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</si>
  <si>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</si>
  <si>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</si>
  <si>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</si>
  <si>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</si>
  <si>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</si>
  <si>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</si>
  <si>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</si>
  <si>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</si>
  <si>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</si>
  <si>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</si>
  <si>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</si>
  <si>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</si>
  <si>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</si>
  <si>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</si>
  <si>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</si>
  <si>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</si>
  <si>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</si>
  <si>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</si>
  <si>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</si>
  <si>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</si>
  <si>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</si>
  <si>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</si>
  <si>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</si>
  <si>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</si>
  <si>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</si>
  <si>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</si>
  <si>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</si>
  <si>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</si>
  <si>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</si>
  <si>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</si>
  <si>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</si>
  <si>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</si>
  <si>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</si>
  <si>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</si>
  <si>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</si>
  <si>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</si>
  <si>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</si>
  <si>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</si>
  <si>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</si>
  <si>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</si>
  <si>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</si>
  <si>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</si>
  <si>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</si>
  <si>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</si>
  <si>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</si>
  <si>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</si>
  <si>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</si>
  <si>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</si>
  <si>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</si>
  <si>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</si>
  <si>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</si>
  <si>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</si>
  <si>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</si>
  <si>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</si>
  <si>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</si>
  <si>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</si>
  <si>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</si>
  <si>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</si>
  <si>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</si>
  <si>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</si>
  <si>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</si>
  <si>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</si>
  <si>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</si>
  <si>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</si>
  <si>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</si>
  <si>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</si>
  <si>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</si>
  <si>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</si>
  <si>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</si>
  <si>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</si>
  <si>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</si>
  <si>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</si>
  <si>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</si>
  <si>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</si>
  <si>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</si>
  <si>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</si>
  <si>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</si>
  <si>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</si>
  <si>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</si>
  <si>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</si>
  <si>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</si>
  <si>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</si>
  <si>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</si>
  <si>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</si>
  <si>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</si>
  <si>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</si>
  <si>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</si>
  <si>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</si>
  <si>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</si>
  <si>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</si>
  <si>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</si>
  <si>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</si>
  <si>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</si>
  <si>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</si>
  <si>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</si>
  <si>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</si>
  <si>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</si>
  <si>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</si>
  <si>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</si>
  <si>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</si>
  <si>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</si>
  <si>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</si>
  <si>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</si>
  <si>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</si>
  <si>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</si>
  <si>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</si>
  <si>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</si>
  <si>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</si>
  <si>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</si>
  <si>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</si>
  <si>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</si>
  <si>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</si>
  <si>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</si>
  <si>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</si>
  <si>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</si>
  <si>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</si>
  <si>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</si>
  <si>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</si>
  <si>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</si>
  <si>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</si>
  <si>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</si>
  <si>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</si>
  <si>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</si>
  <si>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</si>
  <si>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</si>
  <si>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</si>
  <si>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</si>
  <si>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</si>
  <si>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</si>
  <si>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</si>
  <si>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</si>
  <si>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</si>
  <si>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</si>
  <si>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</si>
  <si>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</si>
  <si>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</si>
  <si>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</si>
  <si>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</si>
  <si>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</si>
  <si>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</si>
  <si>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</si>
  <si>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</si>
  <si>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</si>
  <si>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</si>
  <si>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</si>
  <si>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</si>
  <si>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</si>
  <si>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</si>
  <si>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</si>
  <si>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</si>
  <si>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</si>
  <si>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</si>
  <si>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</si>
  <si>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</si>
  <si>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</si>
  <si>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</si>
  <si>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</si>
  <si>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</si>
  <si>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</si>
  <si>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</si>
  <si>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</si>
  <si>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</si>
  <si>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</si>
  <si>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</si>
  <si>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</si>
  <si>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</si>
  <si>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</si>
  <si>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</si>
  <si>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</si>
  <si>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</si>
  <si>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</si>
  <si>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</si>
  <si>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</si>
  <si>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</si>
  <si>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</si>
  <si>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</si>
  <si>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</si>
  <si>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</si>
  <si>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</si>
  <si>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</si>
  <si>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</si>
  <si>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</si>
  <si>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</si>
  <si>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</si>
  <si>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</si>
  <si>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</si>
  <si>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</si>
  <si>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</si>
  <si>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</si>
  <si>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</si>
  <si>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</si>
  <si>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</si>
  <si>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</si>
  <si>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</si>
  <si>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</si>
  <si>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</si>
  <si>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</si>
  <si>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</si>
  <si>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</si>
  <si>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</si>
  <si>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</si>
  <si>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</si>
  <si>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</si>
  <si>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</si>
  <si>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</si>
  <si>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</si>
  <si>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</si>
  <si>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</si>
  <si>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</si>
  <si>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</si>
  <si>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</si>
  <si>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</si>
  <si>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</si>
  <si>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</si>
  <si>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</si>
  <si>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</si>
  <si>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</si>
  <si>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</si>
  <si>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</si>
  <si>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</si>
  <si>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</si>
  <si>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</si>
  <si>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</si>
  <si>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</si>
  <si>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</si>
  <si>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</si>
  <si>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</si>
  <si>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</si>
  <si>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</si>
  <si>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</si>
  <si>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</si>
  <si>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</si>
  <si>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</si>
  <si>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</si>
  <si>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</si>
  <si>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</si>
  <si>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</si>
  <si>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</si>
  <si>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</si>
  <si>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</si>
  <si>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</si>
  <si>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</si>
  <si>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</si>
  <si>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</si>
  <si>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</si>
  <si>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</si>
  <si>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</si>
  <si>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</si>
  <si>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</si>
  <si>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</si>
  <si>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</si>
  <si>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</si>
  <si>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</si>
  <si>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</si>
  <si>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</si>
  <si>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</si>
  <si>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</si>
  <si>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</si>
  <si>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</si>
  <si>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</si>
  <si>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</si>
  <si>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</si>
  <si>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</si>
  <si>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</si>
  <si>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</si>
  <si>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</si>
  <si>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</si>
  <si>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</si>
  <si>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</si>
  <si>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</si>
  <si>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</si>
  <si>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</si>
  <si>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</si>
  <si>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</si>
  <si>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</si>
  <si>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</si>
  <si>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</si>
  <si>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</si>
  <si>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</si>
  <si>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</si>
  <si>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</si>
  <si>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</si>
  <si>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</si>
  <si>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</si>
  <si>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</si>
  <si>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</si>
  <si>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</si>
  <si>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</si>
  <si>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</si>
  <si>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</si>
  <si>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</si>
  <si>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</si>
  <si>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</si>
  <si>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</si>
  <si>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</si>
  <si>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</si>
  <si>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</si>
  <si>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</si>
  <si>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</si>
  <si>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</si>
  <si>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</si>
  <si>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</si>
  <si>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</si>
  <si>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</si>
  <si>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</si>
  <si>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</si>
  <si>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</si>
  <si>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</si>
  <si>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</si>
  <si>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</si>
  <si>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</si>
  <si>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</si>
  <si>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</si>
  <si>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</si>
  <si>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</si>
  <si>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</si>
  <si>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</si>
  <si>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</si>
  <si>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</si>
  <si>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</si>
  <si>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</si>
  <si>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</si>
  <si>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</si>
  <si>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</si>
  <si>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</si>
  <si>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</si>
  <si>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</si>
  <si>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</si>
  <si>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</si>
  <si>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</si>
  <si>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</si>
  <si>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</si>
  <si>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</si>
  <si>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</si>
  <si>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</si>
  <si>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</si>
  <si>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</si>
  <si>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</si>
  <si>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</si>
  <si>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</si>
  <si>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</si>
  <si>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</si>
  <si>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</si>
  <si>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</si>
  <si>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</si>
  <si>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</si>
  <si>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</si>
  <si>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</si>
  <si>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</si>
  <si>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</si>
  <si>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</si>
  <si>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</si>
  <si>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</si>
  <si>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</si>
  <si>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</si>
  <si>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</si>
  <si>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</si>
  <si>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</si>
  <si>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</si>
  <si>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</si>
  <si>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</si>
  <si>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</si>
  <si>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</si>
  <si>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</si>
  <si>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</si>
  <si>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</si>
  <si>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</si>
  <si>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</si>
  <si>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</si>
  <si>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</si>
  <si>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</si>
  <si>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</si>
  <si>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</si>
  <si>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</si>
  <si>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</si>
  <si>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</si>
  <si>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</si>
  <si>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</si>
  <si>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</si>
  <si>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</si>
  <si>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</si>
  <si>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</si>
  <si>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</si>
  <si>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</si>
  <si>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</si>
  <si>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</si>
  <si>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</si>
  <si>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</si>
  <si>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</si>
  <si>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</si>
  <si>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</si>
  <si>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</si>
  <si>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</si>
  <si>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</si>
  <si>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</si>
  <si>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</si>
  <si>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</si>
  <si>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</si>
  <si>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</si>
  <si>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</si>
  <si>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</si>
  <si>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</si>
  <si>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</si>
  <si>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</si>
  <si>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</si>
  <si>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</si>
  <si>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</si>
  <si>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</si>
  <si>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</si>
  <si>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</si>
  <si>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</si>
  <si>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</si>
  <si>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</si>
  <si>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</si>
  <si>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</si>
  <si>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</si>
  <si>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</si>
  <si>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</si>
  <si>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</si>
  <si>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</si>
  <si>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</si>
  <si>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</si>
  <si>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</si>
  <si>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</si>
  <si>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</si>
  <si>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</si>
  <si>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</si>
  <si>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</si>
  <si>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</si>
  <si>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</si>
  <si>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</si>
  <si>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</si>
  <si>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</si>
  <si>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</si>
  <si>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</si>
  <si>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</si>
  <si>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</si>
  <si>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</si>
  <si>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</si>
  <si>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</si>
  <si>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</si>
  <si>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</si>
  <si>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</si>
  <si>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</si>
  <si>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</si>
  <si>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</si>
  <si>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</si>
  <si>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</si>
  <si>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</si>
  <si>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</si>
  <si>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</si>
  <si>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</si>
  <si>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</si>
  <si>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</si>
  <si>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</si>
  <si>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</si>
  <si>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</si>
  <si>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</si>
  <si>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</si>
  <si>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</si>
  <si>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</si>
  <si>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</si>
  <si>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</si>
  <si>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</si>
  <si>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</si>
  <si>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</si>
  <si>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Auswahl Lüftungsart</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</si>
  <si>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</si>
  <si>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</si>
  <si>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</si>
  <si>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</si>
  <si>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</si>
  <si>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</si>
  <si>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</si>
  <si>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</si>
  <si>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</si>
  <si>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</si>
  <si>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</si>
  <si>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</si>
  <si>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</si>
  <si>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</si>
  <si>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</si>
  <si>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</si>
  <si>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</si>
  <si>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</si>
  <si>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</si>
  <si>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</si>
  <si>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</si>
  <si>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</si>
  <si>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</si>
  <si>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</si>
  <si>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</si>
  <si>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</si>
  <si>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</si>
  <si>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</si>
  <si>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</si>
  <si>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</si>
  <si>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</si>
  <si>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</si>
  <si>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</si>
  <si>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</si>
  <si>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</si>
  <si>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</si>
  <si>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</si>
  <si>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</si>
  <si>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</si>
  <si>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</si>
  <si>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</si>
  <si>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</si>
  <si>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</si>
  <si>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Luftmenge/Einheit</t>
  </si>
  <si>
    <t>Luftwechsel</t>
  </si>
  <si>
    <t>h/a</t>
  </si>
  <si>
    <t>Nennluft/Einheit</t>
  </si>
  <si>
    <t>v min</t>
  </si>
  <si>
    <t>Motor</t>
  </si>
  <si>
    <t>spezifischer Strombedarf der Lüftung (Standardwerte für Kleinanlagen mit AC-Motor)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</si>
  <si>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</si>
  <si>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</si>
  <si>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</si>
  <si>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</si>
  <si>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</si>
  <si>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</si>
  <si>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</si>
  <si>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</si>
  <si>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</si>
  <si>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</si>
  <si>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</si>
  <si>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</si>
  <si>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</si>
  <si>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</si>
  <si>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</si>
  <si>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</si>
  <si>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</si>
  <si>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</si>
  <si>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</si>
  <si>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</si>
  <si>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</si>
  <si>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</si>
  <si>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</si>
  <si>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</si>
  <si>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</si>
  <si>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</si>
  <si>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</si>
  <si>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</si>
  <si>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</si>
  <si>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</si>
  <si>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</si>
  <si>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</si>
  <si>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</si>
  <si>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</si>
  <si>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</si>
  <si>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</si>
  <si>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</si>
  <si>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</si>
  <si>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</si>
  <si>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</si>
  <si>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</si>
  <si>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</si>
  <si>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</si>
  <si>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</si>
  <si>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</si>
  <si>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</si>
  <si>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</si>
  <si>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</si>
  <si>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</si>
  <si>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</si>
  <si>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</si>
  <si>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</si>
  <si>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</si>
  <si>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</si>
  <si>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</si>
  <si>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</si>
  <si>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</si>
  <si>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</si>
  <si>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</si>
  <si>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</si>
  <si>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</si>
  <si>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</si>
  <si>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</si>
  <si>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</si>
  <si>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</si>
  <si>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</si>
  <si>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</si>
  <si>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</si>
  <si>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</si>
  <si>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</si>
  <si>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</si>
  <si>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</si>
  <si>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</si>
  <si>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</si>
  <si>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</si>
  <si>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</si>
  <si>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</si>
  <si>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</si>
  <si>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</si>
  <si>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</si>
  <si>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</si>
  <si>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</si>
  <si>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</si>
  <si>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</si>
  <si>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</si>
  <si>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</si>
  <si>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</si>
  <si>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</si>
  <si>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</si>
  <si>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</si>
  <si>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</si>
  <si>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</si>
  <si>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</si>
  <si>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</si>
  <si>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</si>
  <si>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</si>
  <si>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</si>
  <si>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</si>
  <si>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</si>
  <si>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</si>
  <si>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</si>
  <si>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</si>
  <si>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</si>
  <si>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</si>
  <si>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</si>
  <si>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</si>
  <si>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</si>
  <si>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</si>
  <si>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</si>
  <si>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</si>
  <si>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</si>
  <si>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</si>
  <si>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</si>
  <si>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</si>
  <si>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</si>
  <si>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</si>
  <si>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</si>
  <si>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</si>
  <si>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</si>
  <si>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</si>
  <si>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</si>
  <si>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</si>
  <si>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</si>
  <si>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</si>
  <si>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</si>
  <si>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</si>
  <si>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</si>
  <si>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</si>
  <si>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</si>
  <si>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</si>
  <si>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</si>
  <si>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</si>
  <si>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</si>
  <si>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</si>
  <si>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</si>
  <si>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</si>
  <si>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</si>
  <si>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</si>
  <si>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</si>
  <si>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</si>
  <si>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</si>
  <si>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</si>
  <si>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</si>
  <si>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</si>
  <si>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</si>
  <si>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</si>
  <si>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</si>
  <si>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</si>
  <si>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</si>
  <si>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</si>
  <si>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</si>
  <si>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</si>
  <si>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</si>
  <si>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</si>
  <si>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</si>
  <si>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</si>
  <si>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</si>
  <si>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</si>
  <si>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</si>
  <si>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</si>
  <si>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</si>
  <si>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</si>
  <si>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</si>
  <si>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</si>
  <si>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</si>
  <si>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</si>
  <si>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</si>
  <si>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</si>
  <si>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</si>
  <si>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</si>
  <si>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</si>
  <si>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</si>
  <si>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</si>
  <si>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</si>
  <si>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</si>
  <si>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</si>
  <si>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</si>
  <si>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</si>
  <si>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</si>
  <si>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</si>
  <si>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</si>
  <si>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</si>
  <si>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</si>
  <si>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</si>
  <si>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</si>
  <si>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</si>
  <si>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</si>
  <si>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</si>
  <si>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</si>
  <si>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</si>
  <si>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</si>
  <si>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</si>
  <si>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</si>
  <si>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</si>
  <si>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</si>
  <si>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</si>
  <si>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</si>
  <si>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</si>
  <si>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</si>
  <si>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</si>
  <si>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</si>
  <si>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</si>
  <si>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</si>
  <si>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</si>
  <si>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</si>
  <si>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</si>
  <si>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</si>
  <si>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</si>
  <si>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</si>
  <si>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</si>
  <si>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</si>
  <si>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</si>
  <si>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</si>
  <si>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</si>
  <si>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</si>
  <si>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</si>
  <si>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</si>
  <si>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</si>
  <si>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</si>
  <si>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</si>
  <si>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</si>
  <si>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</si>
  <si>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</si>
  <si>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</si>
  <si>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</si>
  <si>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</si>
  <si>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</si>
  <si>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</si>
  <si>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</si>
  <si>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</si>
  <si>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</si>
  <si>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</si>
  <si>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</si>
  <si>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</si>
  <si>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</si>
  <si>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</si>
  <si>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</si>
  <si>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</si>
  <si>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</si>
  <si>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</si>
  <si>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</si>
  <si>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</si>
  <si>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</si>
  <si>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</si>
  <si>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</si>
  <si>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</si>
  <si>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</si>
  <si>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</si>
  <si>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</si>
  <si>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</si>
  <si>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</si>
  <si>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</si>
  <si>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</si>
  <si>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</si>
  <si>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</si>
  <si>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</si>
  <si>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</si>
  <si>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</si>
  <si>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</si>
  <si>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</si>
  <si>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</si>
  <si>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</si>
  <si>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</si>
  <si>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</si>
  <si>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</si>
  <si>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</si>
  <si>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</si>
  <si>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</si>
  <si>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</si>
  <si>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</si>
  <si>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</si>
  <si>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</si>
  <si>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</si>
  <si>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</si>
  <si>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</si>
  <si>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</si>
  <si>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</si>
  <si>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</si>
  <si>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</si>
  <si>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</si>
  <si>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Standardlüftung1</t>
  </si>
  <si>
    <t>Standardlüftung4</t>
  </si>
  <si>
    <t>Standardlüftung3</t>
  </si>
  <si>
    <t>Standardlüftung2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</si>
  <si>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</si>
  <si>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</si>
  <si>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</si>
  <si>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</si>
  <si>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</si>
  <si>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</si>
  <si>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</si>
  <si>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</si>
  <si>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</si>
  <si>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</si>
  <si>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</si>
  <si>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</si>
  <si>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</si>
  <si>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</si>
  <si>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</si>
  <si>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</si>
  <si>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</si>
  <si>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</si>
  <si>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</si>
  <si>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</si>
  <si>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</si>
  <si>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</si>
  <si>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Ström Wärme und Kälteförderung1</t>
  </si>
  <si>
    <t>Ström Wärme und Kälteförderung2</t>
  </si>
  <si>
    <t>Ström Wärme und Kälteförderung3</t>
  </si>
  <si>
    <t>Ström Wärme und Kälteförderung4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</si>
  <si>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</si>
  <si>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</si>
  <si>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</si>
  <si>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</si>
  <si>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</si>
  <si>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</si>
  <si>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</si>
  <si>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</si>
  <si>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</si>
  <si>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</si>
  <si>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</si>
  <si>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</si>
  <si>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</si>
  <si>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</si>
  <si>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</si>
  <si>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</si>
  <si>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</si>
  <si>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</si>
  <si>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</si>
  <si>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</si>
  <si>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</si>
  <si>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</si>
  <si>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</si>
  <si>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</si>
  <si>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</si>
  <si>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</si>
  <si>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</si>
  <si>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</si>
  <si>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</si>
  <si>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</si>
  <si>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</si>
  <si>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</si>
  <si>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</si>
  <si>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</si>
  <si>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</si>
  <si>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</si>
  <si>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</si>
  <si>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</si>
  <si>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</si>
  <si>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</si>
  <si>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</si>
  <si>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</si>
  <si>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</si>
  <si>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</si>
  <si>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</si>
  <si>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</si>
  <si>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</si>
  <si>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</si>
  <si>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</si>
  <si>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</si>
  <si>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</si>
  <si>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</si>
  <si>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</si>
  <si>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</si>
  <si>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</si>
  <si>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</si>
  <si>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</si>
  <si>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</si>
  <si>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</si>
  <si>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</si>
  <si>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</si>
  <si>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</si>
  <si>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</si>
  <si>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</si>
  <si>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</si>
  <si>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</si>
  <si>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</si>
  <si>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</si>
  <si>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</si>
  <si>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</si>
  <si>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</si>
  <si>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</si>
  <si>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</si>
  <si>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</si>
  <si>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</si>
  <si>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</si>
  <si>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</si>
  <si>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</si>
  <si>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</si>
  <si>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</si>
  <si>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</si>
  <si>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</si>
  <si>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</si>
  <si>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</si>
  <si>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</si>
  <si>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</si>
  <si>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</si>
  <si>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</si>
  <si>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</si>
  <si>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</si>
  <si>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</si>
  <si>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</si>
  <si>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</si>
  <si>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</si>
  <si>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</si>
  <si>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</si>
  <si>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</si>
  <si>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</si>
  <si>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</si>
  <si>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</si>
  <si>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</si>
  <si>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</si>
  <si>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</si>
  <si>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</si>
  <si>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</si>
  <si>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</si>
  <si>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</si>
  <si>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</si>
  <si>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</si>
  <si>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</si>
  <si>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</si>
  <si>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</si>
  <si>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</si>
  <si>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</si>
  <si>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</si>
  <si>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</si>
  <si>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</si>
  <si>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</si>
  <si>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</si>
  <si>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</si>
  <si>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</si>
  <si>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</si>
  <si>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</si>
  <si>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</si>
  <si>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</si>
  <si>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</si>
  <si>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</si>
  <si>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</si>
  <si>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</si>
  <si>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</si>
  <si>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</si>
  <si>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</si>
  <si>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</si>
  <si>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</si>
  <si>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</si>
  <si>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</si>
  <si>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</si>
  <si>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</si>
  <si>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</si>
  <si>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</si>
  <si>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</si>
  <si>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</si>
  <si>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</si>
  <si>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</si>
  <si>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</si>
  <si>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</si>
  <si>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</si>
  <si>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</si>
  <si>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</si>
  <si>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</si>
  <si>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</si>
  <si>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</si>
  <si>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</si>
  <si>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</si>
  <si>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</si>
  <si>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</si>
  <si>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</si>
  <si>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</si>
  <si>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</si>
  <si>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</si>
  <si>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</si>
  <si>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</si>
  <si>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</si>
  <si>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</si>
  <si>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</si>
  <si>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</si>
  <si>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</si>
  <si>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</si>
  <si>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</si>
  <si>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</si>
  <si>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</si>
  <si>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</si>
  <si>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</si>
  <si>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</si>
  <si>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</si>
  <si>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</si>
  <si>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</si>
  <si>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</si>
  <si>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</si>
  <si>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</si>
  <si>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</si>
  <si>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</si>
  <si>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</si>
  <si>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</si>
  <si>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</si>
  <si>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</si>
  <si>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</si>
  <si>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</si>
  <si>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</si>
  <si>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</si>
  <si>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</si>
  <si>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</si>
  <si>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</si>
  <si>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</si>
  <si>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</si>
  <si>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</si>
  <si>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</si>
  <si>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</si>
  <si>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</si>
  <si>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</si>
  <si>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</si>
  <si>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</si>
  <si>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</si>
  <si>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</si>
  <si>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</si>
  <si>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</si>
  <si>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</si>
  <si>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</si>
  <si>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</si>
  <si>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</si>
  <si>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</si>
  <si>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</si>
  <si>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</si>
  <si>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</si>
  <si>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</si>
  <si>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</si>
  <si>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</si>
  <si>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</si>
  <si>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</si>
  <si>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</si>
  <si>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</si>
  <si>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</si>
  <si>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</si>
  <si>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</si>
  <si>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</si>
  <si>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</si>
  <si>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</si>
  <si>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</si>
  <si>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</si>
  <si>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</si>
  <si>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</si>
  <si>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</si>
  <si>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</si>
  <si>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</si>
  <si>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</si>
  <si>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</si>
  <si>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</si>
  <si>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</si>
  <si>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</si>
  <si>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</si>
  <si>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</si>
  <si>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</si>
  <si>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</si>
  <si>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</si>
  <si>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</si>
  <si>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</si>
  <si>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</si>
  <si>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</si>
  <si>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</si>
  <si>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</si>
  <si>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</si>
  <si>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</si>
  <si>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</si>
  <si>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</si>
  <si>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</si>
  <si>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</si>
  <si>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</si>
  <si>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</si>
  <si>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</si>
  <si>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</si>
  <si>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</si>
  <si>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</si>
  <si>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</si>
  <si>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</si>
  <si>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</si>
  <si>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</si>
  <si>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</si>
  <si>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</si>
  <si>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</si>
  <si>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</si>
  <si>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</si>
  <si>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</si>
  <si>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</si>
  <si>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</si>
  <si>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</si>
  <si>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</si>
  <si>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</si>
  <si>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</si>
  <si>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</si>
  <si>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</si>
  <si>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</si>
  <si>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</si>
  <si>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</si>
  <si>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</si>
  <si>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</si>
  <si>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</si>
  <si>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</si>
  <si>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</si>
  <si>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</si>
  <si>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</si>
  <si>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</si>
  <si>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</si>
  <si>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</si>
  <si>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</si>
  <si>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</si>
  <si>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</si>
  <si>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</si>
  <si>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</si>
  <si>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</si>
  <si>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</si>
  <si>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</si>
  <si>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</si>
  <si>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</si>
  <si>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</si>
  <si>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</si>
  <si>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</si>
  <si>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</si>
  <si>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</si>
  <si>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</si>
  <si>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</si>
  <si>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</si>
  <si>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</si>
  <si>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</si>
  <si>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</si>
  <si>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</si>
  <si>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</si>
  <si>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</si>
  <si>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</si>
  <si>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</si>
  <si>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</si>
  <si>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</si>
  <si>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</si>
  <si>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</si>
  <si>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</si>
  <si>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</si>
  <si>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</si>
  <si>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</si>
  <si>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</si>
  <si>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</si>
  <si>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</si>
  <si>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</si>
  <si>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</si>
  <si>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</si>
  <si>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</si>
  <si>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</si>
  <si>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</si>
  <si>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</si>
  <si>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</si>
  <si>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</si>
  <si>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</si>
  <si>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</si>
  <si>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</si>
  <si>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</si>
  <si>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</si>
  <si>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</si>
  <si>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</si>
  <si>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</si>
  <si>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</si>
  <si>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</si>
  <si>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</si>
  <si>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</si>
  <si>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</si>
  <si>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</si>
  <si>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</si>
  <si>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</si>
  <si>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</si>
  <si>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</si>
  <si>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</si>
  <si>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</si>
  <si>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</si>
  <si>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</si>
  <si>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</si>
  <si>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</si>
  <si>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</si>
  <si>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</si>
  <si>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</si>
  <si>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</si>
  <si>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</si>
  <si>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</si>
  <si>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</si>
  <si>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</si>
  <si>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</si>
  <si>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</si>
  <si>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</si>
  <si>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</si>
  <si>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</si>
  <si>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</si>
  <si>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</si>
  <si>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</si>
  <si>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</si>
  <si>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</si>
  <si>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</si>
  <si>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</si>
  <si>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</si>
  <si>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</si>
  <si>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</si>
  <si>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</si>
  <si>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</si>
  <si>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</si>
  <si>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</si>
  <si>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</si>
  <si>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</si>
  <si>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</si>
  <si>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</si>
  <si>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</si>
  <si>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</si>
  <si>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</si>
  <si>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</si>
  <si>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</si>
  <si>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</si>
  <si>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</si>
  <si>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</si>
  <si>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</si>
  <si>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</si>
  <si>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</si>
  <si>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</si>
  <si>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</si>
  <si>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</si>
  <si>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</si>
  <si>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</si>
  <si>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</si>
  <si>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</si>
  <si>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</si>
  <si>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</si>
  <si>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</si>
  <si>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</si>
  <si>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</si>
  <si>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</si>
  <si>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</si>
  <si>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</si>
  <si>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</si>
  <si>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</si>
  <si>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</si>
  <si>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</si>
  <si>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</si>
  <si>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</si>
  <si>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</si>
  <si>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</si>
  <si>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</si>
  <si>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</si>
  <si>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</si>
  <si>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</si>
  <si>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</si>
  <si>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</si>
  <si>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</si>
  <si>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</si>
  <si>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</si>
  <si>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</si>
  <si>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</si>
  <si>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</si>
  <si>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</si>
  <si>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</si>
  <si>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</si>
  <si>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</si>
  <si>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</si>
  <si>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</si>
  <si>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</si>
  <si>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</si>
  <si>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</si>
  <si>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</si>
  <si>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</si>
  <si>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</si>
  <si>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</si>
  <si>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</si>
  <si>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</si>
  <si>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</si>
  <si>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</si>
  <si>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</si>
  <si>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</si>
  <si>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</si>
  <si>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</si>
  <si>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</si>
  <si>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</si>
  <si>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</si>
  <si>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</si>
  <si>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</si>
  <si>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</si>
  <si>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</si>
  <si>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</si>
  <si>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</si>
  <si>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</si>
  <si>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</si>
  <si>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</si>
  <si>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</si>
  <si>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</si>
  <si>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</si>
  <si>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</si>
  <si>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</si>
  <si>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</si>
  <si>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</si>
  <si>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</si>
  <si>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</si>
  <si>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</si>
  <si>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</si>
  <si>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</si>
  <si>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</si>
  <si>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</si>
  <si>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</si>
  <si>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</si>
  <si>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</si>
  <si>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</si>
  <si>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</si>
  <si>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</si>
  <si>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</si>
  <si>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</si>
  <si>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</si>
  <si>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</si>
  <si>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</si>
  <si>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</si>
  <si>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</si>
  <si>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</si>
  <si>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</si>
  <si>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</si>
  <si>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</si>
  <si>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</si>
  <si>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</si>
  <si>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</si>
  <si>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</si>
  <si>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</si>
  <si>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</si>
  <si>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</si>
  <si>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</si>
  <si>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</si>
  <si>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</si>
  <si>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</si>
  <si>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</si>
  <si>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</si>
  <si>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</si>
  <si>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</si>
  <si>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</si>
  <si>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</si>
  <si>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</si>
  <si>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</si>
  <si>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</si>
  <si>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</si>
  <si>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</si>
  <si>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</si>
  <si>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</si>
  <si>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</si>
  <si>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</si>
  <si>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</si>
  <si>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</si>
  <si>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</si>
  <si>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</si>
  <si>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</si>
  <si>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</si>
  <si>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</si>
  <si>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</si>
  <si>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</si>
  <si>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</si>
  <si>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</si>
  <si>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</si>
  <si>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</si>
  <si>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</si>
  <si>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</si>
  <si>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</si>
  <si>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</si>
  <si>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</si>
  <si>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</si>
  <si>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</si>
  <si>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</si>
  <si>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</si>
  <si>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</si>
  <si>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</si>
  <si>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</si>
  <si>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</si>
  <si>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</si>
  <si>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</si>
  <si>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</si>
  <si>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</si>
  <si>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</si>
  <si>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</si>
  <si>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</si>
  <si>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</si>
  <si>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</si>
  <si>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</si>
  <si>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</si>
  <si>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</si>
  <si>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</si>
  <si>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</si>
  <si>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</si>
  <si>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</si>
  <si>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</si>
  <si>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</si>
  <si>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</si>
  <si>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</si>
  <si>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</si>
  <si>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</si>
  <si>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</si>
  <si>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</si>
  <si>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</si>
  <si>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</si>
  <si>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</si>
  <si>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</si>
  <si>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</si>
  <si>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</si>
  <si>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</si>
  <si>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</si>
  <si>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</si>
  <si>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</si>
  <si>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</si>
  <si>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</si>
  <si>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</si>
  <si>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</si>
  <si>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</si>
  <si>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</si>
  <si>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</si>
  <si>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</si>
  <si>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</si>
  <si>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</si>
  <si>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</si>
  <si>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</si>
  <si>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</si>
  <si>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</si>
  <si>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</si>
  <si>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</si>
  <si>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</si>
  <si>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</si>
  <si>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</si>
  <si>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</si>
  <si>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</si>
  <si>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</si>
  <si>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</si>
  <si>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</si>
  <si>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</si>
  <si>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</si>
  <si>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</si>
  <si>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</si>
  <si>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</si>
  <si>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</si>
  <si>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</si>
  <si>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</si>
  <si>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</si>
  <si>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</si>
  <si>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</si>
  <si>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</si>
  <si>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</si>
  <si>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</si>
  <si>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</si>
  <si>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</si>
  <si>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</si>
  <si>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</si>
  <si>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</si>
  <si>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</si>
  <si>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</si>
  <si>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</si>
  <si>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</si>
  <si>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</si>
  <si>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</si>
  <si>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</si>
  <si>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</si>
  <si>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</si>
  <si>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</si>
  <si>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</si>
  <si>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</si>
  <si>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</si>
  <si>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</si>
  <si>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</si>
  <si>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</si>
  <si>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</si>
  <si>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</si>
  <si>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</si>
  <si>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</si>
  <si>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</si>
  <si>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</si>
  <si>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</si>
  <si>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</si>
  <si>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</si>
  <si>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</si>
  <si>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</si>
  <si>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</si>
  <si>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</si>
  <si>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</si>
  <si>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</si>
  <si>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</si>
  <si>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</si>
  <si>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</si>
  <si>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</si>
  <si>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</si>
  <si>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</si>
  <si>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</si>
  <si>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</si>
  <si>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</si>
  <si>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</si>
  <si>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</si>
  <si>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</si>
  <si>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</si>
  <si>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</si>
  <si>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</si>
  <si>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</si>
  <si>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</si>
  <si>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</si>
  <si>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</si>
  <si>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</si>
  <si>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</si>
  <si>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</si>
  <si>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</si>
  <si>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</si>
  <si>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</si>
  <si>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</si>
  <si>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</si>
  <si>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</si>
  <si>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</si>
  <si>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</si>
  <si>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</si>
  <si>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</si>
  <si>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</si>
  <si>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</si>
  <si>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</si>
  <si>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</si>
  <si>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</si>
  <si>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</si>
  <si>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</si>
  <si>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</si>
  <si>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</si>
  <si>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</si>
  <si>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</si>
  <si>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</si>
  <si>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</si>
  <si>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</si>
  <si>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</si>
  <si>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</si>
  <si>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</si>
  <si>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</si>
  <si>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</si>
  <si>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</si>
  <si>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</si>
  <si>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</si>
  <si>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</si>
  <si>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</si>
  <si>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</si>
  <si>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</si>
  <si>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</si>
  <si>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</si>
  <si>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</si>
  <si>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</si>
  <si>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</si>
  <si>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</si>
  <si>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</si>
  <si>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</si>
  <si>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</si>
  <si>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</si>
  <si>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</si>
  <si>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</si>
  <si>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</si>
  <si>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</si>
  <si>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</si>
  <si>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</si>
  <si>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</si>
  <si>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</si>
  <si>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</si>
  <si>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</si>
  <si>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</si>
  <si>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</si>
  <si>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</si>
  <si>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</si>
  <si>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</si>
  <si>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</si>
  <si>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</si>
  <si>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</si>
  <si>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</si>
  <si>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</si>
  <si>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</si>
  <si>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</si>
  <si>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</si>
  <si>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</si>
  <si>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</si>
  <si>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</si>
  <si>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</si>
  <si>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</si>
  <si>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</si>
  <si>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</si>
  <si>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</si>
  <si>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</si>
  <si>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</si>
  <si>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</si>
  <si>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</si>
  <si>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</si>
  <si>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</si>
  <si>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</si>
  <si>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</si>
  <si>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</si>
  <si>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</si>
  <si>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</si>
  <si>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</si>
  <si>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</si>
  <si>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</si>
  <si>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</si>
  <si>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</si>
  <si>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</si>
  <si>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</si>
  <si>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</si>
  <si>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</si>
  <si>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</si>
  <si>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</si>
  <si>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</si>
  <si>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</si>
  <si>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</si>
  <si>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</si>
  <si>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</si>
  <si>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</si>
  <si>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</si>
  <si>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</si>
  <si>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</si>
  <si>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</si>
  <si>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</si>
  <si>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</si>
  <si>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</si>
  <si>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</si>
  <si>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</si>
  <si>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</si>
  <si>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</si>
  <si>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</si>
  <si>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</si>
  <si>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</si>
  <si>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</si>
  <si>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</si>
  <si>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</si>
  <si>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</si>
  <si>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</si>
  <si>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</si>
  <si>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</si>
  <si>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</si>
  <si>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</si>
  <si>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</si>
  <si>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</si>
  <si>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</si>
  <si>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</si>
  <si>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</si>
  <si>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</si>
  <si>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</si>
  <si>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</si>
  <si>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</si>
  <si>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</si>
  <si>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</si>
  <si>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</si>
  <si>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</si>
  <si>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</si>
  <si>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</si>
  <si>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</si>
  <si>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</si>
  <si>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</si>
  <si>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</si>
  <si>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</si>
  <si>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</si>
  <si>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</si>
  <si>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</si>
  <si>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</si>
  <si>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</si>
  <si>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</si>
  <si>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</si>
  <si>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</si>
  <si>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</si>
  <si>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</si>
  <si>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</si>
  <si>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</si>
  <si>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</si>
  <si>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</si>
  <si>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</si>
  <si>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Lüftungsart1 (nur wenn Standardlüftung1 = wahr)</t>
  </si>
  <si>
    <t>Lüftungsart2 (nur wenn Standardlüftung2 = wahr)</t>
  </si>
  <si>
    <t>Lüftungsart3 (nur wenn Standardlüftung3 = wahr)</t>
  </si>
  <si>
    <t>Lüftungsart4 (nur wenn Standardlüftung4 = wahr)</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</si>
  <si>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</si>
  <si>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</si>
  <si>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</si>
  <si>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</si>
  <si>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</si>
  <si>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</si>
  <si>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</si>
  <si>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</si>
  <si>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</si>
  <si>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</si>
  <si>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</si>
  <si>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</si>
  <si>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</si>
  <si>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</si>
  <si>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</si>
  <si>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</si>
  <si>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</si>
  <si>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</si>
  <si>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</si>
  <si>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</si>
  <si>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</si>
  <si>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</si>
  <si>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</si>
  <si>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</si>
  <si>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</si>
  <si>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</si>
  <si>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</si>
  <si>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</si>
  <si>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</si>
  <si>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</si>
  <si>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</si>
  <si>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</si>
  <si>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</si>
  <si>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</si>
  <si>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</si>
  <si>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</si>
  <si>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</si>
  <si>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Warmwasser, Abminderung Warmhaltung Zone1</t>
  </si>
  <si>
    <t>Warmwasser, Abminderung Warmhaltung Zone4</t>
  </si>
  <si>
    <t>Warmwasser, Abminderung Warmhaltung Zone3</t>
  </si>
  <si>
    <t>Warmwasser, Abminderung Warmhaltung Zone2</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</si>
  <si>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</si>
  <si>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</si>
  <si>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</si>
  <si>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</si>
  <si>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</si>
  <si>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</si>
  <si>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</si>
  <si>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</si>
  <si>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</si>
  <si>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</si>
  <si>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</si>
  <si>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</si>
  <si>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</si>
  <si>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</si>
  <si>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</si>
  <si>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</si>
  <si>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</si>
  <si>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</si>
  <si>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</si>
  <si>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</si>
  <si>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</si>
  <si>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</si>
  <si>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</si>
  <si>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</si>
  <si>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</si>
  <si>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</si>
  <si>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</si>
  <si>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</si>
  <si>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</si>
  <si>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Feste Wohnungsbeleuchtung LED A++, Zone1</t>
  </si>
  <si>
    <t>Feste Wohnungsbeleuchtung LED A++, Zone2</t>
  </si>
  <si>
    <t>Feste Wohnungsbeleuchtung LED A++, Zone3</t>
  </si>
  <si>
    <t>Feste Wohnungsbeleuchtung LED A++, Zone4</t>
  </si>
  <si>
    <t>Allg. Beleuchtung LED A++ &amp; Regelung, Zone1</t>
  </si>
  <si>
    <t>Allg. Beleuchtung LED A++ &amp; Regelung, Zone2</t>
  </si>
  <si>
    <t>Allg. Beleuchtung LED A++ &amp; Regelung, Zone3</t>
  </si>
  <si>
    <t>Allg. Beleuchtung LED A++ &amp; Regelung,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</si>
  <si>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</si>
  <si>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</si>
  <si>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</si>
  <si>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</si>
  <si>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</si>
  <si>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</si>
  <si>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</si>
  <si>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</si>
  <si>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</si>
  <si>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</si>
  <si>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</si>
  <si>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</si>
  <si>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</si>
  <si>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</si>
  <si>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</si>
  <si>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</si>
  <si>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</si>
  <si>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</si>
  <si>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</si>
  <si>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</si>
  <si>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</si>
  <si>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</si>
  <si>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</si>
  <si>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</si>
  <si>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</si>
  <si>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</si>
  <si>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</si>
  <si>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</si>
  <si>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</si>
  <si>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</si>
  <si>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</si>
  <si>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</si>
  <si>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</si>
  <si>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</si>
  <si>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</si>
  <si>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</si>
  <si>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</si>
  <si>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</si>
  <si>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</si>
  <si>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</si>
  <si>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</si>
  <si>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</si>
  <si>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</si>
  <si>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</si>
  <si>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</si>
  <si>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</si>
  <si>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</si>
  <si>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</si>
  <si>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</si>
  <si>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</si>
  <si>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</si>
  <si>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</si>
  <si>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</si>
  <si>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</si>
  <si>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</si>
  <si>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</si>
  <si>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</si>
  <si>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</si>
  <si>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</si>
  <si>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</si>
  <si>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</si>
  <si>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</si>
  <si>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</si>
  <si>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</si>
  <si>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</si>
  <si>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</si>
  <si>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</si>
  <si>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</si>
  <si>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</si>
  <si>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</si>
  <si>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</si>
  <si>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</si>
  <si>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</si>
  <si>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</si>
  <si>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</si>
  <si>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</si>
  <si>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</si>
  <si>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</si>
  <si>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</si>
  <si>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</si>
  <si>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</si>
  <si>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</si>
  <si>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</si>
  <si>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</si>
  <si>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</si>
  <si>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</si>
  <si>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</si>
  <si>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</si>
  <si>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</si>
  <si>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</si>
  <si>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</si>
  <si>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</si>
  <si>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</si>
  <si>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</si>
  <si>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</si>
  <si>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</si>
  <si>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</si>
  <si>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</si>
  <si>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</si>
  <si>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</si>
  <si>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Standardlüftung1, Auswahl-Nr.  (0: leer; 1: Ja; 2:Nein)</t>
  </si>
  <si>
    <t>Standardlüftung2, Auswahl-Nr.  (0: leer; 1: Ja; 2:Nein)</t>
  </si>
  <si>
    <t>Standardlüftung3, Auswahl-Nr.  (0: leer; 1: Ja; 2:Nein)</t>
  </si>
  <si>
    <t>Standardlüftung4, Auswahl-Nr.  (0: leer; 1: Ja; 2:Nein)</t>
  </si>
  <si>
    <t>Lüftungsart1, Auswahl-Nr.  (0: leer; 1: keine Lüftung; 2: Zu-/Abluft; 3: Lüftung+WRG; 4: Lüftung+WP; 5: nur Abluft; 6: Abluft-WP; 7: Einzelraumlüftung; 8: Aut Fensterl.)</t>
  </si>
  <si>
    <t>Lüftungsart4, Auswahl-Nr.  (0: leer; 1: keine Lüftung; 2: Zu-/Abluft; 3: Lüftung+WRG; 4: Lüftung+WP; 5: nur Abluft; 6: Abluft-WP; 7: Einzelraumlüftung; 8: Aut Fensterl.)</t>
  </si>
  <si>
    <t>Lüftungsart2, Auswahl-Nr.  (0: leer; 1: keine Lüftung; 2: Zu-/Abluft; 3: Lüftung+WRG; 4: Lüftung+WP; 5: nur Abluft; 6: Abluft-WP; 7: Einzelraumlüftung; 8: Aut Fensterl.)</t>
  </si>
  <si>
    <t>Lüftungsart3, Auswahl-Nr.  (0: leer; 1: keine Lüftung; 2: Zu-/Abluft; 3: Lüftung+WRG; 4: Lüftung+WP; 5: nur Abluft; 6: Abluft-WP; 7: Einzelraumlüftung; 8: Aut Fensterl.)</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</si>
  <si>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</si>
  <si>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</si>
  <si>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</si>
  <si>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</si>
  <si>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</si>
  <si>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</si>
  <si>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</si>
  <si>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</si>
  <si>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</si>
  <si>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</si>
  <si>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</si>
  <si>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</si>
  <si>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</si>
  <si>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</si>
  <si>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</si>
  <si>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</si>
  <si>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</si>
  <si>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</si>
  <si>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</si>
  <si>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Warmwasser, Abminderung Warmhaltung Zone1, Auswahl-Nr.  (0=leer / 1=Ja / 2=Nein)</t>
  </si>
  <si>
    <t>Warmwasser, Abminderung Warmhaltung Zone2, Auswahl-Nr.  (0=leer / 1=Ja / 2=Nein)</t>
  </si>
  <si>
    <t>Warmwasser, Abminderung Warmhaltung Zone3, Auswahl-Nr.  (0=leer / 1=Ja / 2=Nein)</t>
  </si>
  <si>
    <t>Warmwasser, Abminderung Warmhaltung Zone4,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</si>
  <si>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</si>
  <si>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</si>
  <si>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</si>
  <si>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</si>
  <si>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</si>
  <si>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</si>
  <si>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</si>
  <si>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</si>
  <si>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</si>
  <si>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</si>
  <si>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</si>
  <si>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</si>
  <si>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</si>
  <si>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</si>
  <si>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</si>
  <si>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</si>
  <si>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</si>
  <si>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</si>
  <si>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</si>
  <si>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</si>
  <si>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</si>
  <si>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</si>
  <si>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</si>
  <si>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</si>
  <si>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Feste Wohnungsbeleuchtung LED A++, Zone1 (0=leer / 1=Ja / 2=Nein)</t>
  </si>
  <si>
    <t>Feste Wohnungsbeleuchtung LED A++, Zone2 (0=leer / 1=Ja / 2=Nein)</t>
  </si>
  <si>
    <t>Feste Wohnungsbeleuchtung LED A++, Zone3 (0=leer / 1=Ja / 2=Nein)</t>
  </si>
  <si>
    <t>Feste Wohnungsbeleuchtung LED A++, Zone4 (0=leer / 1=Ja / 2=Nein)</t>
  </si>
  <si>
    <t>Allg. Beleuchtung LED A++ &amp; Regelung, Zone1 (0=leer / 1=Ja / 2=Nein)</t>
  </si>
  <si>
    <t>Allg. Beleuchtung LED A++ &amp; Regelung, Zone2 (0=leer / 1=Ja / 2=Nein)</t>
  </si>
  <si>
    <t>Allg. Beleuchtung LED A++ &amp; Regelung, Zone3 (0=leer / 1=Ja / 2=Nein)</t>
  </si>
  <si>
    <t>Allg. Beleuchtung LED A++ &amp; Regelung,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</si>
  <si>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</si>
  <si>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</si>
  <si>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</si>
  <si>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</si>
  <si>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</si>
  <si>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</si>
  <si>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</si>
  <si>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</si>
  <si>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</si>
  <si>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</si>
  <si>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</si>
  <si>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</si>
  <si>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</si>
  <si>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</si>
  <si>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</si>
  <si>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</si>
  <si>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</si>
  <si>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</si>
  <si>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</si>
  <si>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</si>
  <si>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</si>
  <si>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</si>
  <si>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</si>
  <si>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</si>
  <si>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</si>
  <si>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</si>
  <si>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</si>
  <si>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</si>
  <si>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</si>
  <si>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</si>
  <si>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</si>
  <si>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</si>
  <si>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</si>
  <si>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</si>
  <si>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</si>
  <si>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</si>
  <si>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</si>
  <si>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</si>
  <si>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</si>
  <si>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</si>
  <si>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</si>
  <si>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</si>
  <si>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</si>
  <si>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</si>
  <si>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</si>
  <si>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</si>
  <si>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</si>
  <si>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</si>
  <si>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</si>
  <si>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</si>
  <si>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</si>
  <si>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</si>
  <si>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</si>
  <si>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</si>
  <si>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</si>
  <si>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</si>
  <si>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</si>
  <si>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</si>
  <si>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</si>
  <si>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</si>
  <si>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</si>
  <si>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</si>
  <si>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</si>
  <si>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</si>
  <si>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</si>
  <si>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</si>
  <si>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</si>
  <si>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</si>
  <si>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</si>
  <si>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</si>
  <si>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</si>
  <si>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</si>
  <si>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</si>
  <si>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</si>
  <si>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</si>
  <si>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</si>
  <si>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</si>
  <si>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</si>
  <si>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</si>
  <si>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</si>
  <si>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</si>
  <si>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</si>
  <si>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</si>
  <si>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</si>
  <si>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</si>
  <si>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</si>
  <si>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</si>
  <si>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</si>
  <si>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</si>
  <si>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</si>
  <si>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</si>
  <si>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</si>
  <si>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</si>
  <si>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</si>
  <si>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</si>
  <si>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</si>
  <si>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</si>
  <si>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</si>
  <si>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</si>
  <si>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</si>
  <si>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</si>
  <si>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</si>
  <si>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</si>
  <si>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</si>
  <si>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</si>
  <si>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</si>
  <si>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</si>
  <si>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</si>
  <si>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</si>
  <si>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</si>
  <si>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</si>
  <si>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</si>
  <si>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</si>
  <si>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</si>
  <si>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</si>
  <si>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</si>
  <si>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</si>
  <si>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</si>
  <si>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</si>
  <si>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</si>
  <si>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</si>
  <si>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</si>
  <si>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</si>
  <si>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</si>
  <si>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</si>
  <si>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</si>
  <si>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</si>
  <si>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</si>
  <si>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</si>
  <si>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</si>
  <si>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</si>
  <si>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</si>
  <si>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</si>
  <si>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</si>
  <si>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</si>
  <si>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</si>
  <si>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</si>
  <si>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</si>
  <si>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</si>
  <si>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</si>
  <si>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</si>
  <si>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</si>
  <si>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</si>
  <si>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</si>
  <si>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</si>
  <si>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</si>
  <si>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</si>
  <si>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</si>
  <si>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</si>
  <si>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</si>
  <si>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</si>
  <si>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</si>
  <si>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</si>
  <si>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</si>
  <si>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</si>
  <si>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</si>
  <si>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</si>
  <si>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</si>
  <si>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</si>
  <si>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</si>
  <si>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</si>
  <si>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</si>
  <si>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</si>
  <si>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</si>
  <si>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</si>
  <si>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</si>
  <si>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</si>
  <si>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</si>
  <si>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</si>
  <si>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</si>
  <si>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</si>
  <si>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</si>
  <si>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</si>
  <si>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</si>
  <si>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</si>
  <si>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</si>
  <si>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</si>
  <si>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</si>
  <si>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</si>
  <si>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</si>
  <si>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</si>
  <si>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</si>
  <si>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</si>
  <si>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</si>
  <si>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</si>
  <si>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</si>
  <si>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</si>
  <si>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</si>
  <si>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</si>
  <si>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</si>
  <si>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</si>
  <si>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</si>
  <si>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</si>
  <si>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</si>
  <si>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</si>
  <si>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</si>
  <si>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</si>
  <si>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</si>
  <si>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</si>
  <si>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</si>
  <si>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</si>
  <si>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</si>
  <si>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</si>
  <si>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</si>
  <si>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</si>
  <si>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</si>
  <si>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</si>
  <si>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</si>
  <si>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</si>
  <si>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</si>
  <si>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</si>
  <si>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</si>
  <si>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</si>
  <si>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</si>
  <si>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</si>
  <si>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</si>
  <si>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</si>
  <si>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</si>
  <si>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</si>
  <si>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</si>
  <si>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</si>
  <si>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</si>
  <si>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</si>
  <si>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</si>
  <si>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</si>
  <si>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</si>
  <si>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</si>
  <si>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</si>
  <si>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</si>
  <si>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</si>
  <si>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</si>
  <si>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</si>
  <si>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</si>
  <si>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</si>
  <si>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</si>
  <si>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</si>
  <si>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</si>
  <si>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</si>
  <si>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</si>
  <si>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</si>
  <si>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</si>
  <si>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</si>
  <si>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</si>
  <si>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</si>
  <si>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</si>
  <si>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</si>
  <si>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</si>
  <si>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</si>
  <si>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</si>
  <si>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</si>
  <si>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</si>
  <si>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</si>
  <si>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</si>
  <si>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</si>
  <si>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</si>
  <si>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</si>
  <si>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</si>
  <si>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</si>
  <si>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</si>
  <si>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</si>
  <si>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</si>
  <si>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</si>
  <si>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</si>
  <si>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</si>
  <si>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</si>
  <si>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</si>
  <si>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</si>
  <si>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</si>
  <si>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</si>
  <si>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</si>
  <si>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</si>
  <si>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</si>
  <si>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</si>
  <si>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</si>
  <si>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</si>
  <si>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</si>
  <si>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</si>
  <si>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</si>
  <si>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</si>
  <si>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</si>
  <si>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</si>
  <si>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</si>
  <si>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</si>
  <si>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</si>
  <si>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</si>
  <si>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</si>
  <si>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</si>
  <si>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</si>
  <si>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</si>
  <si>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</si>
  <si>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</si>
  <si>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</si>
  <si>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</si>
  <si>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</si>
  <si>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</si>
  <si>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</si>
  <si>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</si>
  <si>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</si>
  <si>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</si>
  <si>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</si>
  <si>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</si>
  <si>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</si>
  <si>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</si>
  <si>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</si>
  <si>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</si>
  <si>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</si>
  <si>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</si>
  <si>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</si>
  <si>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</si>
  <si>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</si>
  <si>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</si>
  <si>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</si>
  <si>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</si>
  <si>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</si>
  <si>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</si>
  <si>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</si>
  <si>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</si>
  <si>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</si>
  <si>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</si>
  <si>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</si>
  <si>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</si>
  <si>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</si>
  <si>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</si>
  <si>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</si>
  <si>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</si>
  <si>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</si>
  <si>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</si>
  <si>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</si>
  <si>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</si>
  <si>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</si>
  <si>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</si>
  <si>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</si>
  <si>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</si>
  <si>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</si>
  <si>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</si>
  <si>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</si>
  <si>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</si>
  <si>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</si>
  <si>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</si>
  <si>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</si>
  <si>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</si>
  <si>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</si>
  <si>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</si>
  <si>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</si>
  <si>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</si>
  <si>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</si>
  <si>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</si>
  <si>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</si>
  <si>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</si>
  <si>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</si>
  <si>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</si>
  <si>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</si>
  <si>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</si>
  <si>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</si>
  <si>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</si>
  <si>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</si>
  <si>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</si>
  <si>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</si>
  <si>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</si>
  <si>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</si>
  <si>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</si>
  <si>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EBF,neu</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</si>
  <si>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</si>
  <si>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</si>
  <si>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</si>
  <si>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</si>
  <si>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</si>
  <si>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</si>
  <si>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</si>
  <si>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</si>
  <si>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</si>
  <si>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</si>
  <si>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</si>
  <si>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t>Zulässiger Höchstanteil nicht erneuerbarer Energie (nur Neubauten)</t>
  </si>
  <si>
    <r>
      <t>Q</t>
    </r>
    <r>
      <rPr>
        <vertAlign val="subscript"/>
        <sz val="9"/>
        <rFont val="Arial"/>
        <family val="2"/>
      </rPr>
      <t>h,li nicht ern.</t>
    </r>
    <r>
      <rPr>
        <sz val="9"/>
        <rFont val="Arial"/>
        <family val="2"/>
      </rPr>
      <t xml:space="preserve"> = </t>
    </r>
  </si>
  <si>
    <r>
      <t>Q</t>
    </r>
    <r>
      <rPr>
        <vertAlign val="subscript"/>
        <sz val="9"/>
        <rFont val="Arial"/>
        <family val="2"/>
      </rPr>
      <t xml:space="preserve">ww, Neubau </t>
    </r>
    <r>
      <rPr>
        <sz val="9"/>
        <rFont val="Arial"/>
        <family val="2"/>
      </rPr>
      <t xml:space="preserve">= </t>
    </r>
  </si>
  <si>
    <t>Anteil WW</t>
  </si>
  <si>
    <t>Anteil Heiz</t>
  </si>
  <si>
    <r>
      <t>Q</t>
    </r>
    <r>
      <rPr>
        <vertAlign val="subscript"/>
        <sz val="9"/>
        <rFont val="Arial"/>
        <family val="2"/>
      </rPr>
      <t xml:space="preserve">ww,li, Neubau </t>
    </r>
    <r>
      <rPr>
        <sz val="9"/>
        <rFont val="Arial"/>
        <family val="2"/>
      </rPr>
      <t xml:space="preserve">= </t>
    </r>
  </si>
  <si>
    <r>
      <t>Q</t>
    </r>
    <r>
      <rPr>
        <vertAlign val="subscript"/>
        <sz val="9"/>
        <rFont val="Arial"/>
        <family val="2"/>
      </rPr>
      <t xml:space="preserve">h+ww,li, Neubau </t>
    </r>
    <r>
      <rPr>
        <sz val="9"/>
        <rFont val="Arial"/>
        <family val="2"/>
      </rPr>
      <t xml:space="preserve">= </t>
    </r>
  </si>
  <si>
    <t>Max. 30%</t>
  </si>
  <si>
    <t>Rechenwert nicht erneuerbarer Energie (nur Neubauten)</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</si>
  <si>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</si>
  <si>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</si>
  <si>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</si>
  <si>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</si>
  <si>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</si>
  <si>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</si>
  <si>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</si>
  <si>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</si>
  <si>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</si>
  <si>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</si>
  <si>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</si>
  <si>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</si>
  <si>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</si>
  <si>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</si>
  <si>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</si>
  <si>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</si>
  <si>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</si>
  <si>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</si>
  <si>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</si>
  <si>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</si>
  <si>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</si>
  <si>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</si>
  <si>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</si>
  <si>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</si>
  <si>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</si>
  <si>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</si>
  <si>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</si>
  <si>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</si>
  <si>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</si>
  <si>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</si>
  <si>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</si>
  <si>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</si>
  <si>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</si>
  <si>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</si>
  <si>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</si>
  <si>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</si>
  <si>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</si>
  <si>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</si>
  <si>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</si>
  <si>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</si>
  <si>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</si>
  <si>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</si>
  <si>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</si>
  <si>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</si>
  <si>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</si>
  <si>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</si>
  <si>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</si>
  <si>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</si>
  <si>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</si>
  <si>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</si>
  <si>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</si>
  <si>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</si>
  <si>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</si>
  <si>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</si>
  <si>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</si>
  <si>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</si>
  <si>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</si>
  <si>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</si>
  <si>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</si>
  <si>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</si>
  <si>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</si>
  <si>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</si>
  <si>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</si>
  <si>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</si>
  <si>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</si>
  <si>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</si>
  <si>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</si>
  <si>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</si>
  <si>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</si>
  <si>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</si>
  <si>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</si>
  <si>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</si>
  <si>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</si>
  <si>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</si>
  <si>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</si>
  <si>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</si>
  <si>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</si>
  <si>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</si>
  <si>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</si>
  <si>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</si>
  <si>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</si>
  <si>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</si>
  <si>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</si>
  <si>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</si>
  <si>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</si>
  <si>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</si>
  <si>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</si>
  <si>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</si>
  <si>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</si>
  <si>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</si>
  <si>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</si>
  <si>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</si>
  <si>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</si>
  <si>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</si>
  <si>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</si>
  <si>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</si>
  <si>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</si>
  <si>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</si>
  <si>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</si>
  <si>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</si>
  <si>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</si>
  <si>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</si>
  <si>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</si>
  <si>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</si>
  <si>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</si>
  <si>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</si>
  <si>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</si>
  <si>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</si>
  <si>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</si>
  <si>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</si>
  <si>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</si>
  <si>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</si>
  <si>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</si>
  <si>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</si>
  <si>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</si>
  <si>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</si>
  <si>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</si>
  <si>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</si>
  <si>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</si>
  <si>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</si>
  <si>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</si>
  <si>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</si>
  <si>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</si>
  <si>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</si>
  <si>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</si>
  <si>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</si>
  <si>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</si>
  <si>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</si>
  <si>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</si>
  <si>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</si>
  <si>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</si>
  <si>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</si>
  <si>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</si>
  <si>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</si>
  <si>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</si>
  <si>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</si>
  <si>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</si>
  <si>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</si>
  <si>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</si>
  <si>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</si>
  <si>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</si>
  <si>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</si>
  <si>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</si>
  <si>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</si>
  <si>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</si>
  <si>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</si>
  <si>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</si>
  <si>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</si>
  <si>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</si>
  <si>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</si>
  <si>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</si>
  <si>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</si>
  <si>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</si>
  <si>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</si>
  <si>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</si>
  <si>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</si>
  <si>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</si>
  <si>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</si>
  <si>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</si>
  <si>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</si>
  <si>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</si>
  <si>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</si>
  <si>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</si>
  <si>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</si>
  <si>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</si>
  <si>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</si>
  <si>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</si>
  <si>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</si>
  <si>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</si>
  <si>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</si>
  <si>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</si>
  <si>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</si>
  <si>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</si>
  <si>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</si>
  <si>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</si>
  <si>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</si>
  <si>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</si>
  <si>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</si>
  <si>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</si>
  <si>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</si>
  <si>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</si>
  <si>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</si>
  <si>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</si>
  <si>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</si>
  <si>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</si>
  <si>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</si>
  <si>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</si>
  <si>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</si>
  <si>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</si>
  <si>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</si>
  <si>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</si>
  <si>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</si>
  <si>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</si>
  <si>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</si>
  <si>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</si>
  <si>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</si>
  <si>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</si>
  <si>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</si>
  <si>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</si>
  <si>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</si>
  <si>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</si>
  <si>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</si>
  <si>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</si>
  <si>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</si>
  <si>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</si>
  <si>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</si>
  <si>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</si>
  <si>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</si>
  <si>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</si>
  <si>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</si>
  <si>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</si>
  <si>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</si>
  <si>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</si>
  <si>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</si>
  <si>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</si>
  <si>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</si>
  <si>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</si>
  <si>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</si>
  <si>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</si>
  <si>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</si>
  <si>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</si>
  <si>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</si>
  <si>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</si>
  <si>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</si>
  <si>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</si>
  <si>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</si>
  <si>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</si>
  <si>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</si>
  <si>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</si>
  <si>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</si>
  <si>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</si>
  <si>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</si>
  <si>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</si>
  <si>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</si>
  <si>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</si>
  <si>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</si>
  <si>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</si>
  <si>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</si>
  <si>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</si>
  <si>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</si>
  <si>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</si>
  <si>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</si>
  <si>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</si>
  <si>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</si>
  <si>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</si>
  <si>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</si>
  <si>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</si>
  <si>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</si>
  <si>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</si>
  <si>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</si>
  <si>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</si>
  <si>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</si>
  <si>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</si>
  <si>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</si>
  <si>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</si>
  <si>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</si>
  <si>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</si>
  <si>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</si>
  <si>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</si>
  <si>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</si>
  <si>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</si>
  <si>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</si>
  <si>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</si>
  <si>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</si>
  <si>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</si>
  <si>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</si>
  <si>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</si>
  <si>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</si>
  <si>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</si>
  <si>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</si>
  <si>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</si>
  <si>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</si>
  <si>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</si>
  <si>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</si>
  <si>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</si>
  <si>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</si>
  <si>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</si>
  <si>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</si>
  <si>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</si>
  <si>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</si>
  <si>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</si>
  <si>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</si>
  <si>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</si>
  <si>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</si>
  <si>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</si>
  <si>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</si>
  <si>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</si>
  <si>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</si>
  <si>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</si>
  <si>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</si>
  <si>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</si>
  <si>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</si>
  <si>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</si>
  <si>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</si>
  <si>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</si>
  <si>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</si>
  <si>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</si>
  <si>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</si>
  <si>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</si>
  <si>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</si>
  <si>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</si>
  <si>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</si>
  <si>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</si>
  <si>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</si>
  <si>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</si>
  <si>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</si>
  <si>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</si>
  <si>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</si>
  <si>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</si>
  <si>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</si>
  <si>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</si>
  <si>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</si>
  <si>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</si>
  <si>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</si>
  <si>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</si>
  <si>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</si>
  <si>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</si>
  <si>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</si>
  <si>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</si>
  <si>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</si>
  <si>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</si>
  <si>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</si>
  <si>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</si>
  <si>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</si>
  <si>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</si>
  <si>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</si>
  <si>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</si>
  <si>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</si>
  <si>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</si>
  <si>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</si>
  <si>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</si>
  <si>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</si>
  <si>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</si>
  <si>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</si>
  <si>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</si>
  <si>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</si>
  <si>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</si>
  <si>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</si>
  <si>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</si>
  <si>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</si>
  <si>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</si>
  <si>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</si>
  <si>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</si>
  <si>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</si>
  <si>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</si>
  <si>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</si>
  <si>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</si>
  <si>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</si>
  <si>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</si>
  <si>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</si>
  <si>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</si>
  <si>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</si>
  <si>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</si>
  <si>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</si>
  <si>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</si>
  <si>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</si>
  <si>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</si>
  <si>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</si>
  <si>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</si>
  <si>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</si>
  <si>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</si>
  <si>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</si>
  <si>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</si>
  <si>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</si>
  <si>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</si>
  <si>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</si>
  <si>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</si>
  <si>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</si>
  <si>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</si>
  <si>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</si>
  <si>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</si>
  <si>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</si>
  <si>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</si>
  <si>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</si>
  <si>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</si>
  <si>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</si>
  <si>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</si>
  <si>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</si>
  <si>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</si>
  <si>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</si>
  <si>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</si>
  <si>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</si>
  <si>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</si>
  <si>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</si>
  <si>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</si>
  <si>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</si>
  <si>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</si>
  <si>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</si>
  <si>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</si>
  <si>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</si>
  <si>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</si>
  <si>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</si>
  <si>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</si>
  <si>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</si>
  <si>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</si>
  <si>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</si>
  <si>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</si>
  <si>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</si>
  <si>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</si>
  <si>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</si>
  <si>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</si>
  <si>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</si>
  <si>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</si>
  <si>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</si>
  <si>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</si>
  <si>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</si>
  <si>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</si>
  <si>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</si>
  <si>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</si>
  <si>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</si>
  <si>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</si>
  <si>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</si>
  <si>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</si>
  <si>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</si>
  <si>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</si>
  <si>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</si>
  <si>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</si>
  <si>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</si>
  <si>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</si>
  <si>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</si>
  <si>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</si>
  <si>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</si>
  <si>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</si>
  <si>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</si>
  <si>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</si>
  <si>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</si>
  <si>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</si>
  <si>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</si>
  <si>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</si>
  <si>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</si>
  <si>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</si>
  <si>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</si>
  <si>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</si>
  <si>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</si>
  <si>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</si>
  <si>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</si>
  <si>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</si>
  <si>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</si>
  <si>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</si>
  <si>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</si>
  <si>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</si>
  <si>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</si>
  <si>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</si>
  <si>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</si>
  <si>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</si>
  <si>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</si>
  <si>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</si>
  <si>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</si>
  <si>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</si>
  <si>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</si>
  <si>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</si>
  <si>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</si>
  <si>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</si>
  <si>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</si>
  <si>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</si>
  <si>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</si>
  <si>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</si>
  <si>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</si>
  <si>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</si>
  <si>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</si>
  <si>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</si>
  <si>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</si>
  <si>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</si>
  <si>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</si>
  <si>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</si>
  <si>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</si>
  <si>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</si>
  <si>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</si>
  <si>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</si>
  <si>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</si>
  <si>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</si>
  <si>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</si>
  <si>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</si>
  <si>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</si>
  <si>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</si>
  <si>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</si>
  <si>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</si>
  <si>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</si>
  <si>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</si>
  <si>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</si>
  <si>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</si>
  <si>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</si>
  <si>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</si>
  <si>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</si>
  <si>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</si>
  <si>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</si>
  <si>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</si>
  <si>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</si>
  <si>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</si>
  <si>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</si>
  <si>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</si>
  <si>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</si>
  <si>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</si>
  <si>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</si>
  <si>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</si>
  <si>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</si>
  <si>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</si>
  <si>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</si>
  <si>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</si>
  <si>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</si>
  <si>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</si>
  <si>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</si>
  <si>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</si>
  <si>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</si>
  <si>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</si>
  <si>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</si>
  <si>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</si>
  <si>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</si>
  <si>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</si>
  <si>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</si>
  <si>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</si>
  <si>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</si>
  <si>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</si>
  <si>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</si>
  <si>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</si>
  <si>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</si>
  <si>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</si>
  <si>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</si>
  <si>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</si>
  <si>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</si>
  <si>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</si>
  <si>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</si>
  <si>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</si>
  <si>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</si>
  <si>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</si>
  <si>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</si>
  <si>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</si>
  <si>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</si>
  <si>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</si>
  <si>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</si>
  <si>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</si>
  <si>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</si>
  <si>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</si>
  <si>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</si>
  <si>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</si>
  <si>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</si>
  <si>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</si>
  <si>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</si>
  <si>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</si>
  <si>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</si>
  <si>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</si>
  <si>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</si>
  <si>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</si>
  <si>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</si>
  <si>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</si>
  <si>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</si>
  <si>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</si>
  <si>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</si>
  <si>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</si>
  <si>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</si>
  <si>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</si>
  <si>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</si>
  <si>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</si>
  <si>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</si>
  <si>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</si>
  <si>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</si>
  <si>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</si>
  <si>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</si>
  <si>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</si>
  <si>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</si>
  <si>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</si>
  <si>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Neubau </t>
    </r>
    <r>
      <rPr>
        <sz val="9"/>
        <rFont val="Arial"/>
        <family val="2"/>
      </rPr>
      <t xml:space="preserve">= </t>
    </r>
  </si>
  <si>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</si>
  <si>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</si>
  <si>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</si>
  <si>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</si>
  <si>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</si>
  <si>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</si>
  <si>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</si>
  <si>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</si>
  <si>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</si>
  <si>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</si>
  <si>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</si>
  <si>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</si>
  <si>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</si>
  <si>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</si>
  <si>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</si>
  <si>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</si>
  <si>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</si>
  <si>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</si>
  <si>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</si>
  <si>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</si>
  <si>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</si>
  <si>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</si>
  <si>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</si>
  <si>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</si>
  <si>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</si>
  <si>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</si>
  <si>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</si>
  <si>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</si>
  <si>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</si>
  <si>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</si>
  <si>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</si>
  <si>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</si>
  <si>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</si>
  <si>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</si>
  <si>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</si>
  <si>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</si>
  <si>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</si>
  <si>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</si>
  <si>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</si>
  <si>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</si>
  <si>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</si>
  <si>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</si>
  <si>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</si>
  <si>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</si>
  <si>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</si>
  <si>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</si>
  <si>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</si>
  <si>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</si>
  <si>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</si>
  <si>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</si>
  <si>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</si>
  <si>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</si>
  <si>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</si>
  <si>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</si>
  <si>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</si>
  <si>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</si>
  <si>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</si>
  <si>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</si>
  <si>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</si>
  <si>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</si>
  <si>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</si>
  <si>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</si>
  <si>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</si>
  <si>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</si>
  <si>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</si>
  <si>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</si>
  <si>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</si>
  <si>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</si>
  <si>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</si>
  <si>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</si>
  <si>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</si>
  <si>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</si>
  <si>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</si>
  <si>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</si>
  <si>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</si>
  <si>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</si>
  <si>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</si>
  <si>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</si>
  <si>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</si>
  <si>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</si>
  <si>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</si>
  <si>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</si>
  <si>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</si>
  <si>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</si>
  <si>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</si>
  <si>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</si>
  <si>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</si>
  <si>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</si>
  <si>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</si>
  <si>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</si>
  <si>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</si>
  <si>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</si>
  <si>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</si>
  <si>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</si>
  <si>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</si>
  <si>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</si>
  <si>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</si>
  <si>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</si>
  <si>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</si>
  <si>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</si>
  <si>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</si>
  <si>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</si>
  <si>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</si>
  <si>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</si>
  <si>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</si>
  <si>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</si>
  <si>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</si>
  <si>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</si>
  <si>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</si>
  <si>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</si>
  <si>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</si>
  <si>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</si>
  <si>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</si>
  <si>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</si>
  <si>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</si>
  <si>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</si>
  <si>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</si>
  <si>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</si>
  <si>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</si>
  <si>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</si>
  <si>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</si>
  <si>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</si>
  <si>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</si>
  <si>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</si>
  <si>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</si>
  <si>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</si>
  <si>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</si>
  <si>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</si>
  <si>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</si>
  <si>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</si>
  <si>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</si>
  <si>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</si>
  <si>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</si>
  <si>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</si>
  <si>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</si>
  <si>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</si>
  <si>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</si>
  <si>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</si>
  <si>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</si>
  <si>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</si>
  <si>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</si>
  <si>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</si>
  <si>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</si>
  <si>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</si>
  <si>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</si>
  <si>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</si>
  <si>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</si>
  <si>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</si>
  <si>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</si>
  <si>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</si>
  <si>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</si>
  <si>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</si>
  <si>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</si>
  <si>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</si>
  <si>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</si>
  <si>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</si>
  <si>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</si>
  <si>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</si>
  <si>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</si>
  <si>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</si>
  <si>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</si>
  <si>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</si>
  <si>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</si>
  <si>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</si>
  <si>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</si>
  <si>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</si>
  <si>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Récupération de la chaleur des eaux usées en %</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</si>
  <si>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</si>
  <si>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</si>
  <si>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</si>
  <si>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</si>
  <si>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</si>
  <si>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</si>
  <si>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</si>
  <si>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</si>
  <si>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</si>
  <si>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</si>
  <si>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</si>
  <si>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</si>
  <si>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</si>
  <si>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</si>
  <si>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</si>
  <si>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</si>
  <si>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</si>
  <si>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</si>
  <si>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</si>
  <si>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</si>
  <si>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</si>
  <si>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</si>
  <si>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</si>
  <si>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Gebäusehöhe [m]</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</si>
  <si>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</si>
  <si>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</si>
  <si>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</si>
  <si>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</si>
  <si>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</si>
  <si>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</si>
  <si>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</si>
  <si>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</si>
  <si>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</si>
  <si>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</si>
  <si>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</si>
  <si>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</si>
  <si>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</si>
  <si>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</si>
  <si>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</si>
  <si>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</si>
  <si>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</si>
  <si>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</si>
  <si>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</si>
  <si>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</si>
  <si>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</si>
  <si>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</si>
  <si>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</si>
  <si>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</si>
  <si>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</si>
  <si>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</si>
  <si>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</si>
  <si>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</si>
  <si>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</si>
  <si>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</si>
  <si>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</si>
  <si>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</si>
  <si>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</si>
  <si>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</si>
  <si>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</si>
  <si>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</si>
  <si>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</si>
  <si>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</si>
  <si>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</si>
  <si>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</si>
  <si>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</si>
  <si>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</si>
  <si>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</si>
  <si>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</si>
  <si>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</si>
  <si>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</si>
  <si>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</si>
  <si>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</si>
  <si>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</si>
  <si>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</si>
  <si>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</si>
  <si>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</si>
  <si>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</si>
  <si>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</si>
  <si>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</si>
  <si>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</si>
  <si>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</si>
  <si>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</si>
  <si>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</si>
  <si>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</si>
  <si>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</si>
  <si>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</si>
  <si>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</si>
  <si>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</si>
  <si>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</si>
  <si>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</si>
  <si>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</si>
  <si>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</si>
  <si>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</si>
  <si>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</si>
  <si>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</si>
  <si>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</si>
  <si>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</si>
  <si>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</si>
  <si>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</si>
  <si>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</si>
  <si>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</si>
  <si>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</si>
  <si>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</si>
  <si>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</si>
  <si>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</si>
  <si>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</si>
  <si>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</si>
  <si>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</si>
  <si>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</si>
  <si>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</si>
  <si>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</si>
  <si>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</si>
  <si>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</si>
  <si>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</si>
  <si>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</si>
  <si>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</si>
  <si>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</si>
  <si>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</si>
  <si>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</si>
  <si>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</si>
  <si>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</si>
  <si>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</si>
  <si>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</si>
  <si>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</si>
  <si>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</si>
  <si>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</si>
  <si>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</si>
  <si>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</si>
  <si>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</si>
  <si>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</si>
  <si>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</si>
  <si>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</si>
  <si>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</si>
  <si>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</si>
  <si>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</si>
  <si>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</si>
  <si>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</si>
  <si>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</si>
  <si>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</si>
  <si>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</si>
  <si>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</si>
  <si>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</si>
  <si>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</si>
  <si>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</si>
  <si>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</si>
  <si>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</si>
  <si>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</si>
  <si>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</si>
  <si>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</si>
  <si>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</si>
  <si>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</si>
  <si>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</si>
  <si>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</si>
  <si>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</si>
  <si>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</si>
  <si>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</si>
  <si>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</si>
  <si>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</si>
  <si>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</si>
  <si>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</si>
  <si>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</si>
  <si>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</si>
  <si>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</si>
  <si>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</si>
  <si>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Sind Leerrohre für E-Mobilität vorgesehen?</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</si>
  <si>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</si>
  <si>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</si>
  <si>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</si>
  <si>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</si>
  <si>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</si>
  <si>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</si>
  <si>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</si>
  <si>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</si>
  <si>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</si>
  <si>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</si>
  <si>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</si>
  <si>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</si>
  <si>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</si>
  <si>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</si>
  <si>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</si>
  <si>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</si>
  <si>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</si>
  <si>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</si>
  <si>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</si>
  <si>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</si>
  <si>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</si>
  <si>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</si>
  <si>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</si>
  <si>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</si>
  <si>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</si>
  <si>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</si>
  <si>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</si>
  <si>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</si>
  <si>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</si>
  <si>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</si>
  <si>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</si>
  <si>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</si>
  <si>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</si>
  <si>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</si>
  <si>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</si>
  <si>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</si>
  <si>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</si>
  <si>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</si>
  <si>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</si>
  <si>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</si>
  <si>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</si>
  <si>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</si>
  <si>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</si>
  <si>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</si>
  <si>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</si>
  <si>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</si>
  <si>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</si>
  <si>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</si>
  <si>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</si>
  <si>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</si>
  <si>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</si>
  <si>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</si>
  <si>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</si>
  <si>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</si>
  <si>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</si>
  <si>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</si>
  <si>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</si>
  <si>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</si>
  <si>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</si>
  <si>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</si>
  <si>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</si>
  <si>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</si>
  <si>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</si>
  <si>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</si>
  <si>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</si>
  <si>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</si>
  <si>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</si>
  <si>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</si>
  <si>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</si>
  <si>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</si>
  <si>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Nachweis der baulichen Grundanforderungen muss eingehalten sein. Die sommerlichen Raumlufttemperaturen wurden gemäss SIA 382/1, Ziffer 4.5 berechnet.  Die Grenzwert- kurve gemäss SIA 180/1, Figur 4 wird ohne Kühlung an weniger als 100h überschritten.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</si>
  <si>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</si>
  <si>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</si>
  <si>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</si>
  <si>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</si>
  <si>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</si>
  <si>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</si>
  <si>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</si>
  <si>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</si>
  <si>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</si>
  <si>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</si>
  <si>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</si>
  <si>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</si>
  <si>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</si>
  <si>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</si>
  <si>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</si>
  <si>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</si>
  <si>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</si>
  <si>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</si>
  <si>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</si>
  <si>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</si>
  <si>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</si>
  <si>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</si>
  <si>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</si>
  <si>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</si>
  <si>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</si>
  <si>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</si>
  <si>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</si>
  <si>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</si>
  <si>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</si>
  <si>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</si>
  <si>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</si>
  <si>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</si>
  <si>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</si>
  <si>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</si>
  <si>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</si>
  <si>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</si>
  <si>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</si>
  <si>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</si>
  <si>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</si>
  <si>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</si>
  <si>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</si>
  <si>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</si>
  <si>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</si>
  <si>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</si>
  <si>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</si>
  <si>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Est-ce que des gaines vides pour la mobilité électrique sont prévues?</t>
  </si>
  <si>
    <t>i tubi vuoti sono destinati alla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</si>
  <si>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</si>
  <si>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</si>
  <si>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</si>
  <si>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</si>
  <si>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</si>
  <si>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</si>
  <si>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</si>
  <si>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</si>
  <si>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</si>
  <si>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</si>
  <si>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</si>
  <si>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</si>
  <si>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</si>
  <si>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</si>
  <si>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</si>
  <si>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</si>
  <si>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</si>
  <si>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</si>
  <si>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</si>
  <si>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</si>
  <si>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</si>
  <si>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</si>
  <si>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</si>
  <si>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</si>
  <si>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</si>
  <si>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</si>
  <si>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Devono essere rispettati i requisiti costruttivi secondo la verifica della protezione termica estiva . Le temperature  dell'aria interna, in estate, sono state calcolate secondo la norma SIA 382/1, paragrafo 4.5.  La curva dei valori limite secondo la norma SIA 180/1, figura 4, viene superata per meno di 100 ore all'anno senza raffreddamento.</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</si>
  <si>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</si>
  <si>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</si>
  <si>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</si>
  <si>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</si>
  <si>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</si>
  <si>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</si>
  <si>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</si>
  <si>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</si>
  <si>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</si>
  <si>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</si>
  <si>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</si>
  <si>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</si>
  <si>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</si>
  <si>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</si>
  <si>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</si>
  <si>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</si>
  <si>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</si>
  <si>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</si>
  <si>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</si>
  <si>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</si>
  <si>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</si>
  <si>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</si>
  <si>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</si>
  <si>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</si>
  <si>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</si>
  <si>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</si>
  <si>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</si>
  <si>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</si>
  <si>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</si>
  <si>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</si>
  <si>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</si>
  <si>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</si>
  <si>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</si>
  <si>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</si>
  <si>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</si>
  <si>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</si>
  <si>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</si>
  <si>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</si>
  <si>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</si>
  <si>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</si>
  <si>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</si>
  <si>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</si>
  <si>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</si>
  <si>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</si>
  <si>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</si>
  <si>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</si>
  <si>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</si>
  <si>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</si>
  <si>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</si>
  <si>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</si>
  <si>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</si>
  <si>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</si>
  <si>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</si>
  <si>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</si>
  <si>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</si>
  <si>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</si>
  <si>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</si>
  <si>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</si>
  <si>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</si>
  <si>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</si>
  <si>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</si>
  <si>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</si>
  <si>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</si>
  <si>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</si>
  <si>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</si>
  <si>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</si>
  <si>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</si>
  <si>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</si>
  <si>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</si>
  <si>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</si>
  <si>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</si>
  <si>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</si>
  <si>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</si>
  <si>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</si>
  <si>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</si>
  <si>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</si>
  <si>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</si>
  <si>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</si>
  <si>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</si>
  <si>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</si>
  <si>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</si>
  <si>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</si>
  <si>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</si>
  <si>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</si>
  <si>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</si>
  <si>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</si>
  <si>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</si>
  <si>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</si>
  <si>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</si>
  <si>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</si>
  <si>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</si>
  <si>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</si>
  <si>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</si>
  <si>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</si>
  <si>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</si>
  <si>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</si>
  <si>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</si>
  <si>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v2.3</t>
  </si>
  <si>
    <t>Formular EN101b, v2.3, zu verwenden bis 31. Dezember 2019</t>
  </si>
  <si>
    <t>Formulaire EN101b, v2.3, à utiliser jusqu'au 31 décembre 2019</t>
  </si>
  <si>
    <t>Formulario EN101b, v2.3, da utilizzare fino al 31.12.2019</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</si>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</sst>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3">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sz val="8"/>
      <color rgb="FFFF0000"/>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9" fillId="0" borderId="0"/>
    <xf numFmtId="0" fontId="110" fillId="0" borderId="0">
      <alignment horizontal="center"/>
    </xf>
    <xf numFmtId="0" fontId="110" fillId="0" borderId="0">
      <alignment horizontal="center" textRotation="90"/>
    </xf>
    <xf numFmtId="0" fontId="111" fillId="0" borderId="0"/>
    <xf numFmtId="0" fontId="111"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47">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0" fillId="26" borderId="11"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3" fillId="25" borderId="34" xfId="0" applyFont="1" applyFill="1" applyBorder="1" applyProtection="1"/>
    <xf numFmtId="0" fontId="13" fillId="25" borderId="35" xfId="0" applyFont="1" applyFill="1" applyBorder="1" applyProtection="1"/>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167" fontId="9" fillId="25" borderId="35" xfId="0" applyNumberFormat="1" applyFont="1" applyFill="1" applyBorder="1" applyAlignment="1">
      <alignment horizontal="center" vertical="center"/>
    </xf>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171" fontId="9" fillId="25" borderId="35" xfId="32" applyNumberFormat="1" applyFont="1" applyFill="1" applyBorder="1" applyAlignment="1">
      <alignment horizontal="center" vertical="center"/>
    </xf>
    <xf numFmtId="167" fontId="13" fillId="25" borderId="35" xfId="0" applyNumberFormat="1" applyFont="1" applyFill="1" applyBorder="1" applyAlignment="1" applyProtection="1">
      <alignment horizontal="center" vertical="center"/>
    </xf>
    <xf numFmtId="167" fontId="13" fillId="25" borderId="35" xfId="32" applyNumberFormat="1" applyFont="1" applyFill="1" applyBorder="1" applyAlignment="1" applyProtection="1">
      <alignment horizontal="center" vertical="center"/>
    </xf>
    <xf numFmtId="0" fontId="0" fillId="25" borderId="35" xfId="0" applyFill="1" applyBorder="1"/>
    <xf numFmtId="0" fontId="10" fillId="25" borderId="47" xfId="0" applyFont="1" applyFill="1" applyBorder="1" applyProtection="1"/>
    <xf numFmtId="167" fontId="10" fillId="25" borderId="16" xfId="0" applyNumberFormat="1" applyFont="1" applyFill="1" applyBorder="1" applyAlignment="1" applyProtection="1">
      <alignment horizontal="center" vertic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8" xfId="0" applyFill="1" applyBorder="1" applyAlignment="1">
      <alignment horizontal="left"/>
    </xf>
    <xf numFmtId="0" fontId="0" fillId="25" borderId="19" xfId="0" applyFill="1" applyBorder="1" applyAlignment="1">
      <alignment horizontal="left"/>
    </xf>
    <xf numFmtId="0" fontId="0" fillId="25" borderId="29" xfId="0" applyFill="1" applyBorder="1" applyAlignment="1">
      <alignment horizontal="left"/>
    </xf>
    <xf numFmtId="0" fontId="0" fillId="25" borderId="15"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59"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0" fontId="13" fillId="25" borderId="15" xfId="0" applyFont="1" applyFill="1" applyBorder="1" applyAlignment="1">
      <alignment horizontal="left"/>
    </xf>
    <xf numFmtId="0" fontId="13" fillId="25" borderId="10" xfId="0" applyFont="1" applyFill="1" applyBorder="1" applyAlignment="1">
      <alignment horizontal="left"/>
    </xf>
    <xf numFmtId="0" fontId="13" fillId="25" borderId="11" xfId="0" applyFont="1" applyFill="1" applyBorder="1" applyAlignment="1">
      <alignment horizontal="lef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167" fontId="9" fillId="25" borderId="35" xfId="32" applyNumberFormat="1" applyFont="1" applyFill="1" applyBorder="1" applyAlignment="1">
      <alignment horizontal="center" vertical="center"/>
    </xf>
    <xf numFmtId="0" fontId="5" fillId="25" borderId="68" xfId="0" applyFont="1" applyFill="1" applyBorder="1" applyAlignment="1" applyProtection="1">
      <alignment horizontal="center"/>
    </xf>
    <xf numFmtId="171" fontId="9" fillId="25" borderId="34" xfId="32" applyNumberFormat="1" applyFont="1" applyFill="1" applyBorder="1" applyAlignment="1">
      <alignment horizontal="center" vertical="center"/>
    </xf>
    <xf numFmtId="171" fontId="13" fillId="25" borderId="34" xfId="32" applyNumberFormat="1" applyFont="1" applyFill="1" applyBorder="1" applyAlignment="1" applyProtection="1">
      <alignment horizontal="center" vertic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0" fontId="40" fillId="25" borderId="47" xfId="0" applyFont="1" applyFill="1" applyBorder="1" applyAlignment="1" applyProtection="1">
      <alignment horizontal="left" vertic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9" fontId="10" fillId="25" borderId="16" xfId="32" applyFont="1" applyFill="1" applyBorder="1" applyAlignment="1" applyProtection="1">
      <alignment horizontal="center" vertical="center"/>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5" borderId="18"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42" fillId="25" borderId="10" xfId="0" applyFont="1" applyFill="1" applyBorder="1" applyAlignment="1" applyProtection="1">
      <alignment horizontal="center" vertical="center"/>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13" fillId="25" borderId="35" xfId="0" applyFont="1" applyFill="1" applyBorder="1" applyAlignment="1" applyProtection="1"/>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55"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9" fontId="0" fillId="25" borderId="1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9" fillId="25" borderId="47" xfId="0" applyFont="1" applyFill="1" applyBorder="1" applyAlignment="1" applyProtection="1">
      <alignment vertical="center"/>
    </xf>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0" fillId="25" borderId="28" xfId="0"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9" fontId="0" fillId="25" borderId="11" xfId="32" applyFont="1" applyFill="1" applyBorder="1" applyAlignment="1">
      <alignment horizontal="center"/>
    </xf>
    <xf numFmtId="0" fontId="0" fillId="25" borderId="79" xfId="0" applyFill="1" applyBorder="1"/>
    <xf numFmtId="0" fontId="27" fillId="26" borderId="14" xfId="0" applyFont="1" applyFill="1" applyBorder="1" applyAlignment="1" applyProtection="1">
      <alignment horizontal="center"/>
    </xf>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2" fontId="0" fillId="39" borderId="27" xfId="0" applyNumberFormat="1" applyFill="1" applyBorder="1" applyAlignment="1">
      <alignment horizontal="center"/>
    </xf>
    <xf numFmtId="2" fontId="0" fillId="39" borderId="26" xfId="0" applyNumberFormat="1" applyFill="1" applyBorder="1" applyAlignment="1">
      <alignment horizontal="center"/>
    </xf>
    <xf numFmtId="2" fontId="0" fillId="39" borderId="30" xfId="0" applyNumberForma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8" xfId="0" applyFont="1" applyFill="1" applyBorder="1" applyAlignment="1">
      <alignment horizontal="center"/>
    </xf>
    <xf numFmtId="0" fontId="90" fillId="41" borderId="18"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0" fontId="0" fillId="36" borderId="11"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169" fontId="0" fillId="36" borderId="17" xfId="0" applyNumberFormat="1" applyFill="1" applyBorder="1" applyAlignment="1">
      <alignment horizontal="center"/>
    </xf>
    <xf numFmtId="169" fontId="0" fillId="36" borderId="18" xfId="0" applyNumberFormat="1" applyFill="1" applyBorder="1" applyAlignment="1">
      <alignment horizontal="center"/>
    </xf>
    <xf numFmtId="169" fontId="0" fillId="36" borderId="19" xfId="0" applyNumberForma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0" fontId="92" fillId="25" borderId="13" xfId="0" applyFont="1" applyFill="1" applyBorder="1" applyAlignment="1" applyProtection="1">
      <alignment horizontal="center" vertical="center"/>
      <protection locked="0"/>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10" fillId="37" borderId="13" xfId="0" applyFont="1" applyFill="1" applyBorder="1" applyAlignment="1">
      <alignment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167" fontId="9" fillId="25" borderId="35" xfId="32" applyNumberFormat="1" applyFont="1" applyFill="1" applyBorder="1" applyAlignment="1" applyProtection="1">
      <alignment horizontal="center" vertical="center"/>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97" fillId="25" borderId="17"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9" fontId="0" fillId="25" borderId="18"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9" fontId="0" fillId="25" borderId="17" xfId="0" applyNumberFormat="1" applyFill="1" applyBorder="1" applyAlignment="1">
      <alignment horizontal="center"/>
    </xf>
    <xf numFmtId="9" fontId="0" fillId="25" borderId="19" xfId="0" applyNumberFormat="1" applyFill="1" applyBorder="1" applyAlignment="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9" fillId="25" borderId="17"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2"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167" fontId="97" fillId="25" borderId="28" xfId="0" applyNumberFormat="1" applyFont="1" applyFill="1" applyBorder="1" applyAlignment="1">
      <alignment horizontal="center"/>
    </xf>
    <xf numFmtId="167" fontId="97" fillId="25" borderId="0" xfId="0" applyNumberFormat="1" applyFont="1" applyFill="1" applyBorder="1" applyAlignment="1">
      <alignment horizontal="center"/>
    </xf>
    <xf numFmtId="167" fontId="97" fillId="25" borderId="29" xfId="0" applyNumberFormat="1" applyFont="1" applyFill="1" applyBorder="1" applyAlignment="1">
      <alignment horizontal="center"/>
    </xf>
    <xf numFmtId="0" fontId="97" fillId="25" borderId="0" xfId="0" applyFont="1" applyFill="1" applyBorder="1" applyAlignment="1">
      <alignment horizontal="center"/>
    </xf>
    <xf numFmtId="0" fontId="97" fillId="25" borderId="29" xfId="0" applyFont="1" applyFill="1" applyBorder="1" applyAlignment="1">
      <alignment horizontal="center"/>
    </xf>
    <xf numFmtId="0" fontId="97" fillId="25" borderId="18" xfId="0" applyFont="1" applyFill="1" applyBorder="1" applyAlignment="1">
      <alignment horizontal="center"/>
    </xf>
    <xf numFmtId="167" fontId="97" fillId="25" borderId="19" xfId="0" applyNumberFormat="1"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0" fontId="115" fillId="43" borderId="16" xfId="0" applyFont="1" applyFill="1" applyBorder="1" applyAlignment="1" applyProtection="1">
      <alignment horizontal="center" vertical="center"/>
      <protection locked="0"/>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0" fontId="9" fillId="25" borderId="78" xfId="0" applyFont="1" applyFill="1" applyBorder="1" applyAlignment="1">
      <alignment vertical="center"/>
    </xf>
    <xf numFmtId="0" fontId="2" fillId="25" borderId="53" xfId="0" applyFont="1" applyFill="1" applyBorder="1" applyAlignment="1">
      <alignment vertical="center"/>
    </xf>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6" borderId="70" xfId="0" applyFont="1" applyFill="1" applyBorder="1" applyAlignment="1">
      <alignment horizontal="left" vertical="center"/>
    </xf>
    <xf numFmtId="0" fontId="108" fillId="36" borderId="61" xfId="0" applyFont="1" applyFill="1" applyBorder="1" applyAlignment="1">
      <alignment vertical="center"/>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8"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9" fillId="48" borderId="102" xfId="0" applyFont="1" applyFill="1" applyBorder="1" applyAlignment="1">
      <alignment horizontal="center"/>
    </xf>
    <xf numFmtId="0" fontId="119"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9"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20"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167" fontId="9" fillId="36" borderId="17" xfId="0" applyNumberFormat="1" applyFont="1" applyFill="1" applyBorder="1" applyAlignment="1" applyProtection="1">
      <alignment horizontal="center"/>
    </xf>
    <xf numFmtId="167" fontId="9" fillId="36" borderId="18" xfId="0" applyNumberFormat="1" applyFont="1" applyFill="1" applyBorder="1" applyAlignment="1" applyProtection="1">
      <alignment horizontal="center"/>
    </xf>
    <xf numFmtId="167" fontId="9" fillId="36" borderId="19" xfId="0" applyNumberFormat="1" applyFont="1" applyFill="1" applyBorder="1" applyAlignment="1" applyProtection="1">
      <alignment horizontal="center"/>
    </xf>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34" xfId="0" applyFont="1" applyFill="1" applyBorder="1" applyAlignment="1">
      <alignment horizontal="center" vertical="center" wrapText="1"/>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0" fillId="36" borderId="28" xfId="0" applyFill="1" applyBorder="1" applyAlignment="1" applyProtection="1">
      <alignment horizontal="left" vertical="center"/>
      <protection locked="0"/>
    </xf>
    <xf numFmtId="0" fontId="0" fillId="36" borderId="0" xfId="0" applyFill="1" applyBorder="1" applyAlignment="1" applyProtection="1">
      <alignment horizontal="left" vertical="center"/>
      <protection locked="0"/>
    </xf>
    <xf numFmtId="0" fontId="0" fillId="36" borderId="29"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2" fillId="36" borderId="28" xfId="0" applyFont="1" applyFill="1" applyBorder="1" applyAlignment="1" applyProtection="1">
      <alignment horizontal="left" vertical="center" wrapText="1"/>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1" xfId="0" applyFont="1" applyFill="1" applyBorder="1" applyAlignment="1" applyProtection="1">
      <alignment horizontal="left" vertical="center"/>
    </xf>
    <xf numFmtId="0" fontId="9" fillId="25" borderId="47"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protection locked="0"/>
    </xf>
    <xf numFmtId="171" fontId="80" fillId="37" borderId="22" xfId="32" applyNumberFormat="1" applyFont="1" applyFill="1" applyBorder="1" applyAlignment="1" applyProtection="1">
      <alignment horizontal="center" vertical="center"/>
      <protection locked="0"/>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68" xfId="0" applyFont="1" applyFill="1" applyBorder="1" applyAlignment="1" applyProtection="1">
      <alignment vertical="center"/>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72" xfId="0" applyFont="1" applyFill="1" applyBorder="1" applyAlignment="1">
      <alignment horizontal="right" vertical="center" wrapText="1"/>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5" fillId="25" borderId="36" xfId="0"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0" xfId="0" applyFont="1" applyFill="1" applyBorder="1" applyAlignment="1">
      <alignment horizontal="center" vertical="top"/>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9" fillId="25" borderId="29" xfId="0" applyFont="1" applyFill="1" applyBorder="1" applyAlignment="1">
      <alignment horizontal="center" vertical="top"/>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107" xfId="0" applyFont="1" applyFill="1" applyBorder="1" applyAlignment="1">
      <alignment vertical="center" wrapText="1"/>
    </xf>
    <xf numFmtId="0" fontId="5" fillId="25" borderId="79" xfId="0" applyFont="1" applyFill="1" applyBorder="1" applyAlignment="1">
      <alignmen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9" xfId="0" applyFont="1" applyFill="1" applyBorder="1" applyAlignment="1" applyProtection="1">
      <alignment horizontal="left" vertical="center" wrapText="1"/>
      <protection locked="0"/>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84" fillId="36" borderId="71" xfId="0" applyFont="1" applyFill="1" applyBorder="1"/>
    <xf numFmtId="0" fontId="84" fillId="36" borderId="31" xfId="0" applyFont="1" applyFill="1" applyBorder="1"/>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22" fontId="16" fillId="25" borderId="0" xfId="0" applyNumberFormat="1" applyFont="1" applyFill="1" applyAlignment="1" applyProtection="1">
      <alignment horizontal="left"/>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72" xfId="0" applyFont="1" applyFill="1" applyBorder="1" applyAlignment="1" applyProtection="1">
      <alignment horizont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84" fillId="36" borderId="70" xfId="0" applyFont="1" applyFill="1" applyBorder="1"/>
    <xf numFmtId="0" fontId="84" fillId="36" borderId="61" xfId="0" applyFont="1" applyFill="1" applyBorder="1"/>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19"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 fillId="25" borderId="0"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9" fillId="25" borderId="0" xfId="0" applyFont="1" applyFill="1" applyAlignment="1" applyProtection="1">
      <alignment horizontal="center"/>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0" fillId="25" borderId="18" xfId="0" applyFill="1" applyBorder="1" applyAlignment="1">
      <alignment horizontal="center"/>
    </xf>
  </cellXfs>
  <cellStyles count="59">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Komma 2 2" xfId="58" xr:uid="{00000000-0005-0000-0000-000022000000}"/>
    <cellStyle name="Komma 3" xfId="57" xr:uid="{00000000-0005-0000-0000-000023000000}"/>
    <cellStyle name="Neutrale" xfId="29" xr:uid="{00000000-0005-0000-0000-000024000000}"/>
    <cellStyle name="Nota" xfId="30" xr:uid="{00000000-0005-0000-0000-000025000000}"/>
    <cellStyle name="Nota 2" xfId="52" xr:uid="{00000000-0005-0000-0000-000026000000}"/>
    <cellStyle name="Output" xfId="31" xr:uid="{00000000-0005-0000-0000-000027000000}"/>
    <cellStyle name="Output 2" xfId="53" xr:uid="{00000000-0005-0000-0000-000028000000}"/>
    <cellStyle name="Prozent" xfId="32" builtinId="5"/>
    <cellStyle name="Result" xfId="48" xr:uid="{00000000-0005-0000-0000-00002A000000}"/>
    <cellStyle name="Result2" xfId="49" xr:uid="{00000000-0005-0000-0000-00002B000000}"/>
    <cellStyle name="Standard" xfId="0" builtinId="0"/>
    <cellStyle name="Standard 2" xfId="45" xr:uid="{00000000-0005-0000-0000-00002D000000}"/>
    <cellStyle name="Standard 3" xfId="56" xr:uid="{00000000-0005-0000-0000-00002E000000}"/>
    <cellStyle name="Standard_Entwurf Erläuterungen.XLT" xfId="33" xr:uid="{00000000-0005-0000-0000-00002F000000}"/>
    <cellStyle name="Testo avviso" xfId="34" xr:uid="{00000000-0005-0000-0000-000030000000}"/>
    <cellStyle name="Testo descrittivo" xfId="35" xr:uid="{00000000-0005-0000-0000-000031000000}"/>
    <cellStyle name="Titolo" xfId="36" xr:uid="{00000000-0005-0000-0000-000032000000}"/>
    <cellStyle name="Titolo 1" xfId="37" xr:uid="{00000000-0005-0000-0000-000033000000}"/>
    <cellStyle name="Titolo 2" xfId="38" xr:uid="{00000000-0005-0000-0000-000034000000}"/>
    <cellStyle name="Titolo 3" xfId="39" xr:uid="{00000000-0005-0000-0000-000035000000}"/>
    <cellStyle name="Titolo 4" xfId="40" xr:uid="{00000000-0005-0000-0000-000036000000}"/>
    <cellStyle name="Totale" xfId="41" xr:uid="{00000000-0005-0000-0000-000037000000}"/>
    <cellStyle name="Totale 2" xfId="54" xr:uid="{00000000-0005-0000-0000-000038000000}"/>
    <cellStyle name="Valore non valido" xfId="42" xr:uid="{00000000-0005-0000-0000-000039000000}"/>
    <cellStyle name="Valore valido" xfId="43" xr:uid="{00000000-0005-0000-0000-00003A000000}"/>
  </cellStyles>
  <dxfs count="361">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0"/>
      </font>
      <fill>
        <patternFill>
          <bgColor theme="0"/>
        </patternFill>
      </fill>
      <border>
        <left/>
        <vertical/>
        <horizontal/>
      </border>
    </dxf>
    <dxf>
      <font>
        <color theme="0"/>
      </font>
      <fill>
        <patternFill>
          <bgColor theme="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b val="0"/>
        <i val="0"/>
        <color theme="1"/>
      </font>
      <fill>
        <patternFill patternType="solid">
          <bgColor indexed="13"/>
        </patternFill>
      </fill>
    </dxf>
    <dxf>
      <font>
        <color theme="1"/>
      </font>
      <fill>
        <patternFill>
          <bgColor rgb="FFEEFFDD"/>
        </patternFill>
      </fill>
    </dxf>
    <dxf>
      <fill>
        <patternFill>
          <bgColor rgb="FFFFC00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i val="0"/>
        <condense val="0"/>
        <extend val="0"/>
        <color indexed="10"/>
      </font>
    </dxf>
    <dxf>
      <font>
        <color theme="0"/>
      </font>
      <fill>
        <patternFill>
          <bgColor theme="0"/>
        </patternFill>
      </fill>
    </dxf>
    <dxf>
      <fill>
        <patternFill>
          <bgColor rgb="FFFFC00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DB1C-44F0-8459-5777FBED5B42}"/>
              </c:ext>
            </c:extLst>
          </c:dPt>
          <c:val>
            <c:numRef>
              <c:f>Eingaben!$C$3</c:f>
              <c:numCache>
                <c:formatCode>General</c:formatCode>
                <c:ptCount val="1"/>
                <c:pt idx="0">
                  <c:v>1</c:v>
                </c:pt>
              </c:numCache>
            </c:numRef>
          </c:val>
          <c:extLst>
            <c:ext xmlns:c16="http://schemas.microsoft.com/office/drawing/2014/chart" uri="{C3380CC4-5D6E-409C-BE32-E72D297353CC}">
              <c16:uniqueId val="{00000002-DB1C-44F0-8459-5777FBED5B42}"/>
            </c:ext>
          </c:extLst>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extLst>
            <c:ext xmlns:c16="http://schemas.microsoft.com/office/drawing/2014/chart" uri="{C3380CC4-5D6E-409C-BE32-E72D297353CC}">
              <c16:uniqueId val="{00000003-DB1C-44F0-8459-5777FBED5B42}"/>
            </c:ext>
          </c:extLst>
        </c:ser>
        <c:dLbls>
          <c:showLegendKey val="0"/>
          <c:showVal val="0"/>
          <c:showCatName val="0"/>
          <c:showSerName val="0"/>
          <c:showPercent val="0"/>
          <c:showBubbleSize val="0"/>
        </c:dLbls>
        <c:gapWidth val="0"/>
        <c:overlap val="100"/>
        <c:axId val="225925768"/>
        <c:axId val="222585736"/>
      </c:barChart>
      <c:catAx>
        <c:axId val="225925768"/>
        <c:scaling>
          <c:orientation val="minMax"/>
        </c:scaling>
        <c:delete val="1"/>
        <c:axPos val="b"/>
        <c:numFmt formatCode="General" sourceLinked="1"/>
        <c:majorTickMark val="none"/>
        <c:minorTickMark val="none"/>
        <c:tickLblPos val="nextTo"/>
        <c:crossAx val="222585736"/>
        <c:crosses val="autoZero"/>
        <c:auto val="1"/>
        <c:lblAlgn val="ctr"/>
        <c:lblOffset val="100"/>
        <c:noMultiLvlLbl val="0"/>
      </c:catAx>
      <c:valAx>
        <c:axId val="222585736"/>
        <c:scaling>
          <c:orientation val="minMax"/>
        </c:scaling>
        <c:delete val="1"/>
        <c:axPos val="l"/>
        <c:numFmt formatCode="0%" sourceLinked="1"/>
        <c:majorTickMark val="none"/>
        <c:minorTickMark val="none"/>
        <c:tickLblPos val="nextTo"/>
        <c:crossAx val="225925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20C4-4A5C-9D35-426CAE638075}"/>
              </c:ext>
            </c:extLst>
          </c:dPt>
          <c:val>
            <c:numRef>
              <c:f>Eingaben!$C$3</c:f>
              <c:numCache>
                <c:formatCode>General</c:formatCode>
                <c:ptCount val="1"/>
                <c:pt idx="0">
                  <c:v>1</c:v>
                </c:pt>
              </c:numCache>
            </c:numRef>
          </c:val>
          <c:extLst>
            <c:ext xmlns:c16="http://schemas.microsoft.com/office/drawing/2014/chart" uri="{C3380CC4-5D6E-409C-BE32-E72D297353CC}">
              <c16:uniqueId val="{00000002-20C4-4A5C-9D35-426CAE638075}"/>
            </c:ext>
          </c:extLst>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extLst>
            <c:ext xmlns:c16="http://schemas.microsoft.com/office/drawing/2014/chart" uri="{C3380CC4-5D6E-409C-BE32-E72D297353CC}">
              <c16:uniqueId val="{00000003-20C4-4A5C-9D35-426CAE638075}"/>
            </c:ext>
          </c:extLst>
        </c:ser>
        <c:dLbls>
          <c:showLegendKey val="0"/>
          <c:showVal val="0"/>
          <c:showCatName val="0"/>
          <c:showSerName val="0"/>
          <c:showPercent val="0"/>
          <c:showBubbleSize val="0"/>
        </c:dLbls>
        <c:gapWidth val="0"/>
        <c:overlap val="100"/>
        <c:axId val="439267608"/>
        <c:axId val="439263296"/>
      </c:barChart>
      <c:catAx>
        <c:axId val="439267608"/>
        <c:scaling>
          <c:orientation val="minMax"/>
        </c:scaling>
        <c:delete val="1"/>
        <c:axPos val="b"/>
        <c:numFmt formatCode="General" sourceLinked="1"/>
        <c:majorTickMark val="none"/>
        <c:minorTickMark val="none"/>
        <c:tickLblPos val="nextTo"/>
        <c:crossAx val="439263296"/>
        <c:crosses val="autoZero"/>
        <c:auto val="1"/>
        <c:lblAlgn val="ctr"/>
        <c:lblOffset val="100"/>
        <c:noMultiLvlLbl val="0"/>
      </c:catAx>
      <c:valAx>
        <c:axId val="439263296"/>
        <c:scaling>
          <c:orientation val="minMax"/>
        </c:scaling>
        <c:delete val="1"/>
        <c:axPos val="l"/>
        <c:numFmt formatCode="0%" sourceLinked="1"/>
        <c:majorTickMark val="none"/>
        <c:minorTickMark val="none"/>
        <c:tickLblPos val="nextTo"/>
        <c:crossAx val="439267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Uebersicht!$P$48</c:f>
              <c:strCache>
                <c:ptCount val="1"/>
                <c:pt idx="0">
                  <c:v>Grenzwert E hlwk,li</c:v>
                </c:pt>
              </c:strCache>
            </c:strRef>
          </c:tx>
          <c:spPr>
            <a:solidFill>
              <a:srgbClr val="92D050"/>
            </a:solidFill>
            <a:ln>
              <a:noFill/>
            </a:ln>
            <a:effectLst/>
          </c:spPr>
          <c:invertIfNegative val="0"/>
          <c:cat>
            <c:numRef>
              <c:f>Uebersicht!$S$59:$T$59</c:f>
              <c:numCache>
                <c:formatCode>General</c:formatCode>
                <c:ptCount val="2"/>
                <c:pt idx="0">
                  <c:v>1</c:v>
                </c:pt>
                <c:pt idx="1">
                  <c:v>3</c:v>
                </c:pt>
              </c:numCache>
            </c:numRef>
          </c:cat>
          <c:val>
            <c:numRef>
              <c:f>Uebersicht!$Q$48:$S$48</c:f>
              <c:numCache>
                <c:formatCode>General</c:formatCode>
                <c:ptCount val="3"/>
                <c:pt idx="0" formatCode="0.0">
                  <c:v>0</c:v>
                </c:pt>
                <c:pt idx="1">
                  <c:v>0</c:v>
                </c:pt>
                <c:pt idx="2">
                  <c:v>0</c:v>
                </c:pt>
              </c:numCache>
            </c:numRef>
          </c:val>
          <c:extLst>
            <c:ext xmlns:c16="http://schemas.microsoft.com/office/drawing/2014/chart" uri="{C3380CC4-5D6E-409C-BE32-E72D297353CC}">
              <c16:uniqueId val="{00000000-8896-441B-8F52-64AAB605BEE8}"/>
            </c:ext>
          </c:extLst>
        </c:ser>
        <c:ser>
          <c:idx val="6"/>
          <c:order val="1"/>
          <c:tx>
            <c:v/>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Uebersicht!$Q$49:$S$49</c:f>
              <c:numCache>
                <c:formatCode>General</c:formatCode>
                <c:ptCount val="3"/>
                <c:pt idx="0" formatCode="0.0">
                  <c:v>0</c:v>
                </c:pt>
              </c:numCache>
            </c:numRef>
          </c:val>
          <c:extLst>
            <c:ext xmlns:c16="http://schemas.microsoft.com/office/drawing/2014/chart" uri="{C3380CC4-5D6E-409C-BE32-E72D297353CC}">
              <c16:uniqueId val="{00000001-8896-441B-8F52-64AAB605BEE8}"/>
            </c:ext>
          </c:extLst>
        </c:ser>
        <c:ser>
          <c:idx val="14"/>
          <c:order val="2"/>
          <c:tx>
            <c:v/>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Uebersicht!$Q$50:$S$50</c:f>
              <c:numCache>
                <c:formatCode>General</c:formatCode>
                <c:ptCount val="3"/>
                <c:pt idx="0" formatCode="0.0">
                  <c:v>0</c:v>
                </c:pt>
                <c:pt idx="1">
                  <c:v>0</c:v>
                </c:pt>
                <c:pt idx="2">
                  <c:v>0</c:v>
                </c:pt>
              </c:numCache>
            </c:numRef>
          </c:val>
          <c:extLst>
            <c:ext xmlns:c16="http://schemas.microsoft.com/office/drawing/2014/chart" uri="{C3380CC4-5D6E-409C-BE32-E72D297353CC}">
              <c16:uniqueId val="{00000002-8896-441B-8F52-64AAB605BEE8}"/>
            </c:ext>
          </c:extLst>
        </c:ser>
        <c:ser>
          <c:idx val="7"/>
          <c:order val="3"/>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Uebersicht!$Q$51:$S$51</c:f>
              <c:numCache>
                <c:formatCode>General</c:formatCode>
                <c:ptCount val="3"/>
                <c:pt idx="1">
                  <c:v>0</c:v>
                </c:pt>
                <c:pt idx="2">
                  <c:v>0</c:v>
                </c:pt>
              </c:numCache>
            </c:numRef>
          </c:val>
          <c:extLst>
            <c:ext xmlns:c16="http://schemas.microsoft.com/office/drawing/2014/chart" uri="{C3380CC4-5D6E-409C-BE32-E72D297353CC}">
              <c16:uniqueId val="{00000003-8896-441B-8F52-64AAB605BEE8}"/>
            </c:ext>
          </c:extLst>
        </c:ser>
        <c:ser>
          <c:idx val="8"/>
          <c:order val="4"/>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Uebersicht!$Q$52:$S$52</c:f>
              <c:numCache>
                <c:formatCode>General</c:formatCode>
                <c:ptCount val="3"/>
                <c:pt idx="1">
                  <c:v>0</c:v>
                </c:pt>
                <c:pt idx="2">
                  <c:v>0</c:v>
                </c:pt>
              </c:numCache>
            </c:numRef>
          </c:val>
          <c:extLst>
            <c:ext xmlns:c16="http://schemas.microsoft.com/office/drawing/2014/chart" uri="{C3380CC4-5D6E-409C-BE32-E72D297353CC}">
              <c16:uniqueId val="{00000004-8896-441B-8F52-64AAB605BEE8}"/>
            </c:ext>
          </c:extLst>
        </c:ser>
        <c:ser>
          <c:idx val="9"/>
          <c:order val="5"/>
          <c:tx>
            <c:v/>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Uebersicht!$Q$53:$S$53</c:f>
              <c:numCache>
                <c:formatCode>General</c:formatCode>
                <c:ptCount val="3"/>
                <c:pt idx="1">
                  <c:v>0</c:v>
                </c:pt>
                <c:pt idx="2">
                  <c:v>0</c:v>
                </c:pt>
              </c:numCache>
            </c:numRef>
          </c:val>
          <c:extLst>
            <c:ext xmlns:c16="http://schemas.microsoft.com/office/drawing/2014/chart" uri="{C3380CC4-5D6E-409C-BE32-E72D297353CC}">
              <c16:uniqueId val="{00000005-8896-441B-8F52-64AAB605BEE8}"/>
            </c:ext>
          </c:extLst>
        </c:ser>
        <c:ser>
          <c:idx val="10"/>
          <c:order val="6"/>
          <c:tx>
            <c:v/>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Uebersicht!$Q$54:$S$54</c:f>
              <c:numCache>
                <c:formatCode>General</c:formatCode>
                <c:ptCount val="3"/>
                <c:pt idx="1">
                  <c:v>0</c:v>
                </c:pt>
                <c:pt idx="2">
                  <c:v>0</c:v>
                </c:pt>
              </c:numCache>
            </c:numRef>
          </c:val>
          <c:extLst>
            <c:ext xmlns:c16="http://schemas.microsoft.com/office/drawing/2014/chart" uri="{C3380CC4-5D6E-409C-BE32-E72D297353CC}">
              <c16:uniqueId val="{00000006-8896-441B-8F52-64AAB605BEE8}"/>
            </c:ext>
          </c:extLst>
        </c:ser>
        <c:ser>
          <c:idx val="4"/>
          <c:order val="9"/>
          <c:tx>
            <c:strRef>
              <c:f>Uebersicht!$M$43</c:f>
              <c:strCache>
                <c:ptCount val="1"/>
                <c:pt idx="0">
                  <c:v>Heizung</c:v>
                </c:pt>
              </c:strCache>
            </c:strRef>
          </c:tx>
          <c:spPr>
            <a:solidFill>
              <a:srgbClr val="EA6E76"/>
            </a:solidFill>
            <a:ln>
              <a:noFill/>
            </a:ln>
            <a:effectLst/>
          </c:spPr>
          <c:invertIfNegative val="0"/>
          <c:cat>
            <c:numRef>
              <c:f>Uebersicht!$S$59:$T$59</c:f>
              <c:numCache>
                <c:formatCode>General</c:formatCode>
                <c:ptCount val="2"/>
                <c:pt idx="0">
                  <c:v>1</c:v>
                </c:pt>
                <c:pt idx="1">
                  <c:v>3</c:v>
                </c:pt>
              </c:numCache>
            </c:numRef>
          </c:cat>
          <c:val>
            <c:numRef>
              <c:f>Uebersicht!$Q$41:$S$41</c:f>
              <c:numCache>
                <c:formatCode>0.0</c:formatCode>
                <c:ptCount val="3"/>
                <c:pt idx="0">
                  <c:v>0</c:v>
                </c:pt>
                <c:pt idx="1">
                  <c:v>0</c:v>
                </c:pt>
                <c:pt idx="2" formatCode="General">
                  <c:v>0</c:v>
                </c:pt>
              </c:numCache>
            </c:numRef>
          </c:val>
          <c:extLst>
            <c:ext xmlns:c16="http://schemas.microsoft.com/office/drawing/2014/chart" uri="{C3380CC4-5D6E-409C-BE32-E72D297353CC}">
              <c16:uniqueId val="{00000007-8896-441B-8F52-64AAB605BEE8}"/>
            </c:ext>
          </c:extLst>
        </c:ser>
        <c:ser>
          <c:idx val="3"/>
          <c:order val="10"/>
          <c:tx>
            <c:strRef>
              <c:f>Uebersicht!$M$44</c:f>
              <c:strCache>
                <c:ptCount val="1"/>
                <c:pt idx="0">
                  <c:v>Warmwasser</c:v>
                </c:pt>
              </c:strCache>
            </c:strRef>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Uebersicht!$Q$42:$S$42</c:f>
              <c:numCache>
                <c:formatCode>0.0</c:formatCode>
                <c:ptCount val="3"/>
                <c:pt idx="0">
                  <c:v>0</c:v>
                </c:pt>
                <c:pt idx="1">
                  <c:v>0</c:v>
                </c:pt>
                <c:pt idx="2" formatCode="General">
                  <c:v>0</c:v>
                </c:pt>
              </c:numCache>
            </c:numRef>
          </c:val>
          <c:extLst>
            <c:ext xmlns:c16="http://schemas.microsoft.com/office/drawing/2014/chart" uri="{C3380CC4-5D6E-409C-BE32-E72D297353CC}">
              <c16:uniqueId val="{00000008-8896-441B-8F52-64AAB605BEE8}"/>
            </c:ext>
          </c:extLst>
        </c:ser>
        <c:ser>
          <c:idx val="16"/>
          <c:order val="11"/>
          <c:tx>
            <c:strRef>
              <c:f>Uebersicht!$M$45</c:f>
              <c:strCache>
                <c:ptCount val="1"/>
                <c:pt idx="0">
                  <c:v>Lüftung + Klima</c:v>
                </c:pt>
              </c:strCache>
            </c:strRef>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Uebersicht!$Q$43:$S$43</c:f>
              <c:numCache>
                <c:formatCode>0.0</c:formatCode>
                <c:ptCount val="3"/>
                <c:pt idx="0">
                  <c:v>0</c:v>
                </c:pt>
                <c:pt idx="1">
                  <c:v>0</c:v>
                </c:pt>
                <c:pt idx="2" formatCode="General">
                  <c:v>0</c:v>
                </c:pt>
              </c:numCache>
            </c:numRef>
          </c:val>
          <c:extLst>
            <c:ext xmlns:c16="http://schemas.microsoft.com/office/drawing/2014/chart" uri="{C3380CC4-5D6E-409C-BE32-E72D297353CC}">
              <c16:uniqueId val="{00000009-8896-441B-8F52-64AAB605BEE8}"/>
            </c:ext>
          </c:extLst>
        </c:ser>
        <c:ser>
          <c:idx val="17"/>
          <c:order val="12"/>
          <c:tx>
            <c:strRef>
              <c:f>Uebersicht!$M$46</c:f>
              <c:strCache>
                <c:ptCount val="1"/>
                <c:pt idx="0">
                  <c:v>Wohnstrom</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Uebersicht!$Q$44:$S$44</c:f>
              <c:numCache>
                <c:formatCode>0.0</c:formatCode>
                <c:ptCount val="3"/>
                <c:pt idx="0">
                  <c:v>0</c:v>
                </c:pt>
                <c:pt idx="1">
                  <c:v>0</c:v>
                </c:pt>
                <c:pt idx="2" formatCode="General">
                  <c:v>0</c:v>
                </c:pt>
              </c:numCache>
            </c:numRef>
          </c:val>
          <c:extLst>
            <c:ext xmlns:c16="http://schemas.microsoft.com/office/drawing/2014/chart" uri="{C3380CC4-5D6E-409C-BE32-E72D297353CC}">
              <c16:uniqueId val="{0000000A-8896-441B-8F52-64AAB605BEE8}"/>
            </c:ext>
          </c:extLst>
        </c:ser>
        <c:ser>
          <c:idx val="18"/>
          <c:order val="13"/>
          <c:tx>
            <c:strRef>
              <c:f>Uebersicht!$M$47</c:f>
              <c:strCache>
                <c:ptCount val="1"/>
                <c:pt idx="0">
                  <c:v>Beleuchtung</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Uebersicht!$Q$45:$S$45</c:f>
              <c:numCache>
                <c:formatCode>0.0</c:formatCode>
                <c:ptCount val="3"/>
                <c:pt idx="0">
                  <c:v>0</c:v>
                </c:pt>
                <c:pt idx="1">
                  <c:v>0</c:v>
                </c:pt>
                <c:pt idx="2" formatCode="General">
                  <c:v>0</c:v>
                </c:pt>
              </c:numCache>
            </c:numRef>
          </c:val>
          <c:extLst>
            <c:ext xmlns:c16="http://schemas.microsoft.com/office/drawing/2014/chart" uri="{C3380CC4-5D6E-409C-BE32-E72D297353CC}">
              <c16:uniqueId val="{0000000B-8896-441B-8F52-64AAB605BEE8}"/>
            </c:ext>
          </c:extLst>
        </c:ser>
        <c:ser>
          <c:idx val="19"/>
          <c:order val="14"/>
          <c:tx>
            <c:strRef>
              <c:f>Uebersicht!$M$48</c:f>
              <c:strCache>
                <c:ptCount val="1"/>
                <c:pt idx="0">
                  <c:v>Geräte</c:v>
                </c:pt>
              </c:strCache>
            </c:strRef>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Uebersicht!$Q$46:$S$46</c:f>
              <c:numCache>
                <c:formatCode>0.0</c:formatCode>
                <c:ptCount val="3"/>
                <c:pt idx="0">
                  <c:v>0</c:v>
                </c:pt>
                <c:pt idx="1">
                  <c:v>0</c:v>
                </c:pt>
                <c:pt idx="2" formatCode="General">
                  <c:v>0</c:v>
                </c:pt>
              </c:numCache>
            </c:numRef>
          </c:val>
          <c:extLst>
            <c:ext xmlns:c16="http://schemas.microsoft.com/office/drawing/2014/chart" uri="{C3380CC4-5D6E-409C-BE32-E72D297353CC}">
              <c16:uniqueId val="{0000000C-8896-441B-8F52-64AAB605BEE8}"/>
            </c:ext>
          </c:extLst>
        </c:ser>
        <c:ser>
          <c:idx val="20"/>
          <c:order val="15"/>
          <c:tx>
            <c:strRef>
              <c:f>Uebersicht!$M$49</c:f>
              <c:strCache>
                <c:ptCount val="1"/>
                <c:pt idx="0">
                  <c:v>Allgemeine Gebäudetechnik</c:v>
                </c:pt>
              </c:strCache>
            </c:strRef>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Uebersicht!$Q$47:$S$47</c:f>
              <c:numCache>
                <c:formatCode>0.0</c:formatCode>
                <c:ptCount val="3"/>
                <c:pt idx="0">
                  <c:v>0</c:v>
                </c:pt>
                <c:pt idx="1">
                  <c:v>0</c:v>
                </c:pt>
                <c:pt idx="2" formatCode="General">
                  <c:v>0</c:v>
                </c:pt>
              </c:numCache>
            </c:numRef>
          </c:val>
          <c:extLst>
            <c:ext xmlns:c16="http://schemas.microsoft.com/office/drawing/2014/chart" uri="{C3380CC4-5D6E-409C-BE32-E72D297353CC}">
              <c16:uniqueId val="{0000000D-8896-441B-8F52-64AAB605BEE8}"/>
            </c:ext>
          </c:extLst>
        </c:ser>
        <c:ser>
          <c:idx val="0"/>
          <c:order val="16"/>
          <c:tx>
            <c:v/>
          </c:tx>
          <c:spPr>
            <a:noFill/>
            <a:ln>
              <a:noFill/>
            </a:ln>
            <a:effectLst/>
          </c:spPr>
          <c:invertIfNegative val="0"/>
          <c:cat>
            <c:numRef>
              <c:f>Uebersicht!$S$59:$T$59</c:f>
              <c:numCache>
                <c:formatCode>General</c:formatCode>
                <c:ptCount val="2"/>
                <c:pt idx="0">
                  <c:v>1</c:v>
                </c:pt>
                <c:pt idx="1">
                  <c:v>3</c:v>
                </c:pt>
              </c:numCache>
            </c:numRef>
          </c:cat>
          <c:val>
            <c:numRef>
              <c:f>Uebersicht!$Q$37:$S$37</c:f>
              <c:numCache>
                <c:formatCode>General</c:formatCode>
                <c:ptCount val="3"/>
                <c:pt idx="0">
                  <c:v>0</c:v>
                </c:pt>
                <c:pt idx="1">
                  <c:v>0</c:v>
                </c:pt>
                <c:pt idx="2" formatCode="0.0">
                  <c:v>0</c:v>
                </c:pt>
              </c:numCache>
            </c:numRef>
          </c:val>
          <c:extLst>
            <c:ext xmlns:c16="http://schemas.microsoft.com/office/drawing/2014/chart" uri="{C3380CC4-5D6E-409C-BE32-E72D297353CC}">
              <c16:uniqueId val="{0000000E-8896-441B-8F52-64AAB605BEE8}"/>
            </c:ext>
          </c:extLst>
        </c:ser>
        <c:ser>
          <c:idx val="15"/>
          <c:order val="17"/>
          <c:tx>
            <c:strRef>
              <c:f>Uebersicht!$M$56</c:f>
              <c:strCache>
                <c:ptCount val="1"/>
                <c:pt idx="0">
                  <c:v>PV nicht anrechenbar</c:v>
                </c:pt>
              </c:strCache>
            </c:strRef>
          </c:tx>
          <c:spPr>
            <a:pattFill prst="wdUpDiag">
              <a:fgClr>
                <a:srgbClr val="F9EA85"/>
              </a:fgClr>
              <a:bgClr>
                <a:schemeClr val="bg1"/>
              </a:bgClr>
            </a:pattFill>
            <a:ln>
              <a:noFill/>
            </a:ln>
            <a:effectLst/>
          </c:spPr>
          <c:invertIfNegative val="0"/>
          <c:cat>
            <c:numRef>
              <c:f>Uebersicht!$S$59:$T$59</c:f>
              <c:numCache>
                <c:formatCode>General</c:formatCode>
                <c:ptCount val="2"/>
                <c:pt idx="0">
                  <c:v>1</c:v>
                </c:pt>
                <c:pt idx="1">
                  <c:v>3</c:v>
                </c:pt>
              </c:numCache>
            </c:numRef>
          </c:cat>
          <c:val>
            <c:numRef>
              <c:f>Uebersicht!$Q$38:$S$38</c:f>
              <c:numCache>
                <c:formatCode>General</c:formatCode>
                <c:ptCount val="3"/>
                <c:pt idx="0">
                  <c:v>0</c:v>
                </c:pt>
                <c:pt idx="1">
                  <c:v>0</c:v>
                </c:pt>
                <c:pt idx="2" formatCode="0.0">
                  <c:v>0</c:v>
                </c:pt>
              </c:numCache>
            </c:numRef>
          </c:val>
          <c:extLst>
            <c:ext xmlns:c16="http://schemas.microsoft.com/office/drawing/2014/chart" uri="{C3380CC4-5D6E-409C-BE32-E72D297353CC}">
              <c16:uniqueId val="{0000000F-8896-441B-8F52-64AAB605BEE8}"/>
            </c:ext>
          </c:extLst>
        </c:ser>
        <c:ser>
          <c:idx val="1"/>
          <c:order val="18"/>
          <c:tx>
            <c:strRef>
              <c:f>Uebersicht!$M$54</c:f>
              <c:strCache>
                <c:ptCount val="1"/>
                <c:pt idx="0">
                  <c:v>PV Anteil Einspeisung</c:v>
                </c:pt>
              </c:strCache>
            </c:strRef>
          </c:tx>
          <c:spPr>
            <a:solidFill>
              <a:srgbClr val="F9EA85"/>
            </a:solidFill>
            <a:ln>
              <a:noFill/>
            </a:ln>
            <a:effectLst/>
          </c:spPr>
          <c:invertIfNegative val="0"/>
          <c:cat>
            <c:numRef>
              <c:f>Uebersicht!$S$59:$T$59</c:f>
              <c:numCache>
                <c:formatCode>General</c:formatCode>
                <c:ptCount val="2"/>
                <c:pt idx="0">
                  <c:v>1</c:v>
                </c:pt>
                <c:pt idx="1">
                  <c:v>3</c:v>
                </c:pt>
              </c:numCache>
            </c:numRef>
          </c:cat>
          <c:val>
            <c:numRef>
              <c:f>Uebersicht!$Q$39:$S$39</c:f>
              <c:numCache>
                <c:formatCode>General</c:formatCode>
                <c:ptCount val="3"/>
                <c:pt idx="0">
                  <c:v>0</c:v>
                </c:pt>
                <c:pt idx="1">
                  <c:v>0</c:v>
                </c:pt>
                <c:pt idx="2" formatCode="0.0">
                  <c:v>0</c:v>
                </c:pt>
              </c:numCache>
            </c:numRef>
          </c:val>
          <c:extLst>
            <c:ext xmlns:c16="http://schemas.microsoft.com/office/drawing/2014/chart" uri="{C3380CC4-5D6E-409C-BE32-E72D297353CC}">
              <c16:uniqueId val="{00000010-8896-441B-8F52-64AAB605BEE8}"/>
            </c:ext>
          </c:extLst>
        </c:ser>
        <c:ser>
          <c:idx val="2"/>
          <c:order val="19"/>
          <c:tx>
            <c:strRef>
              <c:f>Uebersicht!$M$53</c:f>
              <c:strCache>
                <c:ptCount val="1"/>
                <c:pt idx="0">
                  <c:v>PV Eigenverbrauch</c:v>
                </c:pt>
              </c:strCache>
            </c:strRef>
          </c:tx>
          <c:spPr>
            <a:solidFill>
              <a:srgbClr val="F4DC32"/>
            </a:solidFill>
            <a:ln>
              <a:noFill/>
            </a:ln>
            <a:effectLst/>
          </c:spPr>
          <c:invertIfNegative val="0"/>
          <c:cat>
            <c:numRef>
              <c:f>Uebersicht!$S$59:$T$59</c:f>
              <c:numCache>
                <c:formatCode>General</c:formatCode>
                <c:ptCount val="2"/>
                <c:pt idx="0">
                  <c:v>1</c:v>
                </c:pt>
                <c:pt idx="1">
                  <c:v>3</c:v>
                </c:pt>
              </c:numCache>
            </c:numRef>
          </c:cat>
          <c:val>
            <c:numRef>
              <c:f>Uebersicht!$Q$40:$S$40</c:f>
              <c:numCache>
                <c:formatCode>General</c:formatCode>
                <c:ptCount val="3"/>
                <c:pt idx="0">
                  <c:v>0</c:v>
                </c:pt>
                <c:pt idx="1">
                  <c:v>0</c:v>
                </c:pt>
                <c:pt idx="2" formatCode="0.0">
                  <c:v>0</c:v>
                </c:pt>
              </c:numCache>
            </c:numRef>
          </c:val>
          <c:extLst>
            <c:ext xmlns:c16="http://schemas.microsoft.com/office/drawing/2014/chart" uri="{C3380CC4-5D6E-409C-BE32-E72D297353CC}">
              <c16:uniqueId val="{00000011-8896-441B-8F52-64AAB605BEE8}"/>
            </c:ext>
          </c:extLst>
        </c:ser>
        <c:dLbls>
          <c:showLegendKey val="0"/>
          <c:showVal val="0"/>
          <c:showCatName val="0"/>
          <c:showSerName val="0"/>
          <c:showPercent val="0"/>
          <c:showBubbleSize val="0"/>
        </c:dLbls>
        <c:gapWidth val="80"/>
        <c:overlap val="100"/>
        <c:axId val="439269568"/>
        <c:axId val="439269960"/>
      </c:barChart>
      <c:scatterChart>
        <c:scatterStyle val="lineMarker"/>
        <c:varyColors val="0"/>
        <c:ser>
          <c:idx val="12"/>
          <c:order val="7"/>
          <c:tx>
            <c:strRef>
              <c:f>Uebersicht!$M$61</c:f>
              <c:strCache>
                <c:ptCount val="1"/>
                <c:pt idx="0">
                  <c:v>MKZ Anforderung</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c:ext xmlns:c16="http://schemas.microsoft.com/office/drawing/2014/chart" uri="{C3380CC4-5D6E-409C-BE32-E72D297353CC}">
                <c16:uniqueId val="{00000013-8896-441B-8F52-64AAB605BEE8}"/>
              </c:ext>
            </c:extLst>
          </c:dPt>
          <c:xVal>
            <c:numRef>
              <c:f>Uebersicht!$S$56:$T$56</c:f>
              <c:numCache>
                <c:formatCode>General</c:formatCode>
                <c:ptCount val="2"/>
                <c:pt idx="0">
                  <c:v>1</c:v>
                </c:pt>
                <c:pt idx="1">
                  <c:v>3</c:v>
                </c:pt>
              </c:numCache>
            </c:numRef>
          </c:xVal>
          <c:yVal>
            <c:numRef>
              <c:f>Uebersicht!$S$61:$T$61</c:f>
              <c:numCache>
                <c:formatCode>0.0</c:formatCode>
                <c:ptCount val="2"/>
                <c:pt idx="0">
                  <c:v>0</c:v>
                </c:pt>
                <c:pt idx="1">
                  <c:v>0</c:v>
                </c:pt>
              </c:numCache>
            </c:numRef>
          </c:yVal>
          <c:smooth val="0"/>
          <c:extLst>
            <c:ext xmlns:c16="http://schemas.microsoft.com/office/drawing/2014/chart" uri="{C3380CC4-5D6E-409C-BE32-E72D297353CC}">
              <c16:uniqueId val="{00000014-8896-441B-8F52-64AAB605BEE8}"/>
            </c:ext>
          </c:extLst>
        </c:ser>
        <c:ser>
          <c:idx val="11"/>
          <c:order val="8"/>
          <c:tx>
            <c:strRef>
              <c:f>Uebersicht!$M$60</c:f>
              <c:strCache>
                <c:ptCount val="1"/>
                <c:pt idx="0">
                  <c:v>MKZ berechneter Wert</c:v>
                </c:pt>
              </c:strCache>
            </c:strRef>
          </c:tx>
          <c:spPr>
            <a:ln w="19050" cap="rnd">
              <a:solidFill>
                <a:schemeClr val="tx1"/>
              </a:solidFill>
              <a:round/>
            </a:ln>
            <a:effectLst/>
          </c:spPr>
          <c:marker>
            <c:symbol val="none"/>
          </c:marker>
          <c:xVal>
            <c:numRef>
              <c:f>Uebersicht!$S$59:$T$59</c:f>
              <c:numCache>
                <c:formatCode>General</c:formatCode>
                <c:ptCount val="2"/>
                <c:pt idx="0">
                  <c:v>1</c:v>
                </c:pt>
                <c:pt idx="1">
                  <c:v>3</c:v>
                </c:pt>
              </c:numCache>
            </c:numRef>
          </c:xVal>
          <c:yVal>
            <c:numRef>
              <c:f>Uebersicht!$S$60:$T$60</c:f>
              <c:numCache>
                <c:formatCode>0.0</c:formatCode>
                <c:ptCount val="2"/>
                <c:pt idx="0">
                  <c:v>0</c:v>
                </c:pt>
                <c:pt idx="1">
                  <c:v>0</c:v>
                </c:pt>
              </c:numCache>
            </c:numRef>
          </c:yVal>
          <c:smooth val="0"/>
          <c:extLst>
            <c:ext xmlns:c16="http://schemas.microsoft.com/office/drawing/2014/chart" uri="{C3380CC4-5D6E-409C-BE32-E72D297353CC}">
              <c16:uniqueId val="{00000015-8896-441B-8F52-64AAB605BEE8}"/>
            </c:ext>
          </c:extLst>
        </c:ser>
        <c:dLbls>
          <c:showLegendKey val="0"/>
          <c:showVal val="0"/>
          <c:showCatName val="0"/>
          <c:showSerName val="0"/>
          <c:showPercent val="0"/>
          <c:showBubbleSize val="0"/>
        </c:dLbls>
        <c:axId val="439269568"/>
        <c:axId val="439269960"/>
      </c:scatterChart>
      <c:catAx>
        <c:axId val="439269568"/>
        <c:scaling>
          <c:orientation val="minMax"/>
        </c:scaling>
        <c:delete val="1"/>
        <c:axPos val="b"/>
        <c:numFmt formatCode="General" sourceLinked="1"/>
        <c:majorTickMark val="none"/>
        <c:minorTickMark val="none"/>
        <c:tickLblPos val="nextTo"/>
        <c:crossAx val="439269960"/>
        <c:crosses val="autoZero"/>
        <c:auto val="1"/>
        <c:lblAlgn val="ctr"/>
        <c:lblOffset val="100"/>
        <c:noMultiLvlLbl val="0"/>
      </c:catAx>
      <c:valAx>
        <c:axId val="439269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9269568"/>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a:extLst>
            <a:ext uri="{FF2B5EF4-FFF2-40B4-BE49-F238E27FC236}">
              <a16:creationId xmlns:a16="http://schemas.microsoft.com/office/drawing/2014/main" id="{00000000-0008-0000-0400-000002000000}"/>
            </a:ext>
          </a:extLst>
        </xdr:cNvPr>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a:extLst>
            <a:ext uri="{FF2B5EF4-FFF2-40B4-BE49-F238E27FC236}">
              <a16:creationId xmlns:a16="http://schemas.microsoft.com/office/drawing/2014/main" id="{00000000-0008-0000-0400-000005000000}"/>
            </a:ext>
          </a:extLst>
        </xdr:cNvPr>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631" customWidth="1"/>
    <col min="2" max="2" width="21.7109375" style="5" customWidth="1"/>
    <col min="3" max="3" width="13.7109375" style="5" customWidth="1"/>
    <col min="4" max="4" width="6" style="5" customWidth="1"/>
    <col min="5" max="5" width="6.7109375" style="5" customWidth="1"/>
    <col min="6" max="9" width="10.42578125" style="5" customWidth="1"/>
    <col min="10" max="10" width="0.7109375" style="5" customWidth="1"/>
    <col min="11" max="11" width="8.7109375" style="5" customWidth="1"/>
    <col min="12" max="12" width="3.7109375" style="323" customWidth="1"/>
    <col min="13" max="13" width="3.140625" style="323" customWidth="1"/>
    <col min="14" max="16384" width="11.42578125" style="5"/>
  </cols>
  <sheetData>
    <row r="1" spans="1:11" ht="9.9499999999999993" customHeight="1">
      <c r="B1" s="1017" t="str">
        <f>IF(MUKEN,Uebersetzung!D4,Uebersetzung!C2&amp;"."&amp;Uebersetzung!A2)</f>
        <v>2019.3</v>
      </c>
      <c r="C1" s="3"/>
      <c r="D1" s="3"/>
      <c r="E1" s="365"/>
      <c r="F1" s="3"/>
      <c r="G1" s="3"/>
      <c r="H1" s="3"/>
      <c r="I1" s="168"/>
      <c r="J1" s="3"/>
      <c r="K1" s="7" t="str">
        <f>Uebersetzung!D5</f>
        <v>Formular EN101b, v2.3, zu verwenden bis 31. Dezember 2019</v>
      </c>
    </row>
    <row r="2" spans="1:11" ht="17.100000000000001" customHeight="1">
      <c r="B2" s="36"/>
      <c r="C2" s="860"/>
      <c r="D2" s="118"/>
      <c r="E2" s="36"/>
      <c r="F2" s="118"/>
      <c r="G2" s="1956" t="str">
        <f>Uebersetzung!D6</f>
        <v>Energienachweis</v>
      </c>
      <c r="H2" s="1957"/>
      <c r="I2" s="1957"/>
      <c r="J2" s="1957"/>
      <c r="K2" s="1958"/>
    </row>
    <row r="3" spans="1:11" ht="17.100000000000001" customHeight="1">
      <c r="B3" s="1159">
        <f>IF(MUKEN,1,0)</f>
        <v>0</v>
      </c>
      <c r="C3" s="147">
        <f>IF(MUKEN,0,1)</f>
        <v>1</v>
      </c>
      <c r="D3" s="53"/>
      <c r="E3" s="1959" t="s">
        <v>756</v>
      </c>
      <c r="F3" s="1960"/>
      <c r="G3" s="1961" t="str">
        <f>Uebersetzung!D7</f>
        <v>Energiebedarf</v>
      </c>
      <c r="H3" s="1962"/>
      <c r="I3" s="1962"/>
      <c r="J3" s="1962"/>
      <c r="K3" s="1963"/>
    </row>
    <row r="4" spans="1:11" ht="17.100000000000001" customHeight="1">
      <c r="B4" s="95"/>
      <c r="C4" s="60"/>
      <c r="D4" s="119"/>
      <c r="E4" s="95"/>
      <c r="F4" s="119"/>
      <c r="G4" s="1964">
        <f>IF(MUKEN,Uebersetzung!D8,)</f>
        <v>0</v>
      </c>
      <c r="H4" s="1965"/>
      <c r="I4" s="1965"/>
      <c r="J4" s="1965"/>
      <c r="K4" s="1966"/>
    </row>
    <row r="5" spans="1:11" ht="12" customHeight="1">
      <c r="B5" s="3"/>
      <c r="C5" s="3"/>
      <c r="D5" s="3"/>
      <c r="E5" s="365"/>
      <c r="F5" s="3"/>
      <c r="G5" s="3"/>
      <c r="H5" s="3"/>
      <c r="I5" s="168"/>
      <c r="J5" s="3"/>
      <c r="K5" s="4"/>
    </row>
    <row r="6" spans="1:11" ht="9.9499999999999993" hidden="1" customHeight="1">
      <c r="B6" s="6"/>
      <c r="C6" s="6"/>
      <c r="D6" s="3"/>
      <c r="E6" s="3"/>
      <c r="F6" s="3"/>
      <c r="G6" s="3"/>
      <c r="H6" s="3"/>
      <c r="I6" s="3"/>
      <c r="J6" s="3"/>
    </row>
    <row r="7" spans="1:11" ht="20.100000000000001" customHeight="1">
      <c r="A7" s="1632" t="s">
        <v>384</v>
      </c>
      <c r="B7" s="813" t="str">
        <f>IF(MUKEN,Uebersetzung!D9,Uebersetzung!D356)</f>
        <v>Projektname:</v>
      </c>
      <c r="C7" s="1973"/>
      <c r="D7" s="1973"/>
      <c r="E7" s="1973"/>
      <c r="F7" s="1973"/>
      <c r="G7" s="918" t="str">
        <f>Uebersetzung!D10</f>
        <v xml:space="preserve">Parz.-Nr.:  </v>
      </c>
      <c r="H7" s="1029"/>
      <c r="I7" s="918" t="str">
        <f>IF(MUKEN,Uebersetzung!D11,Uebersetzung!D358)</f>
        <v xml:space="preserve">MOP - Nr.: </v>
      </c>
      <c r="J7" s="1969"/>
      <c r="K7" s="1970"/>
    </row>
    <row r="8" spans="1:11" ht="20.100000000000001" customHeight="1">
      <c r="A8" s="1632" t="s">
        <v>385</v>
      </c>
      <c r="B8" s="814" t="str">
        <f>IF(MUKEN,Uebersetzung!D13,Uebersetzung!D359)</f>
        <v>Gebäudeadresse:</v>
      </c>
      <c r="C8" s="1974"/>
      <c r="D8" s="1974"/>
      <c r="E8" s="1974"/>
      <c r="F8" s="1974"/>
      <c r="G8" s="1974"/>
      <c r="H8" s="1974"/>
      <c r="I8" s="1085" t="str">
        <f>Uebersetzung!D117</f>
        <v xml:space="preserve">EGID:  </v>
      </c>
      <c r="J8" s="1971"/>
      <c r="K8" s="1972"/>
    </row>
    <row r="9" spans="1:11" ht="20.100000000000001" hidden="1" customHeight="1"/>
    <row r="10" spans="1:11" ht="1.1499999999999999" customHeight="1">
      <c r="B10" s="8"/>
      <c r="C10" s="8"/>
      <c r="D10" s="9"/>
      <c r="E10" s="9"/>
      <c r="F10" s="9"/>
      <c r="G10" s="9"/>
    </row>
    <row r="11" spans="1:11" ht="12" customHeight="1">
      <c r="A11" s="1632"/>
      <c r="F11" s="9"/>
      <c r="G11" s="9"/>
    </row>
    <row r="12" spans="1:11" ht="1.1499999999999999" customHeight="1">
      <c r="A12" s="1632"/>
      <c r="B12" s="3"/>
      <c r="C12" s="3"/>
      <c r="D12" s="3"/>
      <c r="E12" s="3"/>
      <c r="F12" s="3"/>
      <c r="G12" s="3"/>
      <c r="H12" s="9"/>
      <c r="I12" s="9"/>
      <c r="J12" s="9"/>
      <c r="K12" s="9"/>
    </row>
    <row r="13" spans="1:11" ht="20.100000000000001" customHeight="1">
      <c r="A13" s="1632" t="s">
        <v>389</v>
      </c>
      <c r="B13" s="836" t="str">
        <f>Uebersetzung!D14</f>
        <v>Gebäudedaten</v>
      </c>
      <c r="C13" s="837"/>
      <c r="D13" s="808" t="str">
        <f>Uebersetzung!D15</f>
        <v xml:space="preserve">Gebäudestandort: </v>
      </c>
      <c r="E13" s="1979"/>
      <c r="F13" s="1979"/>
      <c r="G13" s="12" t="str">
        <f>Uebersetzung!D16</f>
        <v>m.ü.M.</v>
      </c>
      <c r="H13" s="812" t="str">
        <f>Uebersetzung!D12</f>
        <v>Kanton:</v>
      </c>
      <c r="I13" s="1975"/>
      <c r="J13" s="1975"/>
      <c r="K13" s="1976"/>
    </row>
    <row r="14" spans="1:11" ht="20.100000000000001" customHeight="1">
      <c r="A14" s="1632" t="s">
        <v>855</v>
      </c>
      <c r="B14" s="10" t="str">
        <f>Uebersetzung!D17</f>
        <v>( aus SIA 380/1 )</v>
      </c>
      <c r="C14" s="17"/>
      <c r="D14" s="909" t="str">
        <f>Uebersetzung!D18</f>
        <v xml:space="preserve">Art des Nachweises: </v>
      </c>
      <c r="E14" s="1977" t="s">
        <v>3667</v>
      </c>
      <c r="F14" s="1977"/>
      <c r="G14" s="1977"/>
      <c r="H14" s="15" t="str">
        <f>Uebersetzung!D28</f>
        <v>Klimastation:</v>
      </c>
      <c r="I14" s="1977" t="s">
        <v>199</v>
      </c>
      <c r="J14" s="1977"/>
      <c r="K14" s="1978"/>
    </row>
    <row r="15" spans="1:11" ht="20.100000000000001" customHeight="1">
      <c r="A15" s="1632"/>
      <c r="B15" s="811" t="str">
        <f>Uebersetzung!D29</f>
        <v>Zone</v>
      </c>
      <c r="C15" s="11"/>
      <c r="D15" s="11"/>
      <c r="E15" s="11"/>
      <c r="F15" s="196">
        <v>1</v>
      </c>
      <c r="G15" s="196">
        <v>2</v>
      </c>
      <c r="H15" s="196">
        <v>3</v>
      </c>
      <c r="I15" s="196">
        <v>4</v>
      </c>
      <c r="J15" s="809"/>
      <c r="K15" s="810" t="str">
        <f>Uebersetzung!D30</f>
        <v>Summe</v>
      </c>
    </row>
    <row r="16" spans="1:11" ht="21.95" customHeight="1">
      <c r="A16" s="1632" t="s">
        <v>390</v>
      </c>
      <c r="B16" s="1944" t="str">
        <f>Uebersetzung!D31</f>
        <v>Gebäudekategorie</v>
      </c>
      <c r="C16" s="1945"/>
      <c r="D16" s="1967"/>
      <c r="E16" s="1968"/>
      <c r="F16" s="1381"/>
      <c r="G16" s="1381"/>
      <c r="H16" s="1381"/>
      <c r="I16" s="1381"/>
      <c r="J16" s="212"/>
      <c r="K16" s="213" t="str">
        <f>Uebersetzung!D35</f>
        <v>(Mittel)</v>
      </c>
    </row>
    <row r="17" spans="1:21" ht="20.100000000000001" customHeight="1">
      <c r="A17" s="1632" t="s">
        <v>391</v>
      </c>
      <c r="B17" s="1946" t="str">
        <f>Uebersetzung!D32</f>
        <v>Mit Warmwasser ?</v>
      </c>
      <c r="C17" s="1947"/>
      <c r="D17" s="269"/>
      <c r="E17" s="270"/>
      <c r="F17" s="879"/>
      <c r="G17" s="879"/>
      <c r="H17" s="879"/>
      <c r="I17" s="879"/>
      <c r="J17" s="216"/>
      <c r="K17" s="910"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632"/>
      <c r="F18" s="1031"/>
      <c r="G18" s="1031"/>
      <c r="H18" s="1031"/>
      <c r="I18" s="1031"/>
      <c r="L18" s="324"/>
    </row>
    <row r="19" spans="1:21" ht="20.100000000000001" customHeight="1">
      <c r="A19" s="1632" t="s">
        <v>393</v>
      </c>
      <c r="B19" s="1946" t="str">
        <f>Uebersetzung!D33</f>
        <v>Energiebezugsfläche EBF</v>
      </c>
      <c r="C19" s="1947"/>
      <c r="D19" s="210" t="s">
        <v>138</v>
      </c>
      <c r="E19" s="210" t="s">
        <v>321</v>
      </c>
      <c r="F19" s="271"/>
      <c r="G19" s="271"/>
      <c r="H19" s="271"/>
      <c r="I19" s="271"/>
      <c r="J19" s="201"/>
      <c r="K19" s="203">
        <f>IF(OR(F19&lt;F91,G19&lt;G91,H19&lt;H91,I19&lt;I91),0,_EBF1+_EBF2+_EBF3+_EBF4)</f>
        <v>0</v>
      </c>
    </row>
    <row r="20" spans="1:21" ht="20.100000000000001" hidden="1" customHeight="1">
      <c r="A20" s="1632" t="s">
        <v>385</v>
      </c>
      <c r="F20" s="1031"/>
      <c r="G20" s="1031"/>
      <c r="H20" s="1031"/>
      <c r="I20" s="1031"/>
    </row>
    <row r="21" spans="1:21" ht="20.100000000000001" customHeight="1">
      <c r="A21" s="1632" t="s">
        <v>394</v>
      </c>
      <c r="B21" s="1946" t="str">
        <f>Uebersetzung!D36</f>
        <v>Neubau</v>
      </c>
      <c r="C21" s="1947"/>
      <c r="D21" s="210"/>
      <c r="E21" s="215"/>
      <c r="F21" s="879"/>
      <c r="G21" s="879"/>
      <c r="H21" s="879"/>
      <c r="I21" s="879"/>
      <c r="J21" s="216"/>
      <c r="K21" s="910" t="str">
        <f>IF(OR(AND(F21="",Kategorie1&gt;1),AND(G21="",Kategorie2&gt;1),AND(H21="",Kategorie3&gt;1),AND(I21="",Kategorie4&gt;1)),Fehler1,"")</f>
        <v/>
      </c>
    </row>
    <row r="22" spans="1:21" ht="20.100000000000001" hidden="1" customHeight="1">
      <c r="A22" s="1632" t="s">
        <v>387</v>
      </c>
      <c r="B22" s="1150"/>
      <c r="C22" s="1075"/>
      <c r="D22" s="1152"/>
      <c r="E22" s="1152"/>
      <c r="F22" s="1374"/>
      <c r="G22" s="1374"/>
      <c r="H22" s="1374"/>
      <c r="I22" s="1374"/>
      <c r="J22" s="1075"/>
      <c r="K22" s="1151"/>
    </row>
    <row r="23" spans="1:21" ht="18" customHeight="1">
      <c r="A23" s="1632" t="s">
        <v>395</v>
      </c>
      <c r="B23" s="1982" t="str">
        <f>Uebersetzung!D357</f>
        <v>Gebäudehüllzahl</v>
      </c>
      <c r="C23" s="1983"/>
      <c r="D23" s="221" t="s">
        <v>532</v>
      </c>
      <c r="E23" s="291"/>
      <c r="F23" s="1149"/>
      <c r="G23" s="1149"/>
      <c r="H23" s="1149"/>
      <c r="I23" s="1149"/>
      <c r="J23" s="292"/>
      <c r="K23" s="204" t="str">
        <f>IF(EBF&gt;0,(F23*_EBF1+G23*_EBF2+H23*_EBF3+I23*_EBF4)/(_EBF1+_EBF2+_EBF3+_EBF4),"")</f>
        <v/>
      </c>
      <c r="L23" s="1349"/>
    </row>
    <row r="24" spans="1:21" ht="21.95" customHeight="1">
      <c r="A24" s="1632" t="s">
        <v>396</v>
      </c>
      <c r="B24" s="1984" t="str">
        <f>Uebersetzung!D37</f>
        <v>Heizwärmebedarf mit Standardluftwechsel</v>
      </c>
      <c r="C24" s="1985"/>
      <c r="D24" s="1420" t="str">
        <f>"Qh"</f>
        <v>Qh</v>
      </c>
      <c r="E24" s="1158" t="str">
        <f>E46</f>
        <v>kWh/m2</v>
      </c>
      <c r="F24" s="1319"/>
      <c r="G24" s="1319"/>
      <c r="H24" s="1319"/>
      <c r="I24" s="1319"/>
      <c r="J24" s="1322">
        <f>IF(OR(AND(Zonen&gt;0,_qhs1=0,,Kategorie1&lt;13),AND(Zonen&gt;1,_qhs2=0,Kategorie2&lt;13),AND(Zonen&gt;2,_qhs3=0,Kategorie3&lt;13),AND(Zonen&gt;3,_qhs4=0,Kategorie4&lt;13)),0,1)</f>
        <v>1</v>
      </c>
      <c r="K24" s="1323">
        <f>IF(EBF=0,0,(F24*_EBF1+G24*_EBF2+H24*_EBF3+I24*_EBF4)/EBF)</f>
        <v>0</v>
      </c>
      <c r="N24" s="478"/>
    </row>
    <row r="25" spans="1:21" ht="20.100000000000001" hidden="1" customHeight="1">
      <c r="A25" s="1632" t="s">
        <v>389</v>
      </c>
      <c r="B25" s="1409"/>
      <c r="C25" s="9"/>
      <c r="D25" s="433" t="str">
        <f>IF(minergiea,"",IF(minergiep,IF(Luftheizung,"qh,max",""),IF(Hoehe&gt;=800,"FS1","")))</f>
        <v/>
      </c>
      <c r="E25" s="1153" t="str">
        <f>IF(minergiea,"MJ/m2",IF(minergiep,IF(Luftheizung,"W/m2",""),IF(Hoehe&gt;=800,"-","")))</f>
        <v/>
      </c>
      <c r="F25" s="1154"/>
      <c r="G25" s="1155"/>
      <c r="H25" s="1155"/>
      <c r="I25" s="1155"/>
      <c r="J25" s="1156"/>
      <c r="K25" s="1157">
        <f>IF(minergiea,"",IF(minergiep,IF(EBF&gt;0,IF(OR(F_s1&gt;qhmax,F_s2&gt;qhmax,F_s3&gt;qhmax,F_s4&gt;qhmax),"Anforderung 1   nicht erfüllt",""),""),IF(OR(F_s1&gt;1,F_s2&gt;1,F_s3&gt;1,F_s4&gt;1),"Fs &gt; 1:                  nicht möglich",)))</f>
        <v>0</v>
      </c>
    </row>
    <row r="26" spans="1:21" ht="4.5" customHeight="1">
      <c r="A26" s="1633"/>
      <c r="B26" s="1350"/>
      <c r="C26" s="1350"/>
      <c r="D26" s="486"/>
      <c r="E26" s="486"/>
      <c r="F26" s="159">
        <v>3</v>
      </c>
      <c r="G26" s="159">
        <v>3</v>
      </c>
      <c r="H26" s="159">
        <v>3</v>
      </c>
      <c r="I26" s="159">
        <v>3</v>
      </c>
      <c r="J26" s="486"/>
      <c r="K26" s="486"/>
      <c r="M26" s="486"/>
      <c r="N26" s="124"/>
    </row>
    <row r="27" spans="1:21" ht="20.100000000000001" customHeight="1">
      <c r="A27" s="1631" t="s">
        <v>678</v>
      </c>
      <c r="B27" s="1986" t="str">
        <f>Uebersetzung!D38</f>
        <v>Lüftung-Klima-Kälteanlagen</v>
      </c>
      <c r="C27" s="1987"/>
      <c r="D27" s="1987"/>
      <c r="E27" s="1987"/>
      <c r="F27" s="272" t="str">
        <f>IF(Kategorie1=1,"",IF(Standardwerte!AG50,"1)",IF(OR(minergiea,minergiep),"",IF(Standardwerte!AG49,"1)",""))))</f>
        <v/>
      </c>
      <c r="G27" s="272" t="str">
        <f>IF(Zonen&gt;1,IF(Standardwerte!AI50,"1)",IF(OR(minergiea,minergiep),"",IF(Standardwerte!AI49,"1)",""))),"")</f>
        <v/>
      </c>
      <c r="H27" s="272" t="str">
        <f>IF(Zonen&gt;2,IF(Standardwerte!AK50,"1)",IF(OR(minergiea,minergiep),"",IF(Standardwerte!AK49,"1)",""))),"")</f>
        <v/>
      </c>
      <c r="I27" s="272" t="str">
        <f>IF(Zonen&gt;3,IF(Standardwerte!AM50,"1)",IF(OR(minergiea,minergiep),"",IF(Standardwerte!AM49,"1)",""))),"")</f>
        <v/>
      </c>
      <c r="J27" s="12"/>
      <c r="K27" s="13"/>
    </row>
    <row r="28" spans="1:21" ht="20.100000000000001" customHeight="1">
      <c r="B28" s="10" t="str">
        <f>Uebersetzung!D39</f>
        <v>Der thermisch wirksame Aussenluft-Volumenstrom ist in der Heizwärmebedarfsberechnung (SIA 380/1) entsprechend F45 - I45 einzusetzen</v>
      </c>
      <c r="C28" s="17"/>
      <c r="D28" s="14"/>
      <c r="E28" s="14"/>
      <c r="F28" s="11"/>
      <c r="G28" s="11"/>
      <c r="H28" s="15"/>
      <c r="I28" s="16"/>
      <c r="J28" s="17"/>
      <c r="K28" s="18"/>
      <c r="T28" s="147"/>
      <c r="U28" s="147"/>
    </row>
    <row r="29" spans="1:21" ht="20.100000000000001" customHeight="1">
      <c r="B29" s="1988" t="str">
        <f>Uebersetzung!D40</f>
        <v xml:space="preserve">Angaben bei Standard-Lüftungsanlagen </v>
      </c>
      <c r="C29" s="1989"/>
      <c r="D29" s="1989"/>
      <c r="E29" s="442" t="str">
        <f>B15</f>
        <v>Zone</v>
      </c>
      <c r="F29" s="196">
        <v>1</v>
      </c>
      <c r="G29" s="196">
        <v>2</v>
      </c>
      <c r="H29" s="196">
        <v>3</v>
      </c>
      <c r="I29" s="196">
        <v>4</v>
      </c>
      <c r="J29" s="19"/>
      <c r="K29" s="20" t="str">
        <f>K15</f>
        <v>Summe</v>
      </c>
      <c r="T29" s="147"/>
      <c r="U29" s="147"/>
    </row>
    <row r="30" spans="1:21" ht="20.100000000000001" customHeight="1">
      <c r="A30" s="1632" t="s">
        <v>397</v>
      </c>
      <c r="B30" s="1944" t="str">
        <f>Uebersetzung!D48</f>
        <v>Kleinanlagen mit Standardwerten</v>
      </c>
      <c r="C30" s="1945"/>
      <c r="D30" s="217"/>
      <c r="E30" s="218"/>
      <c r="F30" s="879"/>
      <c r="G30" s="879"/>
      <c r="H30" s="879"/>
      <c r="I30" s="879"/>
      <c r="J30" s="197"/>
      <c r="K30" s="910" t="str">
        <f>IF(OR(AND(F30="",Kategorie1&gt;1),AND(G30="",Kategorie2&gt;1,Zonen&gt;1),AND(H30="",Kategorie3&gt;1,Zonen&gt;2),AND(I30="",Kategorie4&gt;1,Zonen&gt;3)),Fehler1,IF(OR(ISERROR(Standardlüftung1),AND(ISERROR(Standardlüftung2),Zonen&gt;1),AND(ISERROR(Standardlüftung3),Zonen&gt;2),AND(ISERROR(Standardlüftung4),Zonen&gt;3)),Fehler2,""))</f>
        <v/>
      </c>
      <c r="L30" s="323" t="s">
        <v>199</v>
      </c>
      <c r="T30" s="147"/>
      <c r="U30" s="147"/>
    </row>
    <row r="31" spans="1:21" ht="20.100000000000001" customHeight="1">
      <c r="A31" s="1632" t="s">
        <v>398</v>
      </c>
      <c r="B31" s="1946" t="str">
        <f>Uebersetzung!D41</f>
        <v>Standard-Lüftungsanlagentyp</v>
      </c>
      <c r="C31" s="1947"/>
      <c r="D31" s="215"/>
      <c r="E31" s="210"/>
      <c r="F31" s="913"/>
      <c r="G31" s="913"/>
      <c r="H31" s="913"/>
      <c r="I31" s="913"/>
      <c r="J31" s="200"/>
      <c r="K31" s="242"/>
      <c r="L31" s="323" t="s">
        <v>199</v>
      </c>
      <c r="T31" s="147"/>
      <c r="U31" s="147"/>
    </row>
    <row r="32" spans="1:21" ht="20.100000000000001" customHeight="1">
      <c r="A32" s="1632" t="s">
        <v>399</v>
      </c>
      <c r="B32" s="1980">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1"/>
      <c r="D32" s="210"/>
      <c r="E32" s="210"/>
      <c r="F32" s="914"/>
      <c r="G32" s="914"/>
      <c r="H32" s="914"/>
      <c r="I32" s="914"/>
      <c r="J32" s="198"/>
      <c r="K32" s="202"/>
    </row>
    <row r="33" spans="1:24" ht="20.100000000000001" hidden="1" customHeight="1">
      <c r="A33" s="1632" t="s">
        <v>392</v>
      </c>
      <c r="B33" s="1946"/>
      <c r="C33" s="1947"/>
      <c r="D33" s="210"/>
      <c r="E33" s="210"/>
      <c r="F33" s="916"/>
      <c r="G33" s="916"/>
      <c r="H33" s="916"/>
      <c r="I33" s="916"/>
      <c r="J33" s="198"/>
      <c r="K33" s="203"/>
    </row>
    <row r="34" spans="1:24" ht="20.100000000000001" customHeight="1">
      <c r="A34" s="1632" t="s">
        <v>401</v>
      </c>
      <c r="B34" s="1946" t="str">
        <f>Uebersetzung!D45</f>
        <v>Wärmerückgewinnungs-Wärmetauscher</v>
      </c>
      <c r="C34" s="1994"/>
      <c r="D34" s="1947"/>
      <c r="E34" s="210"/>
      <c r="F34" s="914"/>
      <c r="G34" s="914"/>
      <c r="H34" s="914"/>
      <c r="I34" s="914"/>
      <c r="J34" s="198"/>
      <c r="K34" s="242"/>
    </row>
    <row r="35" spans="1:24" ht="20.100000000000001" customHeight="1">
      <c r="A35" s="1632" t="s">
        <v>402</v>
      </c>
      <c r="B35" s="1946" t="str">
        <f>Uebersetzung!D47</f>
        <v>Ventilatorantrieb mit</v>
      </c>
      <c r="C35" s="1947"/>
      <c r="D35" s="210"/>
      <c r="E35" s="210"/>
      <c r="F35" s="914"/>
      <c r="G35" s="914"/>
      <c r="H35" s="914"/>
      <c r="I35" s="914"/>
      <c r="J35" s="198"/>
      <c r="K35" s="203"/>
    </row>
    <row r="36" spans="1:24" ht="17.25" hidden="1" customHeight="1">
      <c r="A36" s="1632" t="s">
        <v>394</v>
      </c>
      <c r="F36" s="1031"/>
      <c r="G36" s="1031"/>
      <c r="H36" s="1031"/>
      <c r="I36" s="1031"/>
    </row>
    <row r="37" spans="1:24" ht="20.100000000000001" customHeight="1">
      <c r="A37" s="1632" t="s">
        <v>116</v>
      </c>
      <c r="B37" s="1990" t="str">
        <f>Uebersetzung!D46</f>
        <v>Nenn-Luftvolumenstrom</v>
      </c>
      <c r="C37" s="1991"/>
      <c r="D37" s="438"/>
      <c r="E37" s="217" t="s">
        <v>582</v>
      </c>
      <c r="F37" s="915" t="str">
        <f>VSup1</f>
        <v/>
      </c>
      <c r="G37" s="915" t="str">
        <f>VSup2</f>
        <v/>
      </c>
      <c r="H37" s="915" t="str">
        <f>VSup3</f>
        <v/>
      </c>
      <c r="I37" s="915" t="str">
        <f>VSup4</f>
        <v/>
      </c>
      <c r="J37" s="439"/>
      <c r="K37" s="203">
        <f>IF(AND(Lüftung1&gt;1,Standardlüftung1=3),F37,0)+IF(AND(Lüftung2&gt;1,Standardlüftung2=3,Zonen&gt;1),G37,0)+IF(AND(Lüftung3&gt;1,Standardlüftung3=3,Zonen&gt;2),H37,0)+IF(AND(Lüftung4&gt;1,Standardlüftung4=3,Zonen&gt;3),I37,0)</f>
        <v>0</v>
      </c>
      <c r="L37" s="159"/>
    </row>
    <row r="38" spans="1:24" ht="20.100000000000001" customHeight="1">
      <c r="A38" s="1632" t="s">
        <v>2926</v>
      </c>
      <c r="B38" s="1992" t="str">
        <f>Uebersetzung!D53</f>
        <v>Externe Berechnung</v>
      </c>
      <c r="C38" s="1993"/>
      <c r="D38" s="979" t="str">
        <f>IF(OR(F27&lt;&gt;"",G27&lt;&gt;"",H27&lt;&gt;""),Uebersetzung!D116,"")</f>
        <v/>
      </c>
      <c r="E38" s="444"/>
      <c r="F38" s="444"/>
      <c r="G38" s="444"/>
      <c r="H38" s="444"/>
      <c r="I38" s="444"/>
      <c r="J38" s="444"/>
      <c r="K38" s="441"/>
      <c r="L38" s="159"/>
    </row>
    <row r="39" spans="1:24" ht="20.100000000000001" customHeight="1">
      <c r="A39" s="1632" t="s">
        <v>2927</v>
      </c>
      <c r="B39" s="1944" t="str">
        <f>Uebersetzung!D54</f>
        <v>Kühlung oder Befeuchtung vorhanden?</v>
      </c>
      <c r="C39" s="1945"/>
      <c r="D39" s="291"/>
      <c r="E39" s="291"/>
      <c r="F39" s="880"/>
      <c r="G39" s="880"/>
      <c r="H39" s="880"/>
      <c r="I39" s="880"/>
      <c r="J39" s="292"/>
      <c r="K39" s="912">
        <f>IF(OR(AND(Zonen&gt;3,Standardwerte!$M$118=1),AND(Zonen&gt;2,Standardwerte!$L$118=1),AND(Zonen&gt;1,Standardwerte!$K$118=1),AND(Zonen&gt;0,Standardwerte!$J$118=1)),Fehler1,)</f>
        <v>0</v>
      </c>
      <c r="L39" s="159"/>
    </row>
    <row r="40" spans="1:24" ht="20.100000000000001" customHeight="1">
      <c r="A40" s="1632" t="s">
        <v>2928</v>
      </c>
      <c r="B40" s="2014" t="str">
        <f>Uebersetzung!D49</f>
        <v>Thermisch wirksame Aussenluftrate</v>
      </c>
      <c r="C40" s="2015"/>
      <c r="D40" s="219" t="s">
        <v>142</v>
      </c>
      <c r="E40" s="210" t="s">
        <v>582</v>
      </c>
      <c r="F40" s="949"/>
      <c r="G40" s="908"/>
      <c r="H40" s="446"/>
      <c r="I40" s="446"/>
      <c r="J40" s="207"/>
      <c r="K40" s="203">
        <f>IF(Standardlüftung1&lt;3,F40,0)+IF(Standardlüftung2&lt;3,G40,0)+IF(Standardlüftung3&lt;3,H40,0)+IF(Standardlüftung4&lt;3,I40,0)</f>
        <v>0</v>
      </c>
    </row>
    <row r="41" spans="1:24" ht="24" customHeight="1">
      <c r="A41" s="1632" t="s">
        <v>2929</v>
      </c>
      <c r="B41" s="2017" t="str">
        <f>Uebersetzung!D50</f>
        <v>Strombedarf Lüftung + Vereisungsschutz</v>
      </c>
      <c r="C41" s="2018"/>
      <c r="D41" s="219" t="s">
        <v>703</v>
      </c>
      <c r="E41" s="210" t="s">
        <v>672</v>
      </c>
      <c r="F41" s="949"/>
      <c r="G41" s="908"/>
      <c r="H41" s="446"/>
      <c r="I41" s="446"/>
      <c r="J41" s="199"/>
      <c r="K41" s="445">
        <f>IF(Standardlüftung1&lt;3,F41,0)+IF(Standardlüftung2&lt;3,G41,0)+IF(Standardlüftung3&lt;3,H41,0)+IF(Standardlüftung4&lt;3,I41,0)</f>
        <v>0</v>
      </c>
      <c r="M41" s="486"/>
      <c r="N41" s="124"/>
    </row>
    <row r="42" spans="1:24" ht="24" customHeight="1">
      <c r="A42" s="1632" t="s">
        <v>2930</v>
      </c>
      <c r="B42" s="2017" t="str">
        <f>Uebersetzung!D51</f>
        <v>Strombedarf Klima und Befeuchtung</v>
      </c>
      <c r="C42" s="2018"/>
      <c r="D42" s="219" t="s">
        <v>704</v>
      </c>
      <c r="E42" s="217" t="s">
        <v>672</v>
      </c>
      <c r="F42" s="448"/>
      <c r="G42" s="449"/>
      <c r="H42" s="449"/>
      <c r="I42" s="449"/>
      <c r="J42" s="443"/>
      <c r="K42" s="1060">
        <f>F42+IF(Zonen&gt;1,G42,0)+IF(Zonen&gt;2,H42,0)+IF(Zonen&gt;3,I42,0)</f>
        <v>0</v>
      </c>
      <c r="M42" s="486"/>
      <c r="N42" s="124"/>
    </row>
    <row r="43" spans="1:24" ht="24" customHeight="1">
      <c r="A43" s="1632" t="s">
        <v>2931</v>
      </c>
      <c r="B43" s="1940" t="str">
        <f>Uebersetzung!D56</f>
        <v>Strombedarf Kälteförderung + Hilfsenergie</v>
      </c>
      <c r="C43" s="1941"/>
      <c r="D43" s="219" t="s">
        <v>155</v>
      </c>
      <c r="E43" s="217" t="s">
        <v>672</v>
      </c>
      <c r="F43" s="448"/>
      <c r="G43" s="1426"/>
      <c r="H43" s="1426"/>
      <c r="I43" s="1426"/>
      <c r="J43" s="443"/>
      <c r="K43" s="1060">
        <f>F43+IF(Zonen&gt;1,G43,0)+IF(Zonen&gt;2,H43,0)+IF(Zonen&gt;3,I43,0)</f>
        <v>0</v>
      </c>
      <c r="M43" s="486"/>
      <c r="N43" s="124"/>
    </row>
    <row r="44" spans="1:24" ht="20.100000000000001" customHeight="1">
      <c r="A44" s="1632" t="s">
        <v>2933</v>
      </c>
      <c r="B44" s="833" t="str">
        <f>Uebersetzung!D57</f>
        <v>Qh mit effektivem, thermisch wirksamem Aussenluftvolumenstrom</v>
      </c>
      <c r="C44" s="834"/>
      <c r="D44" s="440"/>
      <c r="E44" s="444"/>
      <c r="F44" s="444"/>
      <c r="G44" s="444"/>
      <c r="H44" s="444"/>
      <c r="I44" s="444"/>
      <c r="J44" s="444"/>
      <c r="K44" s="441"/>
      <c r="M44" s="486"/>
      <c r="N44" s="124"/>
    </row>
    <row r="45" spans="1:24" ht="20.100000000000001" customHeight="1">
      <c r="A45" s="1632" t="s">
        <v>2932</v>
      </c>
      <c r="B45" s="1944" t="str">
        <f>Uebersetzung!D58</f>
        <v>Therm. wirksamer Aussenl.-Volumenstr.</v>
      </c>
      <c r="C45" s="2016"/>
      <c r="D45" s="219" t="s">
        <v>533</v>
      </c>
      <c r="E45" s="221" t="s">
        <v>581</v>
      </c>
      <c r="F45" s="588">
        <f>IF(F88,VEBFo1,IF(AND(F40&gt;0,F19&gt;0,F86),F40/F19+_vo,INDEX(Standardwerte!$O$9:$O$21,Kategorie1,1)))</f>
        <v>0</v>
      </c>
      <c r="G45" s="588">
        <f>IF(Zonen&gt;1,IF(G88,VEBFo2,IF(AND(G40&gt;0,G19&gt;0,G86),G40/G19+_vo,INDEX(Standardwerte!$O$9:$O$21,Kategorie2,1))),)</f>
        <v>0</v>
      </c>
      <c r="H45" s="588">
        <f>IF(Zonen&gt;2,IF(H88,VEBFo3,IF(AND(H40&gt;0,H19&gt;0,H86),H40/H19+_vo,INDEX(Standardwerte!$O$9:$O$21,Kategorie3,1))),)</f>
        <v>0</v>
      </c>
      <c r="I45" s="588">
        <f>IF(Zonen&gt;3,IF(I88,VEBFo4,IF(AND(I40&gt;0,I19&gt;0,I86),I40/I19+_vo,INDEX(Standardwerte!$O$9:$O$21,Kategorie4,1))),)</f>
        <v>0</v>
      </c>
      <c r="J45" s="750"/>
      <c r="K45" s="751">
        <f>IF(ISERROR(F45*EBFo1+G45*EBFo2+H45*EBFo3+I45*EBFo4),"",IF(AND(EBFo&gt;0,EBF&gt;0),(F45*EBFo1+G45*EBFo2+H45*EBFo3+I45*EBFo4)/EBFo,))</f>
        <v>0</v>
      </c>
      <c r="M45" s="486"/>
      <c r="N45" s="508"/>
    </row>
    <row r="46" spans="1:24" ht="24" customHeight="1">
      <c r="A46" s="1632" t="s">
        <v>1059</v>
      </c>
      <c r="B46" s="1940" t="str">
        <f>Uebersetzung!D60</f>
        <v>eff. Heizwärmebedarf mit Lüftungsanlage</v>
      </c>
      <c r="C46" s="1941"/>
      <c r="D46" s="405" t="s">
        <v>841</v>
      </c>
      <c r="E46" s="1541" t="s">
        <v>524</v>
      </c>
      <c r="F46" s="1319"/>
      <c r="G46" s="1319"/>
      <c r="H46" s="1319"/>
      <c r="I46" s="1319"/>
      <c r="J46" s="1320">
        <f>IF(OR(AND(Zonen&gt;0,_qh1=0,Kategorie1&lt;13),AND(Zonen&gt;1,_qh2=0,Kategorie2&lt;13),AND(Zonen&gt;2,_qh3=0,Kategorie3&lt;13),AND(Zonen&gt;3,_qh4=0,Kategorie4&lt;13)),0,1)</f>
        <v>1</v>
      </c>
      <c r="K46" s="1321">
        <f>IF(EBF=0,0,(F46*_EBF1+G46*_EBF2+H46*_EBF3+I46*_EBF4)/EBF)</f>
        <v>0</v>
      </c>
      <c r="M46" s="486"/>
      <c r="N46" s="124"/>
    </row>
    <row r="47" spans="1:24" ht="12" customHeight="1">
      <c r="A47" s="1634"/>
      <c r="B47" s="1086">
        <f ca="1">NOW()</f>
        <v>43696.566528009258</v>
      </c>
      <c r="D47" s="1758">
        <f>IF(AND(EBF&gt;0,Einheiten=1,K46&lt;30,K46&gt;0),1,)</f>
        <v>0</v>
      </c>
      <c r="E47" s="1758">
        <f>IF(AND(EBF&gt;0,Einheiten=1,K46&lt;30,K46&gt;0),Uebersetzung!D527,)</f>
        <v>0</v>
      </c>
      <c r="K47" s="815" t="str">
        <f>K62</f>
        <v xml:space="preserve"> /  /  /  /  /  / </v>
      </c>
      <c r="M47" s="486"/>
      <c r="N47" s="124"/>
    </row>
    <row r="48" spans="1:24" ht="15.95" customHeight="1">
      <c r="A48" s="1634"/>
      <c r="B48" s="922" t="str">
        <f>Uebersetzung!D146</f>
        <v>Unterschriften</v>
      </c>
      <c r="C48" s="923" t="str">
        <f>Uebersetzung!D147</f>
        <v xml:space="preserve"> Nachweis erarbeitet durch:</v>
      </c>
      <c r="D48" s="924"/>
      <c r="E48" s="924"/>
      <c r="F48" s="924"/>
      <c r="G48" s="923" t="str">
        <f>Uebersetzung!D148</f>
        <v xml:space="preserve"> Nachweisprüfung / Private Kontrolle:</v>
      </c>
      <c r="H48" s="97"/>
      <c r="I48" s="925"/>
      <c r="J48" s="924"/>
      <c r="K48" s="924"/>
      <c r="M48" s="486"/>
      <c r="N48" s="97"/>
      <c r="O48" s="97"/>
      <c r="P48" s="97"/>
      <c r="Q48" s="635"/>
      <c r="R48" s="635"/>
      <c r="S48" s="635"/>
      <c r="T48" s="740"/>
      <c r="U48" s="635"/>
      <c r="V48" s="635"/>
      <c r="W48" s="635"/>
      <c r="X48" s="635"/>
    </row>
    <row r="49" spans="1:24" ht="15.95" customHeight="1">
      <c r="A49" s="1634"/>
      <c r="B49" s="924"/>
      <c r="C49" s="926"/>
      <c r="D49" s="924"/>
      <c r="E49" s="924"/>
      <c r="F49" s="924"/>
      <c r="G49" s="296" t="str">
        <f>Uebersetzung!D149</f>
        <v xml:space="preserve"> Die Richtigkeit bescheinigt</v>
      </c>
      <c r="H49" s="97"/>
      <c r="I49" s="925"/>
      <c r="J49" s="924"/>
      <c r="K49" s="924"/>
      <c r="M49" s="486"/>
      <c r="O49" s="634"/>
    </row>
    <row r="50" spans="1:24" ht="6" customHeight="1">
      <c r="A50" s="1634"/>
      <c r="B50" s="924"/>
      <c r="C50" s="926"/>
      <c r="D50" s="924"/>
      <c r="E50" s="924"/>
      <c r="F50" s="924"/>
      <c r="G50" s="926"/>
      <c r="H50" s="97"/>
      <c r="I50" s="925"/>
      <c r="J50" s="924"/>
      <c r="K50" s="924"/>
      <c r="M50" s="486"/>
      <c r="O50" s="635"/>
    </row>
    <row r="51" spans="1:24" ht="20.100000000000001" customHeight="1">
      <c r="A51" s="1634"/>
      <c r="B51" s="927" t="str">
        <f>Uebersetzung!D150</f>
        <v>Name und Adresse</v>
      </c>
      <c r="C51" s="1948"/>
      <c r="D51" s="1949"/>
      <c r="E51" s="1949"/>
      <c r="F51" s="1950"/>
      <c r="G51" s="1995"/>
      <c r="H51" s="1949"/>
      <c r="I51" s="1949"/>
      <c r="J51" s="1949"/>
      <c r="K51" s="1949"/>
      <c r="M51" s="486"/>
      <c r="O51" s="635"/>
    </row>
    <row r="52" spans="1:24" ht="20.100000000000001" customHeight="1">
      <c r="A52" s="1634"/>
      <c r="B52" s="927" t="str">
        <f>Uebersetzung!D151</f>
        <v>bzw. Firmenstempel</v>
      </c>
      <c r="C52" s="1948"/>
      <c r="D52" s="1949"/>
      <c r="E52" s="1949"/>
      <c r="F52" s="1950"/>
      <c r="G52" s="1948"/>
      <c r="H52" s="1949"/>
      <c r="I52" s="1949"/>
      <c r="J52" s="1949"/>
      <c r="K52" s="1949"/>
      <c r="M52" s="486"/>
      <c r="O52" s="639"/>
    </row>
    <row r="53" spans="1:24" ht="20.100000000000001" customHeight="1">
      <c r="A53" s="1634"/>
      <c r="B53" s="924"/>
      <c r="C53" s="1951"/>
      <c r="D53" s="1952"/>
      <c r="E53" s="1952"/>
      <c r="F53" s="1953"/>
      <c r="G53" s="1951"/>
      <c r="H53" s="1952"/>
      <c r="I53" s="1952"/>
      <c r="J53" s="1952"/>
      <c r="K53" s="1952"/>
      <c r="M53" s="486"/>
      <c r="O53" s="639"/>
    </row>
    <row r="54" spans="1:24" ht="6" customHeight="1">
      <c r="A54" s="1634"/>
      <c r="B54" s="925"/>
      <c r="C54" s="925"/>
      <c r="D54" s="925"/>
      <c r="E54" s="925"/>
      <c r="F54" s="925"/>
      <c r="G54" s="925"/>
      <c r="I54" s="925"/>
      <c r="J54" s="924"/>
      <c r="K54" s="924"/>
      <c r="M54" s="486"/>
      <c r="O54" s="635"/>
    </row>
    <row r="55" spans="1:24" ht="20.100000000000001" customHeight="1">
      <c r="A55" s="1634"/>
      <c r="B55" s="3" t="str">
        <f>Uebersetzung!D152</f>
        <v>Sachbearbeiter/-in, Tel.:</v>
      </c>
      <c r="C55" s="1951"/>
      <c r="D55" s="1952"/>
      <c r="E55" s="1952"/>
      <c r="F55" s="1953"/>
      <c r="G55" s="1996"/>
      <c r="H55" s="1952"/>
      <c r="I55" s="1952"/>
      <c r="J55" s="1952"/>
      <c r="K55" s="1952"/>
      <c r="M55" s="486"/>
      <c r="O55" s="635"/>
    </row>
    <row r="56" spans="1:24" ht="2.1" customHeight="1">
      <c r="A56" s="1635"/>
      <c r="B56" s="929"/>
      <c r="C56" s="930"/>
      <c r="D56" s="930"/>
      <c r="E56" s="930"/>
      <c r="F56" s="930"/>
      <c r="G56" s="930"/>
      <c r="H56" s="930"/>
      <c r="I56" s="930"/>
      <c r="J56" s="930"/>
      <c r="K56" s="930"/>
      <c r="M56" s="486"/>
      <c r="O56" s="635"/>
    </row>
    <row r="57" spans="1:24" ht="20.100000000000001" customHeight="1">
      <c r="A57" s="1634"/>
      <c r="B57" s="2008" t="str">
        <f>Uebersetzung!D153</f>
        <v>Ort, Datum, Unterschrift:</v>
      </c>
      <c r="C57" s="1997"/>
      <c r="D57" s="1998"/>
      <c r="E57" s="1998"/>
      <c r="F57" s="1999"/>
      <c r="G57" s="2003"/>
      <c r="H57" s="1998"/>
      <c r="I57" s="1998"/>
      <c r="J57" s="1998"/>
      <c r="K57" s="1998"/>
      <c r="M57" s="486"/>
      <c r="O57" s="639"/>
    </row>
    <row r="58" spans="1:24" ht="20.100000000000001" customHeight="1">
      <c r="A58" s="1634"/>
      <c r="B58" s="2008"/>
      <c r="C58" s="2000"/>
      <c r="D58" s="2001"/>
      <c r="E58" s="2001"/>
      <c r="F58" s="2002"/>
      <c r="G58" s="2000"/>
      <c r="H58" s="2001"/>
      <c r="I58" s="2001"/>
      <c r="J58" s="2001"/>
      <c r="K58" s="2001"/>
      <c r="M58" s="486"/>
      <c r="O58" s="639"/>
    </row>
    <row r="59" spans="1:24" ht="6" customHeight="1">
      <c r="A59" s="1634"/>
      <c r="B59" s="924"/>
      <c r="C59" s="924"/>
      <c r="D59" s="924"/>
      <c r="E59" s="924"/>
      <c r="F59" s="931"/>
      <c r="G59" s="931"/>
      <c r="H59" s="931"/>
      <c r="I59" s="924"/>
      <c r="J59" s="924"/>
      <c r="K59" s="924"/>
      <c r="M59" s="486"/>
      <c r="O59" s="635"/>
    </row>
    <row r="60" spans="1:24" ht="20.100000000000001" customHeight="1">
      <c r="A60" s="1634"/>
      <c r="B60" s="927" t="str">
        <f>Uebersetzung!D154</f>
        <v>Ausführungskontrolle:</v>
      </c>
      <c r="C60" s="713" t="str">
        <f>Uebersetzung!D155</f>
        <v>Gleiche Person</v>
      </c>
      <c r="D60" s="881"/>
      <c r="E60" s="924"/>
      <c r="F60" s="841" t="str">
        <f>Uebersetzung!D156</f>
        <v>oder:</v>
      </c>
      <c r="G60" s="2013"/>
      <c r="H60" s="2013"/>
      <c r="I60" s="2013"/>
      <c r="J60" s="2013"/>
      <c r="K60" s="2013"/>
      <c r="M60" s="486"/>
      <c r="O60" s="635"/>
    </row>
    <row r="61" spans="1:24" ht="3.95" customHeight="1">
      <c r="A61" s="1634"/>
      <c r="B61" s="155"/>
      <c r="C61" s="155"/>
      <c r="D61" s="155"/>
      <c r="E61" s="155"/>
      <c r="F61" s="155"/>
      <c r="G61" s="155"/>
      <c r="H61" s="155"/>
      <c r="I61" s="155"/>
      <c r="J61" s="155"/>
      <c r="K61" s="155"/>
      <c r="M61" s="486"/>
      <c r="O61" s="635"/>
    </row>
    <row r="62" spans="1:24" ht="9.9499999999999993" customHeight="1">
      <c r="A62" s="1634"/>
      <c r="B62" s="838">
        <f ca="1">NOW()</f>
        <v>43696.566528009258</v>
      </c>
      <c r="K62" s="815" t="str">
        <f>Eingaben!C8&amp;" / "&amp;Eingaben!C7&amp;" / "&amp;Eingaben!H7&amp;" / "&amp;Eingaben!J7&amp;" / "&amp;Eingaben!J8&amp;" / "&amp;Eingaben!G55&amp;" / "&amp;Eingaben!G57</f>
        <v xml:space="preserve"> /  /  /  /  /  / </v>
      </c>
      <c r="M62" s="924"/>
      <c r="N62" s="924"/>
      <c r="O62" s="635"/>
      <c r="P62" s="635"/>
      <c r="Q62" s="635"/>
      <c r="R62" s="635"/>
      <c r="S62" s="635"/>
      <c r="T62" s="635"/>
      <c r="U62" s="635"/>
      <c r="V62" s="635"/>
      <c r="W62" s="635"/>
      <c r="X62" s="635"/>
    </row>
    <row r="63" spans="1:24" ht="17.25" customHeight="1">
      <c r="A63" s="1632"/>
      <c r="B63" s="327"/>
      <c r="C63" s="327"/>
      <c r="D63" s="167"/>
      <c r="E63" s="167"/>
      <c r="F63" s="124"/>
      <c r="G63" s="124"/>
      <c r="H63" s="124"/>
      <c r="I63" s="124"/>
      <c r="J63" s="124"/>
      <c r="K63" s="124"/>
      <c r="M63" s="924"/>
      <c r="N63" s="924"/>
      <c r="O63" s="635"/>
      <c r="P63" s="635"/>
      <c r="Q63" s="635"/>
      <c r="R63" s="635"/>
      <c r="S63" s="635"/>
      <c r="T63" s="635"/>
      <c r="U63" s="635"/>
      <c r="V63" s="635"/>
      <c r="W63" s="635"/>
      <c r="X63" s="635"/>
    </row>
    <row r="64" spans="1:24" ht="11.45" hidden="1" customHeight="1">
      <c r="D64" s="99"/>
      <c r="E64" s="99"/>
      <c r="F64" s="195"/>
      <c r="G64" s="195"/>
      <c r="H64" s="195"/>
      <c r="I64" s="70" t="s">
        <v>314</v>
      </c>
      <c r="J64" s="9"/>
      <c r="K64" s="8">
        <f>IF(Standardwerte!$R$28&gt;1,4,IF(Standardwerte!$N$28&gt;1,3,IF(Standardwerte!$R$24&gt;1,2,IF(Standardwerte!$N$24&gt;1,1,))))</f>
        <v>0</v>
      </c>
      <c r="M64" s="486"/>
      <c r="N64" s="124"/>
    </row>
    <row r="65" spans="1:14" ht="17.25" hidden="1" customHeight="1">
      <c r="B65" s="394" t="s">
        <v>323</v>
      </c>
      <c r="C65" s="806"/>
      <c r="D65" s="396" t="s">
        <v>84</v>
      </c>
      <c r="E65" s="396"/>
      <c r="F65" s="395"/>
      <c r="G65" s="397" t="s">
        <v>700</v>
      </c>
      <c r="H65" s="148"/>
      <c r="I65" s="329" t="s">
        <v>494</v>
      </c>
      <c r="J65" s="117"/>
      <c r="K65" s="330" t="s">
        <v>166</v>
      </c>
      <c r="N65" s="124"/>
    </row>
    <row r="66" spans="1:14" ht="17.25" hidden="1" customHeight="1">
      <c r="A66" s="1632" t="s">
        <v>397</v>
      </c>
      <c r="B66" s="1944" t="str">
        <f>IF(auswahl1&gt;0,INDEX(Standardwerte!$AF$5:$AF$13,2),"")</f>
        <v/>
      </c>
      <c r="C66" s="1945"/>
      <c r="D66" s="416" t="str">
        <f>IF(minergiea,"Bestgeräte",IF(auswahl1&gt;0,INDEX(Standardwerte!$BA$5:$BA$13,2),""))</f>
        <v/>
      </c>
      <c r="E66" s="417"/>
      <c r="F66" s="418"/>
      <c r="G66" s="149" t="s">
        <v>310</v>
      </c>
      <c r="H66" s="149" t="s">
        <v>311</v>
      </c>
      <c r="I66" s="932"/>
      <c r="J66" s="2011"/>
      <c r="K66" s="2012"/>
      <c r="M66" s="159"/>
      <c r="N66" s="125"/>
    </row>
    <row r="67" spans="1:14" ht="17.25" hidden="1" customHeight="1">
      <c r="A67" s="1632" t="s">
        <v>398</v>
      </c>
      <c r="B67" s="1946" t="str">
        <f>IF(auswahl2&gt;0,INDEX(Standardwerte!$AF$5:$AF$13,3),"")</f>
        <v/>
      </c>
      <c r="C67" s="1947"/>
      <c r="D67" s="412" t="str">
        <f>IF(auswahl2&gt;0,INDEX(Standardwerte!$BA$5:$BA$13,3),"")</f>
        <v/>
      </c>
      <c r="E67" s="413"/>
      <c r="F67" s="414"/>
      <c r="G67" s="150" t="s">
        <v>310</v>
      </c>
      <c r="H67" s="150" t="s">
        <v>311</v>
      </c>
      <c r="I67" s="933"/>
      <c r="J67" s="2009"/>
      <c r="K67" s="2010"/>
      <c r="M67" s="159"/>
      <c r="N67" s="124"/>
    </row>
    <row r="68" spans="1:14" ht="17.25" hidden="1" customHeight="1">
      <c r="A68" s="1632" t="s">
        <v>399</v>
      </c>
      <c r="B68" s="1946" t="str">
        <f>IF(auswahl3&gt;0,INDEX(Standardwerte!$AF$5:$AF$13,4),"")</f>
        <v/>
      </c>
      <c r="C68" s="1947"/>
      <c r="D68" s="412" t="str">
        <f>IF(auswahl3&gt;0,INDEX(Standardwerte!$BA$5:$BA$13,4),"")</f>
        <v/>
      </c>
      <c r="E68" s="413"/>
      <c r="F68" s="414"/>
      <c r="G68" s="150" t="s">
        <v>310</v>
      </c>
      <c r="H68" s="150" t="s">
        <v>311</v>
      </c>
      <c r="I68" s="934"/>
      <c r="J68" s="2006"/>
      <c r="K68" s="2007"/>
      <c r="M68" s="159"/>
      <c r="N68" s="124"/>
    </row>
    <row r="69" spans="1:14" ht="17.25" hidden="1" customHeight="1">
      <c r="A69" s="1632" t="s">
        <v>400</v>
      </c>
      <c r="B69" s="1946" t="str">
        <f>IF(auswahl4&gt;0,INDEX(Standardwerte!$AF$5:$AF$13,5),"")</f>
        <v/>
      </c>
      <c r="C69" s="1947"/>
      <c r="D69" s="412" t="str">
        <f>IF(auswahl4&gt;0,INDEX(Standardwerte!$BA$5:$BA$13,5),"")</f>
        <v/>
      </c>
      <c r="E69" s="413"/>
      <c r="F69" s="414"/>
      <c r="G69" s="150" t="s">
        <v>310</v>
      </c>
      <c r="H69" s="150" t="s">
        <v>311</v>
      </c>
      <c r="I69" s="934"/>
      <c r="J69" s="2006"/>
      <c r="K69" s="2007"/>
      <c r="M69" s="159" t="b">
        <v>0</v>
      </c>
      <c r="N69" s="124"/>
    </row>
    <row r="70" spans="1:14" ht="17.25" hidden="1" customHeight="1">
      <c r="A70" s="1632" t="s">
        <v>401</v>
      </c>
      <c r="B70" s="1946" t="str">
        <f>IF(auswahl5&gt;0,INDEX(Standardwerte!$AF$5:$AF$13,6),"")</f>
        <v/>
      </c>
      <c r="C70" s="1947"/>
      <c r="D70" s="412" t="str">
        <f>IF(auswahl5&gt;0,INDEX(Standardwerte!$BA$5:$BA$13,6),"")</f>
        <v/>
      </c>
      <c r="E70" s="413"/>
      <c r="F70" s="414"/>
      <c r="G70" s="150" t="s">
        <v>310</v>
      </c>
      <c r="H70" s="150" t="s">
        <v>311</v>
      </c>
      <c r="I70" s="934"/>
      <c r="J70" s="2006"/>
      <c r="K70" s="2007"/>
      <c r="M70" s="159" t="b">
        <v>0</v>
      </c>
      <c r="N70" s="124"/>
    </row>
    <row r="71" spans="1:14" ht="17.25" hidden="1" customHeight="1">
      <c r="A71" s="1632" t="s">
        <v>402</v>
      </c>
      <c r="B71" s="1946" t="str">
        <f>IF(auswahl6&gt;0,INDEX(Standardwerte!$AF$5:$AF$13,7),"")</f>
        <v/>
      </c>
      <c r="C71" s="1947"/>
      <c r="D71" s="412" t="str">
        <f>IF(auswahl6&gt;0,INDEX(Standardwerte!$BA$5:$BA$13,7),"")</f>
        <v/>
      </c>
      <c r="E71" s="413"/>
      <c r="F71" s="414"/>
      <c r="G71" s="150" t="s">
        <v>310</v>
      </c>
      <c r="H71" s="150" t="s">
        <v>311</v>
      </c>
      <c r="I71" s="934"/>
      <c r="J71" s="2006"/>
      <c r="K71" s="2007"/>
      <c r="M71" s="159" t="b">
        <v>1</v>
      </c>
      <c r="N71" s="124"/>
    </row>
    <row r="72" spans="1:14" ht="17.25" hidden="1" customHeight="1">
      <c r="A72" s="1632" t="s">
        <v>430</v>
      </c>
      <c r="B72" s="1946" t="str">
        <f>IF(auswahl7&gt;0,INDEX(Standardwerte!$AF$5:$AF$13,8),"")</f>
        <v/>
      </c>
      <c r="C72" s="1947"/>
      <c r="D72" s="412" t="str">
        <f>IF(auswahl7&gt;0,INDEX(Standardwerte!$BA$5:$BA$13,8),"")</f>
        <v/>
      </c>
      <c r="E72" s="413"/>
      <c r="F72" s="414"/>
      <c r="G72" s="150" t="s">
        <v>310</v>
      </c>
      <c r="H72" s="150" t="s">
        <v>311</v>
      </c>
      <c r="I72" s="934"/>
      <c r="J72" s="2006"/>
      <c r="K72" s="2007"/>
      <c r="M72" s="159"/>
      <c r="N72" s="124"/>
    </row>
    <row r="73" spans="1:14" ht="17.25" hidden="1" customHeight="1">
      <c r="A73" s="1632" t="s">
        <v>116</v>
      </c>
      <c r="B73" s="1938" t="str">
        <f>IF(auswahl8&gt;0,INDEX(Standardwerte!$AF$5:$AF$13,9),"")</f>
        <v/>
      </c>
      <c r="C73" s="1939"/>
      <c r="D73" s="415" t="str">
        <f>IF(auswahl8&gt;0,INDEX(Standardwerte!$BA$5:$BA$13,9),"")</f>
        <v/>
      </c>
      <c r="E73" s="410"/>
      <c r="F73" s="411"/>
      <c r="G73" s="151" t="s">
        <v>310</v>
      </c>
      <c r="H73" s="151" t="s">
        <v>311</v>
      </c>
      <c r="I73" s="935">
        <f>IF(OR(minergiep,minergiea),IF(Neubau=2,"0.6 1/h",IF(Neubau=3,"1.5 1/h","0.6 (bzw. 1.5)")),)</f>
        <v>0</v>
      </c>
      <c r="J73" s="2004"/>
      <c r="K73" s="2005"/>
      <c r="M73" s="159" t="b">
        <v>0</v>
      </c>
    </row>
    <row r="74" spans="1:14" ht="17.25" hidden="1" customHeight="1">
      <c r="A74" s="1632"/>
      <c r="B74" s="787" t="s">
        <v>40</v>
      </c>
      <c r="C74" s="705"/>
      <c r="D74" s="524"/>
      <c r="E74" s="524"/>
      <c r="F74" s="936" t="b">
        <f>AND(Zonen&gt;0,OR(Lüftung1=2,Lüftung1=6,AND(Lüftung1=3,WRGtyp1&gt;1)))</f>
        <v>0</v>
      </c>
      <c r="G74" s="936"/>
      <c r="H74" s="936"/>
      <c r="I74" s="936"/>
      <c r="J74" s="705"/>
      <c r="K74" s="937" t="b">
        <f>OR(F74,G74,H74,I74)</f>
        <v>0</v>
      </c>
    </row>
    <row r="75" spans="1:14" s="27" customFormat="1" ht="12.75" hidden="1">
      <c r="A75" s="1634"/>
      <c r="B75" s="787" t="s">
        <v>23</v>
      </c>
      <c r="C75" s="705"/>
      <c r="D75" s="524"/>
      <c r="E75" s="524"/>
      <c r="F75" s="936" t="b">
        <f>AND(Zonen&gt;0,OR(Lüftung1=3))</f>
        <v>0</v>
      </c>
      <c r="G75" s="936"/>
      <c r="H75" s="936"/>
      <c r="I75" s="936"/>
      <c r="J75" s="705"/>
      <c r="K75" s="937" t="b">
        <f>OR(F75,G75,H75,I75)</f>
        <v>0</v>
      </c>
      <c r="L75" s="938"/>
      <c r="M75" s="938"/>
      <c r="N75" s="525"/>
    </row>
    <row r="76" spans="1:14" s="27" customFormat="1" ht="12.75" hidden="1">
      <c r="A76" s="1634"/>
      <c r="B76" s="787" t="s">
        <v>108</v>
      </c>
      <c r="C76" s="705"/>
      <c r="D76" s="524"/>
      <c r="E76" s="524"/>
      <c r="F76" s="936" t="b">
        <f>IF(OR(Standardwerte!J118=3,Standardwerte!J118=4),TRUE,FALSE)</f>
        <v>0</v>
      </c>
      <c r="G76" s="936" t="b">
        <f>IF(OR(Standardwerte!K118=3,Standardwerte!K118=4),TRUE,FALSE)</f>
        <v>0</v>
      </c>
      <c r="H76" s="936" t="b">
        <f>IF(OR(Standardwerte!L118=3,Standardwerte!L118=4),TRUE,FALSE)</f>
        <v>0</v>
      </c>
      <c r="I76" s="936" t="b">
        <f>IF(OR(Standardwerte!M118=3,Standardwerte!M118=4),TRUE,FALSE)</f>
        <v>0</v>
      </c>
      <c r="J76" s="705"/>
      <c r="K76" s="937"/>
      <c r="L76" s="938"/>
      <c r="M76" s="938"/>
      <c r="N76" s="525"/>
    </row>
    <row r="77" spans="1:14" s="27" customFormat="1" ht="12.75" hidden="1">
      <c r="A77" s="1634"/>
      <c r="B77" s="1954" t="s">
        <v>369</v>
      </c>
      <c r="C77" s="1955"/>
      <c r="D77" s="1955"/>
      <c r="E77" s="1955"/>
      <c r="F77" s="939" t="b">
        <f>IF(OR(Standardwerte!J118=2,Standardwerte!J118=4),TRUE,FALSE)</f>
        <v>0</v>
      </c>
      <c r="G77" s="939" t="b">
        <f>IF(OR(Standardwerte!K118=2,Standardwerte!K118=4),TRUE,FALSE)</f>
        <v>0</v>
      </c>
      <c r="H77" s="939" t="b">
        <f>IF(OR(Standardwerte!L118=2,Standardwerte!L118=4),TRUE,FALSE)</f>
        <v>0</v>
      </c>
      <c r="I77" s="939" t="b">
        <f>IF(OR(Standardwerte!M118=2,Standardwerte!M118=4),TRUE,FALSE)</f>
        <v>0</v>
      </c>
      <c r="J77" s="155"/>
      <c r="K77" s="633"/>
      <c r="L77" s="938"/>
      <c r="M77" s="938"/>
      <c r="N77" s="525"/>
    </row>
    <row r="78" spans="1:14" s="27" customFormat="1" ht="12.75" hidden="1">
      <c r="A78" s="1634"/>
      <c r="B78" s="787" t="s">
        <v>117</v>
      </c>
      <c r="C78" s="524"/>
      <c r="D78" s="524"/>
      <c r="E78" s="524"/>
      <c r="F78" s="936" t="b">
        <f>IF(OR(Standardwerte!J118=2,Standardwerte!J118=3,Standardwerte!J118=4),TRUE,FALSE)</f>
        <v>0</v>
      </c>
      <c r="G78" s="936" t="b">
        <f>IF(OR(Standardwerte!K118=2,Standardwerte!K118=3,Standardwerte!K118=4)*2,TRUE,FALSE)</f>
        <v>0</v>
      </c>
      <c r="H78" s="936" t="b">
        <f>IF(OR(Standardwerte!L118=2,Standardwerte!L118=3,Standardwerte!L118=4),TRUE,FALSE)</f>
        <v>0</v>
      </c>
      <c r="I78" s="936" t="b">
        <f>IF(OR(Standardwerte!M118=2,Standardwerte!M118=3,Standardwerte!M118=4),TRUE,FALSE)</f>
        <v>0</v>
      </c>
      <c r="J78" s="705"/>
      <c r="K78" s="937"/>
      <c r="L78" s="938"/>
      <c r="M78" s="938"/>
      <c r="N78" s="525"/>
    </row>
    <row r="79" spans="1:14" s="27" customFormat="1" ht="12.75" hidden="1">
      <c r="A79" s="1634"/>
      <c r="B79" s="787" t="s">
        <v>140</v>
      </c>
      <c r="C79" s="524"/>
      <c r="D79" s="940"/>
      <c r="E79" s="433" t="s">
        <v>524</v>
      </c>
      <c r="F79" s="941">
        <f>IF(F19&gt;0,(F42+F43)/F19,)</f>
        <v>0</v>
      </c>
      <c r="G79" s="942">
        <f>IF(G19&gt;0,(G42+G43)/G19,)</f>
        <v>0</v>
      </c>
      <c r="H79" s="942">
        <f>IF(H19&gt;0,(H42+H43)/H19,)</f>
        <v>0</v>
      </c>
      <c r="I79" s="942">
        <f>IF(I19&gt;0,(I42+I43)/I19,)</f>
        <v>0</v>
      </c>
      <c r="J79" s="434"/>
      <c r="K79" s="435">
        <f>IF(EBF&gt;0,(E_Qk11*_EBF1+E_Qk22*_EBF2+E_Qk33*_EBF3+E_Qk44*_EBF4)/EBF,0)</f>
        <v>0</v>
      </c>
      <c r="L79" s="938"/>
      <c r="M79" s="938"/>
      <c r="N79" s="525"/>
    </row>
    <row r="80" spans="1:14" s="27" customFormat="1" ht="12.75" hidden="1">
      <c r="A80" s="1634"/>
      <c r="B80" s="1942" t="str">
        <f>"- Eingabe (Berechnung beilegen)"</f>
        <v>- Eingabe (Berechnung beilegen)</v>
      </c>
      <c r="C80" s="1943"/>
      <c r="D80" s="222" t="s">
        <v>159</v>
      </c>
      <c r="E80" s="405" t="s">
        <v>524</v>
      </c>
      <c r="F80" s="943">
        <f>IF(AND(F19&gt;0,F88=FALSE),F41/F19,)</f>
        <v>0</v>
      </c>
      <c r="G80" s="921">
        <f>IF(AND(G19&gt;0,G88=FALSE),G41/G19,)</f>
        <v>0</v>
      </c>
      <c r="H80" s="921">
        <f>IF(AND(H19&gt;0,H88=FALSE),H41/H19,)</f>
        <v>0</v>
      </c>
      <c r="I80" s="921">
        <f>IF(AND(I19&gt;0,I88=FALSE),I41/I19,)</f>
        <v>0</v>
      </c>
      <c r="J80" s="209"/>
      <c r="K80" s="371" t="str">
        <f>IF(J83=0,"Strombedarf Lüftung  fehlt","")</f>
        <v/>
      </c>
      <c r="L80" s="938"/>
      <c r="M80" s="938"/>
      <c r="N80" s="525"/>
    </row>
    <row r="81" spans="1:14" s="27" customFormat="1" ht="12.75" hidden="1">
      <c r="A81" s="1634"/>
      <c r="B81" s="830" t="s">
        <v>826</v>
      </c>
      <c r="C81" s="832"/>
      <c r="D81" s="438"/>
      <c r="E81" s="217" t="s">
        <v>819</v>
      </c>
      <c r="F81" s="447">
        <f>IF(Kategorie1=1,0,IF(Kategorie1 &lt; 4,8736,IF(OR(Kategorie1=4,Kategorie1=5),INDEX(Standardwerte!$T$35:$X$43,Lüftung1,Kategorie1)/INDEX(Standardwerte!$Y$35:$AC$43,Lüftung1,Kategorie1)*8760,0)))</f>
        <v>0</v>
      </c>
      <c r="G81" s="447">
        <f>IF(Kategorie2=1,0,IF(Kategorie2 &lt; 4,8736,IF(OR(Kategorie2=4,Kategorie2=5),INDEX(Standardwerte!$T$35:$X$43,Lüftung2,Kategorie2)/INDEX(Standardwerte!$Y$35:$AC$43,Lüftung2,Kategorie2)*8760,0)))</f>
        <v>0</v>
      </c>
      <c r="H81" s="447">
        <f>IF(Kategorie3=1,0,IF(Kategorie3 &lt; 4,8736,IF(OR(Kategorie3=4,Kategorie3=5),INDEX(Standardwerte!$T$35:$X$43,Lüftung3,Kategorie3)/INDEX(Standardwerte!$Y$35:$AC$43,Lüftung3,Kategorie3)*8760,0)))</f>
        <v>0</v>
      </c>
      <c r="I81" s="447">
        <f>IF(Kategorie4=1,0,IF(Kategorie4 &lt; 4,8736,IF(OR(Kategorie4=4,Kategorie4=5),INDEX(Standardwerte!$T$35:$X$43,Lüftung4,Kategorie4)/INDEX(Standardwerte!$Y$35:$AC$43,Lüftung4,Kategorie4)*8760,0)))</f>
        <v>0</v>
      </c>
      <c r="J81" s="902"/>
      <c r="K81" s="903"/>
      <c r="L81" s="938"/>
      <c r="M81" s="938"/>
      <c r="N81" s="525"/>
    </row>
    <row r="82" spans="1:14" s="27" customFormat="1" ht="12.75" hidden="1">
      <c r="A82" s="1634"/>
      <c r="B82" s="904" t="s">
        <v>825</v>
      </c>
      <c r="C82" s="901"/>
      <c r="D82" s="210" t="s">
        <v>827</v>
      </c>
      <c r="E82" s="210" t="s">
        <v>524</v>
      </c>
      <c r="F82" s="907">
        <f>IF(EBFo1&gt;0,IF(F88,F81/1000*INDEX(Standardwerte!$T$24:$X$32,Lüftung1,Kategorie1)*VSup1*IF(Standardwerte!AB49,0.5,1),)/EBFo1,0)</f>
        <v>0</v>
      </c>
      <c r="G82" s="907">
        <f>IF(EBFo2&gt;0,IF(G88,G81/1000*INDEX(Standardwerte!$T$24:$X$32,Lüftung2,Kategorie2)*VSup2*IF(Standardwerte!AB50,0.5,1),)/EBFo2,0)</f>
        <v>0</v>
      </c>
      <c r="H82" s="907">
        <f>IF(EBFo3&gt;0,IF(H88,H81/1000*INDEX(Standardwerte!$T$24:$X$32,Lüftung3,Kategorie3)*VSup3*IF(Standardwerte!AB51,0.5,1),)/EBFo3,0)</f>
        <v>0</v>
      </c>
      <c r="I82" s="907">
        <f>IF(EBFo4&gt;0,IF(I88,I81/1000*INDEX(Standardwerte!$T$24:$X$32,Lüftung4,Kategorie4)*VSup4*IF(Standardwerte!AB52,0.5,1),)/EBFo4,0)</f>
        <v>0</v>
      </c>
      <c r="J82" s="902"/>
      <c r="K82" s="903"/>
      <c r="L82" s="938"/>
      <c r="M82" s="938"/>
      <c r="N82" s="525"/>
    </row>
    <row r="83" spans="1:14" s="27" customFormat="1" ht="12.75" hidden="1">
      <c r="A83" s="1634"/>
      <c r="B83" s="22" t="s">
        <v>495</v>
      </c>
      <c r="C83" s="835"/>
      <c r="D83" s="219" t="s">
        <v>159</v>
      </c>
      <c r="E83" s="210" t="s">
        <v>524</v>
      </c>
      <c r="F83" s="907">
        <f>IF(AND(MUKEN,Nachweis!G43=0),0,IF(OR(F80&gt;0,_Qel1&gt;0),IF(F80&gt;0,F80,_Qel1),))</f>
        <v>0</v>
      </c>
      <c r="G83" s="907">
        <f>IF(AND(MUKEN,Nachweis!H43=0),0,IF(OR(G80&gt;0,_Qel2&gt;0),IF(G80&gt;0,G80,_Qel2),))</f>
        <v>0</v>
      </c>
      <c r="H83" s="907">
        <f>IF(AND(MUKEN,Nachweis!I43=0),0,IF(OR(H80&gt;0,_Qel3&gt;0),IF(H80&gt;0,H80,_Qel3),))</f>
        <v>0</v>
      </c>
      <c r="I83" s="447">
        <f>IF(AND(MUKEN,Nachweis!J43=0),0,IF(OR(I80&gt;0,_Qel4&gt;0),IF(I80&gt;0,I80,_Qel4),))</f>
        <v>0</v>
      </c>
      <c r="J83" s="199">
        <f>IF(OR(AND(Zonen&gt;0,_Qe1=0,Kategorie1&lt;13),AND(Zonen&gt;1,_Qe2=0,Kategorie2&lt;13),AND(Zonen&gt;2,_Qe3=0,Kategorie3&lt;13),AND(Zonen&gt;3,_Qe4=0,Kategorie4&lt;13)),0,1)</f>
        <v>1</v>
      </c>
      <c r="K83" s="206">
        <f>IF(MUKEN,IF(EBF_MUKEN&gt;0,(_Qe1*_EBF1+_Qe2*_EBF2+_Qe3*_EBF3+_Qe4*_EBF4)/EBF_MUKEN,),IF(EBF&gt;0,(_Qe1*_EBF1+_Qe2*_EBF2+_Qe3*_EBF3+_Qe4*_EBF4)/EBF,))</f>
        <v>0</v>
      </c>
      <c r="L83" s="938"/>
      <c r="M83" s="938"/>
      <c r="N83" s="525"/>
    </row>
    <row r="84" spans="1:14" s="27" customFormat="1" ht="12.75" hidden="1">
      <c r="A84" s="1634"/>
      <c r="B84" s="481" t="str">
        <f>IF(minergiep,"","Strombedarf Klima")</f>
        <v>Strombedarf Klima</v>
      </c>
      <c r="C84" s="807"/>
      <c r="D84" s="405"/>
      <c r="E84" s="482" t="str">
        <f>IF(minergiep,,"kWh/m2")</f>
        <v>kWh/m2</v>
      </c>
      <c r="F84" s="483">
        <f>IF(AND(MUKEN,Nachweis!G43=0),0,IF(E_Qk11&gt;0,E_Qk11,0))</f>
        <v>0</v>
      </c>
      <c r="G84" s="483">
        <f>IF(AND(MUKEN,Nachweis!H43=0),0,IF(E_Qk22&gt;0,E_Qk22,0))</f>
        <v>0</v>
      </c>
      <c r="H84" s="483">
        <f>IF(AND(MUKEN,Nachweis!I43=0),0,IF(E_Qk33&gt;0,E_Qk33,0))</f>
        <v>0</v>
      </c>
      <c r="I84" s="483">
        <f>IF(AND(MUKEN,Nachweis!J43=0),0,IF(E_Qk44&gt;0,E_Qk44,0))</f>
        <v>0</v>
      </c>
      <c r="J84" s="484"/>
      <c r="K84" s="485">
        <f>IF(MUKEN,IF(EBF_MUKEN&gt;0,(E_Qk1*_EBF1+E_Qk2*_EBF2+E_Qk3*_EBF3+E_Qk4*_EBF4)/EBF_MUKEN,0),IF(EBF&gt;0,(E_Qk1*_EBF1+E_Qk2*_EBF2+E_Qk3*_EBF3+E_Qk4*_EBF4)/EBF,0))</f>
        <v>0</v>
      </c>
      <c r="L84" s="938"/>
      <c r="M84" s="938"/>
      <c r="N84" s="525"/>
    </row>
    <row r="85" spans="1:14" s="27" customFormat="1" ht="12.75" hidden="1">
      <c r="A85" s="1634"/>
      <c r="B85" s="787" t="s">
        <v>41</v>
      </c>
      <c r="C85" s="705"/>
      <c r="D85" s="524"/>
      <c r="E85" s="524"/>
      <c r="F85" s="936" t="b">
        <f>AND(Zonen&gt;0,Lüftung1=5)</f>
        <v>0</v>
      </c>
      <c r="G85" s="936"/>
      <c r="H85" s="936"/>
      <c r="I85" s="936"/>
      <c r="J85" s="705"/>
      <c r="K85" s="937" t="b">
        <f>OR(F85,G85,H85,I85)</f>
        <v>0</v>
      </c>
      <c r="L85" s="938"/>
      <c r="M85" s="938"/>
      <c r="N85" s="525"/>
    </row>
    <row r="86" spans="1:14" s="27" customFormat="1" ht="12.75" hidden="1">
      <c r="A86" s="1634"/>
      <c r="B86" s="787" t="s">
        <v>463</v>
      </c>
      <c r="C86" s="705"/>
      <c r="D86" s="524"/>
      <c r="E86" s="944"/>
      <c r="F86" s="936" t="b">
        <f>IF(Standardlüftung1=3,IF(AND(F40&gt;0,F40/(1-_WRG1)&lt;F37),FALSE,TRUE),TRUE)</f>
        <v>1</v>
      </c>
      <c r="G86" s="936" t="b">
        <f>IF(Standardlüftung2=3,IF(AND(G40&gt;0,G40/(1-_WRG2)&lt;G37),FALSE,TRUE),TRUE)</f>
        <v>1</v>
      </c>
      <c r="H86" s="936" t="b">
        <f>IF(Standardlüftung3=3,IF(AND(H40&gt;0,H40/(1-_WRG3)&lt;H37),FALSE,TRUE),TRUE)</f>
        <v>1</v>
      </c>
      <c r="I86" s="936" t="b">
        <f>IF(Standardlüftung4=3,IF(AND(I40&gt;0,I40/(1-_WRG4)&lt;I37),FALSE,TRUE),TRUE)</f>
        <v>1</v>
      </c>
      <c r="J86" s="705"/>
      <c r="K86" s="937"/>
      <c r="L86" s="938"/>
      <c r="M86" s="938"/>
      <c r="N86" s="525"/>
    </row>
    <row r="87" spans="1:14" s="27" customFormat="1" ht="12.75" hidden="1">
      <c r="A87" s="1634"/>
      <c r="B87" s="945" t="s">
        <v>464</v>
      </c>
      <c r="C87" s="155"/>
      <c r="D87" s="946"/>
      <c r="E87" s="947"/>
      <c r="F87" s="939" t="b">
        <f>IF(Standardlüftung1=3,IF(AND(F41&gt;0,F41/_EBF1&lt;_Qel1),FALSE,TRUE),TRUE)</f>
        <v>1</v>
      </c>
      <c r="G87" s="939" t="b">
        <f>IF(Standardlüftung2=3,IF(AND(G41&gt;0,G41/_EBF2&lt;_Qel2),FALSE,TRUE),TRUE)</f>
        <v>1</v>
      </c>
      <c r="H87" s="939" t="b">
        <f>IF(Standardlüftung3=3,IF(AND(H41&gt;0,H41/_EBF3&lt;_Qel3),FALSE,TRUE),TRUE)</f>
        <v>1</v>
      </c>
      <c r="I87" s="939" t="b">
        <f>IF(Standardlüftung4=3,IF(AND(I41&gt;0,I41/_EBF4&lt;_Qel4),FALSE,TRUE),TRUE)</f>
        <v>1</v>
      </c>
      <c r="J87" s="155"/>
      <c r="K87" s="633"/>
      <c r="L87" s="938"/>
      <c r="M87" s="938"/>
      <c r="N87" s="525"/>
    </row>
    <row r="88" spans="1:14" s="27" customFormat="1" ht="12.75" hidden="1">
      <c r="A88" s="1634"/>
      <c r="B88" s="529" t="s">
        <v>153</v>
      </c>
      <c r="C88" s="524"/>
      <c r="D88" s="524"/>
      <c r="E88" s="524"/>
      <c r="F88" s="936" t="b">
        <f>IF(Standardlüftung1=3,TRUE,FALSE)</f>
        <v>0</v>
      </c>
      <c r="G88" s="936" t="b">
        <f>IF(Standardlüftung2=3,TRUE,FALSE)</f>
        <v>0</v>
      </c>
      <c r="H88" s="936" t="b">
        <f>IF(Standardlüftung3=3,TRUE,FALSE)</f>
        <v>0</v>
      </c>
      <c r="I88" s="936" t="b">
        <f>IF(Standardlüftung4=3,TRUE,FALSE)</f>
        <v>0</v>
      </c>
      <c r="J88" s="705"/>
      <c r="K88" s="937"/>
      <c r="L88" s="938"/>
      <c r="M88" s="938"/>
      <c r="N88" s="525"/>
    </row>
    <row r="89" spans="1:14" s="27" customFormat="1" ht="12.75" hidden="1">
      <c r="A89" s="1634"/>
      <c r="B89" s="1938" t="s">
        <v>190</v>
      </c>
      <c r="C89" s="1939"/>
      <c r="D89" s="405" t="s">
        <v>711</v>
      </c>
      <c r="E89" s="405" t="s">
        <v>191</v>
      </c>
      <c r="F89" s="920">
        <f>IF(Einheiten=2,F46*3.6,F46)</f>
        <v>0</v>
      </c>
      <c r="G89" s="920">
        <f>IF(Einheiten=2,G46*3.6,G46)</f>
        <v>0</v>
      </c>
      <c r="H89" s="920">
        <f>IF(Einheiten=2,H46*3.6,H46)</f>
        <v>0</v>
      </c>
      <c r="I89" s="920">
        <f>IF(Einheiten=2,I46*3.6,I46)</f>
        <v>0</v>
      </c>
      <c r="J89" s="436">
        <f>IF(OR(AND(Zonen&gt;0,_qh1=0,Kategorie1&lt;13),AND(Zonen&gt;1,_qh2=0,Kategorie2&lt;13),AND(Zonen&gt;2,_qh3=0,Kategorie3&lt;13),AND(Zonen&gt;3,_qh4=0,Kategorie4&lt;13)),0,1)</f>
        <v>1</v>
      </c>
      <c r="K89" s="437">
        <f>IF(EBF=0,0,(F89*_EBF1+G89*_EBF2+H89*_EBF3+I89*_EBF4)/EBF)</f>
        <v>0</v>
      </c>
      <c r="L89" s="938"/>
      <c r="M89" s="938"/>
      <c r="N89" s="525"/>
    </row>
    <row r="90" spans="1:14" s="27" customFormat="1" ht="12.75" hidden="1">
      <c r="A90" s="1634"/>
      <c r="B90" s="21" t="str">
        <f>Uebersetzung!D37</f>
        <v>Heizwärmebedarf mit Standardluftwechsel</v>
      </c>
      <c r="C90" s="831"/>
      <c r="D90" s="210" t="str">
        <f>"Qh"</f>
        <v>Qh</v>
      </c>
      <c r="E90" s="210" t="s">
        <v>191</v>
      </c>
      <c r="F90" s="919">
        <f>IF(Einheiten=1,F24,F24*3.6)</f>
        <v>0</v>
      </c>
      <c r="G90" s="919">
        <f>IF(Einheiten=1,G24,G24*3.6)</f>
        <v>0</v>
      </c>
      <c r="H90" s="919">
        <f>IF(Einheiten=1,H24,H24*3.6)</f>
        <v>0</v>
      </c>
      <c r="I90" s="919">
        <f>IF(Einheiten=1,I24,I24*3.6)</f>
        <v>0</v>
      </c>
      <c r="J90" s="364">
        <f>IF(OR(AND(Zonen&gt;0,_qhs1=0,,Kategorie1&lt;13),AND(Zonen&gt;1,_qhs2=0,Kategorie2&lt;13),AND(Zonen&gt;2,_qhs3=0,Kategorie3&lt;13),AND(Zonen&gt;3,_qhs4=0,Kategorie4&lt;13)),0,1)</f>
        <v>1</v>
      </c>
      <c r="K90" s="465">
        <f>IF(Primaeranforderung="",IF(EBF&gt;0,(_qhs1*_EBF1+_qhs2*_EBF2+_qhs3*_EBF3+_qhs4*_EBF4)/EBF,0),IF(Nachweis!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Nachweis!I57&gt;Primaeranforderung,Uebersetzung!D74,IF(EBF=0,0,Nachweis!I57*3.6)),),IF(EBF=0,0,Nachweis!I57*3.6)))))</f>
        <v>0</v>
      </c>
      <c r="L90" s="938"/>
      <c r="M90" s="938"/>
      <c r="N90" s="525"/>
    </row>
    <row r="91" spans="1:14" s="27" customFormat="1" ht="12.75" hidden="1">
      <c r="A91" s="1634"/>
      <c r="B91" s="21" t="s">
        <v>36</v>
      </c>
      <c r="C91" s="803"/>
      <c r="D91" s="210" t="s">
        <v>722</v>
      </c>
      <c r="E91" s="210" t="s">
        <v>321</v>
      </c>
      <c r="F91" s="919">
        <f>F19</f>
        <v>0</v>
      </c>
      <c r="G91" s="919">
        <f>G19</f>
        <v>0</v>
      </c>
      <c r="H91" s="919">
        <f>H19</f>
        <v>0</v>
      </c>
      <c r="I91" s="919">
        <f>I19</f>
        <v>0</v>
      </c>
      <c r="J91" s="363"/>
      <c r="K91" s="400">
        <f>IF(OR(F19&lt;F91,G19&lt;G91,H19&lt;H91,I19&lt;I91),"EBFo muss &lt;= EBF sein",EBFo1+EBFo2+EBFo3+EBFo4)</f>
        <v>0</v>
      </c>
      <c r="L91" s="938"/>
      <c r="M91" s="938"/>
      <c r="N91" s="525"/>
    </row>
    <row r="92" spans="1:14" s="27" customFormat="1" ht="12.75" hidden="1">
      <c r="A92" s="1634"/>
      <c r="B92" s="21" t="s">
        <v>176</v>
      </c>
      <c r="C92" s="803"/>
      <c r="D92" s="210" t="s">
        <v>532</v>
      </c>
      <c r="E92" s="210" t="str">
        <f>"-"</f>
        <v>-</v>
      </c>
      <c r="F92" s="214">
        <f>F23</f>
        <v>0</v>
      </c>
      <c r="G92" s="224">
        <f>G23</f>
        <v>0</v>
      </c>
      <c r="H92" s="224">
        <f>H23</f>
        <v>0</v>
      </c>
      <c r="I92" s="224">
        <f>I23</f>
        <v>0</v>
      </c>
      <c r="J92" s="201"/>
      <c r="K92" s="204">
        <f>IF(EBF=0,0,(AEBF1*_EBF1+AEBF2*_EBF2+AEBF3*_EBF3+AEBF4*_EBF4)/EBF)</f>
        <v>0</v>
      </c>
      <c r="L92" s="938"/>
      <c r="M92" s="938"/>
      <c r="N92" s="525"/>
    </row>
    <row r="93" spans="1:14" s="27" customFormat="1" ht="12.75" hidden="1">
      <c r="A93" s="1634"/>
      <c r="B93" s="23" t="s">
        <v>344</v>
      </c>
      <c r="C93" s="804"/>
      <c r="D93" s="220" t="s">
        <v>345</v>
      </c>
      <c r="E93" s="221" t="s">
        <v>51</v>
      </c>
      <c r="F93" s="211">
        <f>Standardwerte!N60</f>
        <v>0</v>
      </c>
      <c r="G93" s="917">
        <f>Standardwerte!N61</f>
        <v>0</v>
      </c>
      <c r="H93" s="917">
        <f>Standardwerte!N62</f>
        <v>0</v>
      </c>
      <c r="I93" s="917">
        <f>Standardwerte!N63</f>
        <v>0</v>
      </c>
      <c r="J93" s="208"/>
      <c r="K93" s="205">
        <f>IF(EBF=0,0,(_WRG1*_EBF1+_WRG2*_EBF2+_WRG3*_EBF3+_WRG4*_EBF4)/EBF)</f>
        <v>0</v>
      </c>
      <c r="L93" s="938"/>
      <c r="M93" s="938"/>
      <c r="N93" s="525"/>
    </row>
    <row r="94" spans="1:14" s="27" customFormat="1" ht="12.75" hidden="1">
      <c r="A94" s="1634"/>
      <c r="B94" s="1671" t="s">
        <v>3051</v>
      </c>
      <c r="C94" s="1668"/>
      <c r="D94" s="1668"/>
      <c r="E94" s="1668"/>
      <c r="F94" s="1669" t="b">
        <f>IF(AND(MUKEN,OR(Standardlüftung1=1,Standardlüftung1=2)),TRUE,FALSE)</f>
        <v>0</v>
      </c>
      <c r="G94" s="1669" t="b">
        <f>IF(AND(Zonen&gt;1,MUKEN,OR(Standardlüftung2=1,Standardlüftung2=2)),TRUE,FALSE)</f>
        <v>0</v>
      </c>
      <c r="H94" s="1669" t="b">
        <f>IF(AND(Zonen&gt;2,MUKEN,OR(Standardlüftung3=1,Standardlüftung3=2)),TRUE,FALSE)</f>
        <v>0</v>
      </c>
      <c r="I94" s="1669" t="b">
        <f>IF(AND(Zonen&gt;3,MUKEN,OR(Standardlüftung4=1,Standardlüftung4=2)),TRUE,FALSE)</f>
        <v>0</v>
      </c>
      <c r="J94" s="1669" t="b">
        <f>IF(AND(Zonen&gt;1,MUKEN,OR(Standardlüftung2=1,Standardlüftung2=2)),TRUE,FALSE)</f>
        <v>0</v>
      </c>
      <c r="K94" s="1670"/>
      <c r="L94" s="938"/>
      <c r="M94" s="938"/>
      <c r="N94" s="525"/>
    </row>
    <row r="95" spans="1:14" s="27" customFormat="1" ht="12.75" hidden="1">
      <c r="A95" s="1634"/>
      <c r="B95" s="525"/>
      <c r="C95" s="525"/>
      <c r="D95" s="525"/>
      <c r="E95" s="525"/>
      <c r="F95" s="948"/>
      <c r="G95" s="948"/>
      <c r="H95" s="948"/>
      <c r="I95" s="948"/>
      <c r="J95" s="525"/>
      <c r="K95" s="525"/>
      <c r="L95" s="938"/>
      <c r="M95" s="938"/>
      <c r="N95" s="525"/>
    </row>
    <row r="96" spans="1:14" s="27" customFormat="1" ht="12.75">
      <c r="A96" s="1636"/>
      <c r="F96" s="33"/>
      <c r="G96" s="33"/>
      <c r="H96" s="33"/>
      <c r="I96" s="33"/>
      <c r="L96" s="325"/>
      <c r="M96" s="325"/>
    </row>
    <row r="97" spans="1:13" s="27" customFormat="1" ht="12.75">
      <c r="A97" s="1636"/>
      <c r="F97" s="33"/>
      <c r="G97" s="33"/>
      <c r="H97" s="33"/>
      <c r="I97" s="33"/>
      <c r="L97" s="325"/>
      <c r="M97" s="325"/>
    </row>
    <row r="98" spans="1:13" s="27" customFormat="1" ht="12.75">
      <c r="A98" s="1636"/>
      <c r="F98" s="33"/>
      <c r="G98" s="33"/>
      <c r="H98" s="33"/>
      <c r="I98" s="33"/>
      <c r="L98" s="325"/>
      <c r="M98" s="325"/>
    </row>
    <row r="99" spans="1:13" s="27" customFormat="1" ht="12.75">
      <c r="A99" s="1636"/>
      <c r="F99" s="33"/>
      <c r="G99" s="33"/>
      <c r="H99" s="33"/>
      <c r="I99" s="33"/>
      <c r="L99" s="325"/>
      <c r="M99" s="325"/>
    </row>
    <row r="100" spans="1:13" s="27" customFormat="1" ht="12.75">
      <c r="A100" s="1636"/>
      <c r="F100" s="33"/>
      <c r="G100" s="33"/>
      <c r="H100" s="33"/>
      <c r="I100" s="33"/>
      <c r="L100" s="325"/>
      <c r="M100" s="325"/>
    </row>
    <row r="101" spans="1:13" s="623" customFormat="1" ht="12.75">
      <c r="A101" s="1637"/>
      <c r="F101" s="629"/>
      <c r="G101" s="629"/>
      <c r="H101" s="629"/>
      <c r="I101" s="629"/>
      <c r="L101" s="630"/>
      <c r="M101" s="630"/>
    </row>
    <row r="102" spans="1:13" s="623" customFormat="1" ht="12.75">
      <c r="A102" s="1637"/>
      <c r="F102" s="629"/>
      <c r="G102" s="629"/>
      <c r="H102" s="629"/>
      <c r="I102" s="629"/>
      <c r="L102" s="630"/>
      <c r="M102" s="630"/>
    </row>
    <row r="103" spans="1:13" s="623" customFormat="1" ht="12.75">
      <c r="A103" s="1637"/>
      <c r="F103" s="629"/>
      <c r="G103" s="629"/>
      <c r="H103" s="629"/>
      <c r="I103" s="629"/>
      <c r="L103" s="630"/>
      <c r="M103" s="630"/>
    </row>
    <row r="104" spans="1:13" s="623" customFormat="1" ht="12.75">
      <c r="A104" s="1637"/>
      <c r="F104" s="629"/>
      <c r="G104" s="629"/>
      <c r="H104" s="629"/>
      <c r="I104" s="629"/>
      <c r="L104" s="630"/>
      <c r="M104" s="630"/>
    </row>
    <row r="105" spans="1:13" s="623" customFormat="1" ht="12.75">
      <c r="A105" s="1637"/>
      <c r="F105" s="629"/>
      <c r="G105" s="629"/>
      <c r="H105" s="629"/>
      <c r="I105" s="629"/>
      <c r="L105" s="630"/>
      <c r="M105" s="630"/>
    </row>
    <row r="106" spans="1:13" s="623" customFormat="1" ht="12.75">
      <c r="A106" s="1637"/>
      <c r="F106" s="629"/>
      <c r="G106" s="629"/>
      <c r="H106" s="629"/>
      <c r="I106" s="629"/>
      <c r="L106" s="630"/>
      <c r="M106" s="630"/>
    </row>
    <row r="107" spans="1:13" s="623" customFormat="1" ht="12.75">
      <c r="A107" s="1637"/>
      <c r="F107" s="629"/>
      <c r="G107" s="629"/>
      <c r="H107" s="629"/>
      <c r="I107" s="629"/>
      <c r="L107" s="630"/>
      <c r="M107" s="630"/>
    </row>
    <row r="108" spans="1:13" s="623" customFormat="1" ht="12.75">
      <c r="A108" s="1637"/>
      <c r="F108" s="629"/>
      <c r="G108" s="629"/>
      <c r="H108" s="629"/>
      <c r="I108" s="629"/>
      <c r="L108" s="630"/>
      <c r="M108" s="630"/>
    </row>
    <row r="109" spans="1:13" s="623" customFormat="1" ht="12.75">
      <c r="A109" s="1637"/>
      <c r="F109" s="629"/>
      <c r="G109" s="629"/>
      <c r="H109" s="629"/>
      <c r="I109" s="629"/>
      <c r="L109" s="630"/>
      <c r="M109" s="630"/>
    </row>
    <row r="110" spans="1:13" s="623" customFormat="1" ht="12.75">
      <c r="A110" s="1637"/>
      <c r="F110" s="629"/>
      <c r="G110" s="629"/>
      <c r="H110" s="629"/>
      <c r="I110" s="629"/>
      <c r="L110" s="630"/>
      <c r="M110" s="630"/>
    </row>
    <row r="111" spans="1:13" s="623" customFormat="1" ht="12.75">
      <c r="A111" s="1637"/>
      <c r="F111" s="629"/>
      <c r="G111" s="629"/>
      <c r="H111" s="629"/>
      <c r="I111" s="629"/>
      <c r="L111" s="630"/>
      <c r="M111" s="630"/>
    </row>
    <row r="112" spans="1:13" s="623" customFormat="1" ht="12.75">
      <c r="A112" s="1637"/>
      <c r="F112" s="629"/>
      <c r="G112" s="629"/>
      <c r="H112" s="629"/>
      <c r="I112" s="629"/>
      <c r="L112" s="630"/>
      <c r="M112" s="630"/>
    </row>
    <row r="113" spans="1:13" s="623" customFormat="1" ht="12.75">
      <c r="A113" s="1637"/>
      <c r="F113" s="629"/>
      <c r="G113" s="629"/>
      <c r="H113" s="629"/>
      <c r="I113" s="629"/>
      <c r="L113" s="630"/>
      <c r="M113" s="630"/>
    </row>
    <row r="114" spans="1:13" s="623" customFormat="1" ht="12.75">
      <c r="A114" s="1637"/>
      <c r="F114" s="629"/>
      <c r="G114" s="629"/>
      <c r="H114" s="629"/>
      <c r="I114" s="629"/>
      <c r="L114" s="630"/>
      <c r="M114" s="630"/>
    </row>
    <row r="115" spans="1:13" s="623" customFormat="1" ht="12.75">
      <c r="A115" s="1637"/>
      <c r="F115" s="629"/>
      <c r="G115" s="629"/>
      <c r="H115" s="629"/>
      <c r="I115" s="629"/>
      <c r="L115" s="630"/>
      <c r="M115" s="630"/>
    </row>
    <row r="116" spans="1:13" s="623" customFormat="1" ht="12.75">
      <c r="A116" s="1637"/>
      <c r="F116" s="629"/>
      <c r="G116" s="629"/>
      <c r="H116" s="629"/>
      <c r="I116" s="629"/>
      <c r="L116" s="630"/>
      <c r="M116" s="630"/>
    </row>
    <row r="117" spans="1:13" s="623" customFormat="1" ht="12.75">
      <c r="A117" s="1637"/>
      <c r="F117" s="629"/>
      <c r="G117" s="629"/>
      <c r="H117" s="629"/>
      <c r="I117" s="629"/>
      <c r="L117" s="630"/>
      <c r="M117" s="630"/>
    </row>
    <row r="118" spans="1:13" s="623" customFormat="1" ht="12.75">
      <c r="A118" s="1637"/>
      <c r="F118" s="629"/>
      <c r="G118" s="629"/>
      <c r="H118" s="629"/>
      <c r="I118" s="629"/>
      <c r="L118" s="630"/>
      <c r="M118" s="630"/>
    </row>
    <row r="119" spans="1:13" s="623" customFormat="1" ht="12.75">
      <c r="A119" s="1637"/>
      <c r="F119" s="629"/>
      <c r="G119" s="629"/>
      <c r="H119" s="629"/>
      <c r="I119" s="629"/>
      <c r="L119" s="630"/>
      <c r="M119" s="630"/>
    </row>
    <row r="120" spans="1:13" s="623" customFormat="1" ht="12.75">
      <c r="A120" s="1637"/>
      <c r="F120" s="629"/>
      <c r="G120" s="629"/>
      <c r="H120" s="629"/>
      <c r="I120" s="629"/>
      <c r="L120" s="630"/>
      <c r="M120" s="630"/>
    </row>
    <row r="121" spans="1:13" s="623" customFormat="1" ht="12.75">
      <c r="A121" s="1637"/>
      <c r="F121" s="629"/>
      <c r="G121" s="629"/>
      <c r="H121" s="629"/>
      <c r="I121" s="629"/>
      <c r="L121" s="630"/>
      <c r="M121" s="630"/>
    </row>
    <row r="122" spans="1:13" s="623" customFormat="1" ht="12.75">
      <c r="A122" s="1637"/>
      <c r="F122" s="629"/>
      <c r="G122" s="629"/>
      <c r="H122" s="629"/>
      <c r="I122" s="629"/>
      <c r="L122" s="630"/>
      <c r="M122" s="630"/>
    </row>
    <row r="123" spans="1:13" s="623" customFormat="1" ht="12.75">
      <c r="A123" s="1637"/>
      <c r="F123" s="629"/>
      <c r="G123" s="629"/>
      <c r="H123" s="629"/>
      <c r="I123" s="629"/>
      <c r="L123" s="630"/>
      <c r="M123" s="630"/>
    </row>
    <row r="124" spans="1:13" s="623" customFormat="1" ht="12.75">
      <c r="A124" s="1637"/>
      <c r="F124" s="629"/>
      <c r="G124" s="629"/>
      <c r="H124" s="629"/>
      <c r="I124" s="629"/>
      <c r="L124" s="630"/>
      <c r="M124" s="630"/>
    </row>
    <row r="125" spans="1:13" s="623" customFormat="1" ht="12.75">
      <c r="A125" s="1637"/>
      <c r="F125" s="629"/>
      <c r="G125" s="629"/>
      <c r="H125" s="629"/>
      <c r="I125" s="629"/>
      <c r="L125" s="630"/>
      <c r="M125" s="630"/>
    </row>
    <row r="126" spans="1:13" s="623" customFormat="1" ht="12.75">
      <c r="A126" s="1637"/>
      <c r="F126" s="629"/>
      <c r="G126" s="629"/>
      <c r="H126" s="629"/>
      <c r="I126" s="629"/>
      <c r="L126" s="630"/>
      <c r="M126" s="630"/>
    </row>
    <row r="127" spans="1:13" s="623" customFormat="1" ht="12.75">
      <c r="A127" s="1637"/>
      <c r="F127" s="629"/>
      <c r="G127" s="629"/>
      <c r="H127" s="629"/>
      <c r="I127" s="629"/>
      <c r="L127" s="630"/>
      <c r="M127" s="630"/>
    </row>
    <row r="128" spans="1:13" s="623" customFormat="1" ht="12.75">
      <c r="A128" s="1637"/>
      <c r="F128" s="629"/>
      <c r="G128" s="629"/>
      <c r="H128" s="629"/>
      <c r="I128" s="629"/>
      <c r="L128" s="630"/>
      <c r="M128" s="630"/>
    </row>
    <row r="129" spans="1:13" s="623" customFormat="1" ht="12.75">
      <c r="A129" s="1637"/>
      <c r="F129" s="629"/>
      <c r="G129" s="629"/>
      <c r="H129" s="629"/>
      <c r="I129" s="629"/>
      <c r="L129" s="630"/>
      <c r="M129" s="630"/>
    </row>
    <row r="130" spans="1:13" s="623" customFormat="1" ht="12.75">
      <c r="A130" s="1637"/>
      <c r="F130" s="629"/>
      <c r="G130" s="629"/>
      <c r="H130" s="629"/>
      <c r="I130" s="629"/>
      <c r="L130" s="630"/>
      <c r="M130" s="630"/>
    </row>
    <row r="131" spans="1:13" s="623" customFormat="1" ht="12.75">
      <c r="A131" s="1637"/>
      <c r="F131" s="629"/>
      <c r="G131" s="629"/>
      <c r="H131" s="629"/>
      <c r="I131" s="629"/>
      <c r="L131" s="630"/>
      <c r="M131" s="630"/>
    </row>
    <row r="132" spans="1:13" s="623" customFormat="1" ht="12.75">
      <c r="A132" s="1637"/>
      <c r="F132" s="629"/>
      <c r="G132" s="629"/>
      <c r="H132" s="629"/>
      <c r="I132" s="629"/>
      <c r="L132" s="630"/>
      <c r="M132" s="630"/>
    </row>
    <row r="133" spans="1:13" s="623" customFormat="1" ht="12.75">
      <c r="A133" s="1637"/>
      <c r="F133" s="629"/>
      <c r="G133" s="629"/>
      <c r="H133" s="629"/>
      <c r="I133" s="629"/>
      <c r="L133" s="630"/>
      <c r="M133" s="630"/>
    </row>
    <row r="134" spans="1:13" s="623" customFormat="1" ht="12.75">
      <c r="A134" s="1637"/>
      <c r="F134" s="629"/>
      <c r="G134" s="629"/>
      <c r="H134" s="629"/>
      <c r="I134" s="629"/>
      <c r="L134" s="630"/>
      <c r="M134" s="630"/>
    </row>
    <row r="135" spans="1:13" s="623" customFormat="1" ht="12.75">
      <c r="A135" s="1637"/>
      <c r="F135" s="629"/>
      <c r="G135" s="629"/>
      <c r="H135" s="629"/>
      <c r="I135" s="629"/>
      <c r="L135" s="630"/>
      <c r="M135" s="630"/>
    </row>
    <row r="136" spans="1:13" s="623" customFormat="1" ht="12.75">
      <c r="A136" s="1637"/>
      <c r="F136" s="629"/>
      <c r="G136" s="629"/>
      <c r="H136" s="629"/>
      <c r="I136" s="629"/>
      <c r="L136" s="630"/>
      <c r="M136" s="630"/>
    </row>
    <row r="137" spans="1:13" s="623" customFormat="1" ht="12.75">
      <c r="A137" s="1637"/>
      <c r="F137" s="629"/>
      <c r="G137" s="629"/>
      <c r="H137" s="629"/>
      <c r="I137" s="629"/>
      <c r="L137" s="630"/>
      <c r="M137" s="630"/>
    </row>
    <row r="138" spans="1:13" s="623" customFormat="1" ht="12.75">
      <c r="A138" s="1637"/>
      <c r="F138" s="629"/>
      <c r="G138" s="629"/>
      <c r="H138" s="629"/>
      <c r="I138" s="629"/>
      <c r="L138" s="630"/>
      <c r="M138" s="630"/>
    </row>
    <row r="139" spans="1:13" s="623" customFormat="1" ht="12.75">
      <c r="A139" s="1637"/>
      <c r="F139" s="629"/>
      <c r="G139" s="629"/>
      <c r="H139" s="629"/>
      <c r="I139" s="629"/>
      <c r="L139" s="630"/>
      <c r="M139" s="630"/>
    </row>
    <row r="140" spans="1:13" s="623" customFormat="1" ht="12.75">
      <c r="A140" s="1637"/>
      <c r="F140" s="629"/>
      <c r="G140" s="629"/>
      <c r="H140" s="629"/>
      <c r="I140" s="629"/>
      <c r="L140" s="630"/>
      <c r="M140" s="630"/>
    </row>
    <row r="141" spans="1:13" s="623" customFormat="1" ht="12.75">
      <c r="A141" s="1637"/>
      <c r="F141" s="629"/>
      <c r="G141" s="629"/>
      <c r="H141" s="629"/>
      <c r="I141" s="629"/>
      <c r="L141" s="630"/>
      <c r="M141" s="630"/>
    </row>
    <row r="142" spans="1:13" s="623" customFormat="1" ht="12.75">
      <c r="A142" s="1637"/>
      <c r="F142" s="629"/>
      <c r="G142" s="629"/>
      <c r="H142" s="629"/>
      <c r="I142" s="629"/>
      <c r="L142" s="630"/>
      <c r="M142" s="630"/>
    </row>
    <row r="143" spans="1:13" s="623" customFormat="1" ht="12.75">
      <c r="A143" s="1637"/>
      <c r="F143" s="629"/>
      <c r="G143" s="629"/>
      <c r="H143" s="629"/>
      <c r="I143" s="629"/>
      <c r="L143" s="630"/>
      <c r="M143" s="630"/>
    </row>
    <row r="144" spans="1:13" s="623" customFormat="1" ht="12.75">
      <c r="A144" s="1637"/>
      <c r="F144" s="629"/>
      <c r="G144" s="629"/>
      <c r="H144" s="629"/>
      <c r="I144" s="629"/>
      <c r="L144" s="630"/>
      <c r="M144" s="630"/>
    </row>
    <row r="145" spans="1:13" s="623" customFormat="1" ht="12.75">
      <c r="A145" s="1637"/>
      <c r="F145" s="629"/>
      <c r="G145" s="629"/>
      <c r="H145" s="629"/>
      <c r="I145" s="629"/>
      <c r="L145" s="630"/>
      <c r="M145" s="630"/>
    </row>
    <row r="146" spans="1:13" s="623" customFormat="1" ht="12.75">
      <c r="A146" s="1637"/>
      <c r="F146" s="629"/>
      <c r="G146" s="629"/>
      <c r="H146" s="629"/>
      <c r="I146" s="629"/>
      <c r="L146" s="630"/>
      <c r="M146" s="630"/>
    </row>
    <row r="147" spans="1:13" s="623" customFormat="1" ht="12.75">
      <c r="A147" s="1637"/>
      <c r="F147" s="629"/>
      <c r="G147" s="629"/>
      <c r="H147" s="629"/>
      <c r="I147" s="629"/>
      <c r="L147" s="630"/>
      <c r="M147" s="630"/>
    </row>
    <row r="148" spans="1:13" s="623" customFormat="1" ht="12.75">
      <c r="A148" s="1637"/>
      <c r="F148" s="629"/>
      <c r="G148" s="629"/>
      <c r="H148" s="629"/>
      <c r="I148" s="629"/>
      <c r="L148" s="630"/>
      <c r="M148" s="630"/>
    </row>
    <row r="149" spans="1:13" s="623" customFormat="1" ht="12.75">
      <c r="A149" s="1637"/>
      <c r="F149" s="629"/>
      <c r="G149" s="629"/>
      <c r="H149" s="629"/>
      <c r="I149" s="629"/>
      <c r="L149" s="630"/>
      <c r="M149" s="630"/>
    </row>
    <row r="150" spans="1:13" s="623" customFormat="1" ht="12.75">
      <c r="A150" s="1637"/>
      <c r="F150" s="629"/>
      <c r="G150" s="629"/>
      <c r="H150" s="629"/>
      <c r="I150" s="629"/>
      <c r="L150" s="630"/>
      <c r="M150" s="630"/>
    </row>
    <row r="151" spans="1:13" s="623" customFormat="1" ht="12.75">
      <c r="A151" s="1637"/>
      <c r="F151" s="629"/>
      <c r="G151" s="629"/>
      <c r="H151" s="629"/>
      <c r="I151" s="629"/>
      <c r="L151" s="630"/>
      <c r="M151" s="630"/>
    </row>
    <row r="152" spans="1:13" s="623" customFormat="1" ht="12.75">
      <c r="A152" s="1637"/>
      <c r="F152" s="629"/>
      <c r="G152" s="629"/>
      <c r="H152" s="629"/>
      <c r="I152" s="629"/>
      <c r="L152" s="630"/>
      <c r="M152" s="630"/>
    </row>
    <row r="153" spans="1:13" s="623" customFormat="1" ht="12.75">
      <c r="A153" s="1637"/>
      <c r="F153" s="629"/>
      <c r="G153" s="629"/>
      <c r="H153" s="629"/>
      <c r="I153" s="629"/>
      <c r="L153" s="630"/>
      <c r="M153" s="630"/>
    </row>
    <row r="154" spans="1:13" s="623" customFormat="1" ht="12.75">
      <c r="A154" s="1637"/>
      <c r="F154" s="629"/>
      <c r="G154" s="629"/>
      <c r="H154" s="629"/>
      <c r="I154" s="629"/>
      <c r="L154" s="630"/>
      <c r="M154" s="630"/>
    </row>
    <row r="155" spans="1:13" s="623" customFormat="1" ht="12.75">
      <c r="A155" s="1637"/>
      <c r="F155" s="629"/>
      <c r="G155" s="629"/>
      <c r="H155" s="629"/>
      <c r="I155" s="629"/>
      <c r="L155" s="630"/>
      <c r="M155" s="630"/>
    </row>
    <row r="156" spans="1:13" customFormat="1" ht="12.75">
      <c r="A156" s="1638"/>
      <c r="F156" s="1"/>
      <c r="G156" s="1"/>
      <c r="H156" s="1"/>
      <c r="I156" s="1"/>
      <c r="L156" s="326"/>
      <c r="M156" s="326"/>
    </row>
    <row r="157" spans="1:13" customFormat="1" ht="12.75">
      <c r="A157" s="1638"/>
      <c r="F157" s="1"/>
      <c r="G157" s="1"/>
      <c r="H157" s="1"/>
      <c r="I157" s="1"/>
      <c r="L157" s="326"/>
      <c r="M157" s="326"/>
    </row>
    <row r="158" spans="1:13" customFormat="1" ht="12.75">
      <c r="A158" s="1638"/>
      <c r="F158" s="1"/>
      <c r="G158" s="1"/>
      <c r="H158" s="1"/>
      <c r="I158" s="1"/>
      <c r="L158" s="326"/>
      <c r="M158" s="326"/>
    </row>
    <row r="159" spans="1:13" customFormat="1" ht="12.75">
      <c r="A159" s="1638"/>
      <c r="F159" s="1"/>
      <c r="G159" s="1"/>
      <c r="H159" s="1"/>
      <c r="I159" s="1"/>
      <c r="L159" s="326"/>
      <c r="M159" s="326"/>
    </row>
    <row r="160" spans="1:13" customFormat="1" ht="12.75">
      <c r="A160" s="1638"/>
      <c r="F160" s="1"/>
      <c r="G160" s="1"/>
      <c r="H160" s="1"/>
      <c r="I160" s="1"/>
      <c r="L160" s="326"/>
      <c r="M160" s="326"/>
    </row>
    <row r="161" spans="1:13" customFormat="1" ht="12.75">
      <c r="A161" s="1638"/>
      <c r="F161" s="1"/>
      <c r="G161" s="1"/>
      <c r="H161" s="1"/>
      <c r="I161" s="1"/>
      <c r="L161" s="326"/>
      <c r="M161" s="326"/>
    </row>
    <row r="162" spans="1:13" customFormat="1" ht="12.75">
      <c r="A162" s="1638"/>
      <c r="F162" s="1"/>
      <c r="G162" s="1"/>
      <c r="H162" s="1"/>
      <c r="I162" s="1"/>
      <c r="L162" s="326"/>
      <c r="M162" s="326"/>
    </row>
    <row r="163" spans="1:13" customFormat="1" ht="12.75">
      <c r="A163" s="1638"/>
      <c r="F163" s="1"/>
      <c r="G163" s="1"/>
      <c r="H163" s="1"/>
      <c r="I163" s="1"/>
      <c r="L163" s="326"/>
      <c r="M163" s="326"/>
    </row>
    <row r="164" spans="1:13" customFormat="1" ht="12.75">
      <c r="A164" s="1638"/>
      <c r="F164" s="1"/>
      <c r="G164" s="1"/>
      <c r="H164" s="1"/>
      <c r="I164" s="1"/>
      <c r="L164" s="326"/>
      <c r="M164" s="326"/>
    </row>
    <row r="165" spans="1:13" customFormat="1" ht="12.75">
      <c r="A165" s="1638"/>
      <c r="F165" s="1"/>
      <c r="G165" s="1"/>
      <c r="H165" s="1"/>
      <c r="I165" s="1"/>
      <c r="L165" s="326"/>
      <c r="M165" s="326"/>
    </row>
    <row r="166" spans="1:13" customFormat="1" ht="12.75">
      <c r="A166" s="1638"/>
      <c r="F166" s="1"/>
      <c r="G166" s="1"/>
      <c r="H166" s="1"/>
      <c r="I166" s="1"/>
      <c r="L166" s="326"/>
      <c r="M166" s="326"/>
    </row>
    <row r="167" spans="1:13" customFormat="1" ht="12.75">
      <c r="A167" s="1638"/>
      <c r="F167" s="1"/>
      <c r="G167" s="1"/>
      <c r="H167" s="1"/>
      <c r="I167" s="1"/>
      <c r="L167" s="326"/>
      <c r="M167" s="326"/>
    </row>
    <row r="168" spans="1:13" customFormat="1" ht="12.75">
      <c r="A168" s="1638"/>
      <c r="F168" s="1"/>
      <c r="G168" s="1"/>
      <c r="H168" s="1"/>
      <c r="I168" s="1"/>
      <c r="L168" s="326"/>
      <c r="M168" s="326"/>
    </row>
    <row r="169" spans="1:13" customFormat="1" ht="12.75">
      <c r="A169" s="1638"/>
      <c r="F169" s="1"/>
      <c r="G169" s="1"/>
      <c r="H169" s="1"/>
      <c r="I169" s="1"/>
      <c r="L169" s="326"/>
      <c r="M169" s="326"/>
    </row>
    <row r="170" spans="1:13" customFormat="1" ht="12.75">
      <c r="A170" s="1638"/>
      <c r="F170" s="1"/>
      <c r="G170" s="1"/>
      <c r="H170" s="1"/>
      <c r="I170" s="1"/>
      <c r="L170" s="326"/>
      <c r="M170" s="326"/>
    </row>
    <row r="171" spans="1:13" customFormat="1" ht="12.75">
      <c r="A171" s="1638"/>
      <c r="F171" s="1"/>
      <c r="G171" s="1"/>
      <c r="H171" s="1"/>
      <c r="I171" s="1"/>
      <c r="L171" s="326"/>
      <c r="M171" s="326"/>
    </row>
    <row r="172" spans="1:13" customFormat="1" ht="12.75">
      <c r="A172" s="1638"/>
      <c r="F172" s="1"/>
      <c r="G172" s="1"/>
      <c r="H172" s="1"/>
      <c r="I172" s="1"/>
      <c r="L172" s="326"/>
      <c r="M172" s="326"/>
    </row>
    <row r="173" spans="1:13" customFormat="1" ht="12.75">
      <c r="A173" s="1638"/>
      <c r="F173" s="1"/>
      <c r="G173" s="1"/>
      <c r="H173" s="1"/>
      <c r="I173" s="1"/>
      <c r="L173" s="326"/>
      <c r="M173" s="326"/>
    </row>
    <row r="174" spans="1:13" customFormat="1" ht="12.75">
      <c r="A174" s="1638"/>
      <c r="F174" s="1"/>
      <c r="G174" s="1"/>
      <c r="H174" s="1"/>
      <c r="I174" s="1"/>
      <c r="L174" s="326"/>
      <c r="M174" s="326"/>
    </row>
    <row r="175" spans="1:13" customFormat="1" ht="12.75">
      <c r="A175" s="1638"/>
      <c r="F175" s="1"/>
      <c r="G175" s="1"/>
      <c r="H175" s="1"/>
      <c r="I175" s="1"/>
      <c r="L175" s="326"/>
      <c r="M175" s="326"/>
    </row>
    <row r="176" spans="1:13" customFormat="1" ht="12.75">
      <c r="A176" s="1638"/>
      <c r="F176" s="1"/>
      <c r="G176" s="1"/>
      <c r="H176" s="1"/>
      <c r="I176" s="1"/>
      <c r="L176" s="326"/>
      <c r="M176" s="326"/>
    </row>
    <row r="177" spans="1:13" customFormat="1" ht="12.75">
      <c r="A177" s="1638"/>
      <c r="F177" s="1"/>
      <c r="G177" s="1"/>
      <c r="H177" s="1"/>
      <c r="I177" s="1"/>
      <c r="L177" s="326"/>
      <c r="M177" s="326"/>
    </row>
    <row r="178" spans="1:13" customFormat="1" ht="12.75">
      <c r="A178" s="1638"/>
      <c r="F178" s="1"/>
      <c r="G178" s="1"/>
      <c r="H178" s="1"/>
      <c r="I178" s="1"/>
      <c r="L178" s="326"/>
      <c r="M178" s="326"/>
    </row>
    <row r="179" spans="1:13" customFormat="1" ht="12.75">
      <c r="A179" s="1638"/>
      <c r="F179" s="1"/>
      <c r="G179" s="1"/>
      <c r="H179" s="1"/>
      <c r="I179" s="1"/>
      <c r="L179" s="326"/>
      <c r="M179" s="326"/>
    </row>
    <row r="180" spans="1:13" customFormat="1" ht="12.75">
      <c r="A180" s="1638"/>
      <c r="F180" s="1"/>
      <c r="G180" s="1"/>
      <c r="H180" s="1"/>
      <c r="I180" s="1"/>
      <c r="L180" s="326"/>
      <c r="M180" s="326"/>
    </row>
    <row r="181" spans="1:13" customFormat="1" ht="12.75">
      <c r="A181" s="1638"/>
      <c r="F181" s="1"/>
      <c r="G181" s="1"/>
      <c r="H181" s="1"/>
      <c r="I181" s="1"/>
      <c r="L181" s="326"/>
      <c r="M181" s="326"/>
    </row>
    <row r="182" spans="1:13" customFormat="1" ht="12.75">
      <c r="A182" s="1638"/>
      <c r="F182" s="1"/>
      <c r="G182" s="1"/>
      <c r="H182" s="1"/>
      <c r="I182" s="1"/>
      <c r="L182" s="326"/>
      <c r="M182" s="326"/>
    </row>
    <row r="183" spans="1:13" customFormat="1" ht="12.75">
      <c r="A183" s="1638"/>
      <c r="F183" s="1"/>
      <c r="G183" s="1"/>
      <c r="H183" s="1"/>
      <c r="I183" s="1"/>
      <c r="L183" s="326"/>
      <c r="M183" s="326"/>
    </row>
    <row r="184" spans="1:13" customFormat="1" ht="12.75">
      <c r="A184" s="1638"/>
      <c r="F184" s="1"/>
      <c r="G184" s="1"/>
      <c r="H184" s="1"/>
      <c r="I184" s="1"/>
      <c r="L184" s="326"/>
      <c r="M184" s="326"/>
    </row>
    <row r="185" spans="1:13" customFormat="1" ht="12.75">
      <c r="A185" s="1638"/>
      <c r="F185" s="1"/>
      <c r="G185" s="1"/>
      <c r="H185" s="1"/>
      <c r="I185" s="1"/>
      <c r="L185" s="326"/>
      <c r="M185" s="326"/>
    </row>
    <row r="186" spans="1:13" customFormat="1" ht="12.75">
      <c r="A186" s="1638"/>
      <c r="F186" s="1"/>
      <c r="G186" s="1"/>
      <c r="H186" s="1"/>
      <c r="I186" s="1"/>
      <c r="L186" s="326"/>
      <c r="M186" s="326"/>
    </row>
    <row r="187" spans="1:13" customFormat="1" ht="12.75">
      <c r="A187" s="1638"/>
      <c r="F187" s="1"/>
      <c r="G187" s="1"/>
      <c r="H187" s="1"/>
      <c r="I187" s="1"/>
      <c r="L187" s="326"/>
      <c r="M187" s="326"/>
    </row>
    <row r="188" spans="1:13" customFormat="1" ht="12.75">
      <c r="A188" s="1638"/>
      <c r="F188" s="1"/>
      <c r="G188" s="1"/>
      <c r="H188" s="1"/>
      <c r="I188" s="1"/>
      <c r="L188" s="326"/>
      <c r="M188" s="326"/>
    </row>
    <row r="189" spans="1:13" customFormat="1" ht="12.75">
      <c r="A189" s="1638"/>
      <c r="F189" s="1"/>
      <c r="G189" s="1"/>
      <c r="H189" s="1"/>
      <c r="I189" s="1"/>
      <c r="L189" s="326"/>
      <c r="M189" s="326"/>
    </row>
    <row r="190" spans="1:13" customFormat="1" ht="12.75">
      <c r="A190" s="1638"/>
      <c r="F190" s="1"/>
      <c r="G190" s="1"/>
      <c r="H190" s="1"/>
      <c r="I190" s="1"/>
      <c r="L190" s="326"/>
      <c r="M190" s="326"/>
    </row>
    <row r="191" spans="1:13" customFormat="1" ht="12.75">
      <c r="A191" s="1638"/>
      <c r="F191" s="1"/>
      <c r="G191" s="1"/>
      <c r="H191" s="1"/>
      <c r="I191" s="1"/>
      <c r="L191" s="326"/>
      <c r="M191" s="326"/>
    </row>
    <row r="192" spans="1:13" customFormat="1" ht="12.75">
      <c r="A192" s="1638"/>
      <c r="F192" s="1"/>
      <c r="G192" s="1"/>
      <c r="H192" s="1"/>
      <c r="I192" s="1"/>
      <c r="L192" s="326"/>
      <c r="M192" s="326"/>
    </row>
    <row r="193" spans="1:13" customFormat="1" ht="12.75">
      <c r="A193" s="1638"/>
      <c r="F193" s="1"/>
      <c r="G193" s="1"/>
      <c r="H193" s="1"/>
      <c r="I193" s="1"/>
      <c r="L193" s="326"/>
      <c r="M193" s="326"/>
    </row>
    <row r="194" spans="1:13" customFormat="1" ht="12.75">
      <c r="A194" s="1638"/>
      <c r="F194" s="1"/>
      <c r="G194" s="1"/>
      <c r="H194" s="1"/>
      <c r="I194" s="1"/>
      <c r="L194" s="326"/>
      <c r="M194" s="326"/>
    </row>
    <row r="195" spans="1:13" customFormat="1" ht="12.75">
      <c r="A195" s="1638"/>
      <c r="F195" s="1"/>
      <c r="G195" s="1"/>
      <c r="H195" s="1"/>
      <c r="I195" s="1"/>
      <c r="L195" s="326"/>
      <c r="M195" s="326"/>
    </row>
    <row r="196" spans="1:13" customFormat="1" ht="12.75">
      <c r="A196" s="1638"/>
      <c r="F196" s="1"/>
      <c r="G196" s="1"/>
      <c r="H196" s="1"/>
      <c r="I196" s="1"/>
      <c r="L196" s="326"/>
      <c r="M196" s="326"/>
    </row>
    <row r="197" spans="1:13" customFormat="1" ht="12.75">
      <c r="A197" s="1638"/>
      <c r="F197" s="1"/>
      <c r="G197" s="1"/>
      <c r="H197" s="1"/>
      <c r="I197" s="1"/>
      <c r="L197" s="326"/>
      <c r="M197" s="326"/>
    </row>
    <row r="198" spans="1:13" customFormat="1" ht="12.75">
      <c r="A198" s="1638"/>
      <c r="F198" s="1"/>
      <c r="G198" s="1"/>
      <c r="H198" s="1"/>
      <c r="I198" s="1"/>
      <c r="L198" s="326"/>
      <c r="M198" s="326"/>
    </row>
    <row r="199" spans="1:13" customFormat="1" ht="12.75">
      <c r="A199" s="1638"/>
      <c r="F199" s="1"/>
      <c r="G199" s="1"/>
      <c r="H199" s="1"/>
      <c r="I199" s="1"/>
      <c r="L199" s="326"/>
      <c r="M199" s="326"/>
    </row>
    <row r="200" spans="1:13" customFormat="1" ht="12.75">
      <c r="A200" s="1638"/>
      <c r="F200" s="1"/>
      <c r="G200" s="1"/>
      <c r="H200" s="1"/>
      <c r="I200" s="1"/>
      <c r="L200" s="326"/>
      <c r="M200" s="326"/>
    </row>
    <row r="201" spans="1:13" customFormat="1" ht="12.75">
      <c r="A201" s="1638"/>
      <c r="F201" s="1"/>
      <c r="G201" s="1"/>
      <c r="H201" s="1"/>
      <c r="I201" s="1"/>
      <c r="L201" s="326"/>
      <c r="M201" s="326"/>
    </row>
    <row r="202" spans="1:13" customFormat="1" ht="12.75">
      <c r="A202" s="1638"/>
      <c r="F202" s="1"/>
      <c r="G202" s="1"/>
      <c r="H202" s="1"/>
      <c r="I202" s="1"/>
      <c r="L202" s="326"/>
      <c r="M202" s="326"/>
    </row>
    <row r="203" spans="1:13" customFormat="1" ht="12.75">
      <c r="A203" s="1638"/>
      <c r="F203" s="1"/>
      <c r="G203" s="1"/>
      <c r="H203" s="1"/>
      <c r="I203" s="1"/>
      <c r="L203" s="326"/>
      <c r="M203" s="326"/>
    </row>
    <row r="204" spans="1:13" customFormat="1" ht="12.75">
      <c r="A204" s="1638"/>
      <c r="F204" s="1"/>
      <c r="G204" s="1"/>
      <c r="H204" s="1"/>
      <c r="I204" s="1"/>
      <c r="L204" s="326"/>
      <c r="M204" s="326"/>
    </row>
    <row r="205" spans="1:13" customFormat="1" ht="12.75">
      <c r="A205" s="1638"/>
      <c r="F205" s="1"/>
      <c r="G205" s="1"/>
      <c r="H205" s="1"/>
      <c r="I205" s="1"/>
      <c r="L205" s="326"/>
      <c r="M205" s="326"/>
    </row>
    <row r="206" spans="1:13" customFormat="1" ht="12.75">
      <c r="A206" s="1638"/>
      <c r="F206" s="1"/>
      <c r="G206" s="1"/>
      <c r="H206" s="1"/>
      <c r="I206" s="1"/>
      <c r="L206" s="326"/>
      <c r="M206" s="326"/>
    </row>
    <row r="207" spans="1:13" customFormat="1" ht="12.75">
      <c r="A207" s="1638"/>
      <c r="F207" s="1"/>
      <c r="G207" s="1"/>
      <c r="H207" s="1"/>
      <c r="I207" s="1"/>
      <c r="L207" s="326"/>
      <c r="M207" s="326"/>
    </row>
    <row r="208" spans="1:13" customFormat="1" ht="12.75">
      <c r="A208" s="1638"/>
      <c r="F208" s="1"/>
      <c r="G208" s="1"/>
      <c r="H208" s="1"/>
      <c r="I208" s="1"/>
      <c r="L208" s="326"/>
      <c r="M208" s="326"/>
    </row>
    <row r="209" spans="1:13" customFormat="1" ht="12.75">
      <c r="A209" s="1638"/>
      <c r="F209" s="1"/>
      <c r="G209" s="1"/>
      <c r="H209" s="1"/>
      <c r="I209" s="1"/>
      <c r="L209" s="326"/>
      <c r="M209" s="326"/>
    </row>
    <row r="210" spans="1:13" customFormat="1" ht="12.75">
      <c r="A210" s="1638"/>
      <c r="F210" s="1"/>
      <c r="G210" s="1"/>
      <c r="H210" s="1"/>
      <c r="I210" s="1"/>
      <c r="L210" s="326"/>
      <c r="M210" s="326"/>
    </row>
    <row r="211" spans="1:13" customFormat="1" ht="12.75">
      <c r="A211" s="1638"/>
      <c r="F211" s="1"/>
      <c r="G211" s="1"/>
      <c r="H211" s="1"/>
      <c r="I211" s="1"/>
      <c r="L211" s="326"/>
      <c r="M211" s="326"/>
    </row>
    <row r="212" spans="1:13" customFormat="1" ht="12.75">
      <c r="A212" s="1638"/>
      <c r="F212" s="1"/>
      <c r="G212" s="1"/>
      <c r="H212" s="1"/>
      <c r="I212" s="1"/>
      <c r="L212" s="326"/>
      <c r="M212" s="326"/>
    </row>
    <row r="213" spans="1:13" customFormat="1" ht="12.75">
      <c r="A213" s="1638"/>
      <c r="F213" s="1"/>
      <c r="G213" s="1"/>
      <c r="H213" s="1"/>
      <c r="I213" s="1"/>
      <c r="L213" s="326"/>
      <c r="M213" s="326"/>
    </row>
    <row r="214" spans="1:13" customFormat="1" ht="12.75">
      <c r="A214" s="1638"/>
      <c r="F214" s="1"/>
      <c r="G214" s="1"/>
      <c r="H214" s="1"/>
      <c r="I214" s="1"/>
      <c r="L214" s="326"/>
      <c r="M214" s="326"/>
    </row>
    <row r="215" spans="1:13" customFormat="1" ht="12.75">
      <c r="A215" s="1638"/>
      <c r="F215" s="1"/>
      <c r="G215" s="1"/>
      <c r="H215" s="1"/>
      <c r="I215" s="1"/>
      <c r="L215" s="326"/>
      <c r="M215" s="326"/>
    </row>
    <row r="216" spans="1:13" customFormat="1" ht="12.75">
      <c r="A216" s="1638"/>
      <c r="F216" s="1"/>
      <c r="G216" s="1"/>
      <c r="H216" s="1"/>
      <c r="I216" s="1"/>
      <c r="L216" s="326"/>
      <c r="M216" s="326"/>
    </row>
    <row r="217" spans="1:13" customFormat="1" ht="12.75">
      <c r="A217" s="1638"/>
      <c r="F217" s="1"/>
      <c r="G217" s="1"/>
      <c r="H217" s="1"/>
      <c r="I217" s="1"/>
      <c r="L217" s="326"/>
      <c r="M217" s="326"/>
    </row>
    <row r="218" spans="1:13" customFormat="1" ht="12.75">
      <c r="A218" s="1638"/>
      <c r="F218" s="1"/>
      <c r="G218" s="1"/>
      <c r="H218" s="1"/>
      <c r="I218" s="1"/>
      <c r="L218" s="326"/>
      <c r="M218" s="326"/>
    </row>
    <row r="219" spans="1:13" customFormat="1" ht="12.75">
      <c r="A219" s="1638"/>
      <c r="F219" s="1"/>
      <c r="G219" s="1"/>
      <c r="H219" s="1"/>
      <c r="I219" s="1"/>
      <c r="L219" s="326"/>
      <c r="M219" s="326"/>
    </row>
    <row r="220" spans="1:13" customFormat="1" ht="12.75">
      <c r="A220" s="1638"/>
      <c r="F220" s="1"/>
      <c r="G220" s="1"/>
      <c r="H220" s="1"/>
      <c r="I220" s="1"/>
      <c r="L220" s="326"/>
      <c r="M220" s="326"/>
    </row>
    <row r="221" spans="1:13" customFormat="1" ht="12.75">
      <c r="A221" s="1638"/>
      <c r="F221" s="1"/>
      <c r="G221" s="1"/>
      <c r="H221" s="1"/>
      <c r="I221" s="1"/>
      <c r="L221" s="326"/>
      <c r="M221" s="326"/>
    </row>
    <row r="222" spans="1:13" customFormat="1" ht="12.75">
      <c r="A222" s="1638"/>
      <c r="F222" s="1"/>
      <c r="G222" s="1"/>
      <c r="H222" s="1"/>
      <c r="I222" s="1"/>
      <c r="L222" s="326"/>
      <c r="M222" s="326"/>
    </row>
    <row r="223" spans="1:13" customFormat="1" ht="12.75">
      <c r="A223" s="1638"/>
      <c r="F223" s="1"/>
      <c r="G223" s="1"/>
      <c r="H223" s="1"/>
      <c r="I223" s="1"/>
      <c r="L223" s="326"/>
      <c r="M223" s="326"/>
    </row>
    <row r="224" spans="1:13" customFormat="1" ht="12.75">
      <c r="A224" s="1638"/>
      <c r="F224" s="1"/>
      <c r="G224" s="1"/>
      <c r="H224" s="1"/>
      <c r="I224" s="1"/>
      <c r="L224" s="326"/>
      <c r="M224" s="326"/>
    </row>
    <row r="225" spans="1:13" customFormat="1" ht="12.75">
      <c r="A225" s="1638"/>
      <c r="F225" s="1"/>
      <c r="G225" s="1"/>
      <c r="H225" s="1"/>
      <c r="I225" s="1"/>
      <c r="L225" s="326"/>
      <c r="M225" s="326"/>
    </row>
    <row r="226" spans="1:13" customFormat="1" ht="12.75">
      <c r="A226" s="1638"/>
      <c r="F226" s="1"/>
      <c r="G226" s="1"/>
      <c r="H226" s="1"/>
      <c r="I226" s="1"/>
      <c r="L226" s="326"/>
      <c r="M226" s="326"/>
    </row>
    <row r="227" spans="1:13" customFormat="1" ht="12.75">
      <c r="A227" s="1638"/>
      <c r="F227" s="1"/>
      <c r="G227" s="1"/>
      <c r="H227" s="1"/>
      <c r="I227" s="1"/>
      <c r="L227" s="326"/>
      <c r="M227" s="326"/>
    </row>
    <row r="228" spans="1:13" customFormat="1" ht="12.75">
      <c r="A228" s="1638"/>
      <c r="F228" s="1"/>
      <c r="G228" s="1"/>
      <c r="H228" s="1"/>
      <c r="I228" s="1"/>
      <c r="L228" s="326"/>
      <c r="M228" s="326"/>
    </row>
    <row r="229" spans="1:13" customFormat="1" ht="12.75">
      <c r="A229" s="1638"/>
      <c r="F229" s="1"/>
      <c r="G229" s="1"/>
      <c r="H229" s="1"/>
      <c r="I229" s="1"/>
      <c r="L229" s="326"/>
      <c r="M229" s="326"/>
    </row>
    <row r="230" spans="1:13" customFormat="1" ht="12.75">
      <c r="A230" s="1638"/>
      <c r="F230" s="1"/>
      <c r="G230" s="1"/>
      <c r="H230" s="1"/>
      <c r="I230" s="1"/>
      <c r="L230" s="326"/>
      <c r="M230" s="326"/>
    </row>
    <row r="231" spans="1:13" customFormat="1" ht="12.75">
      <c r="A231" s="1638"/>
      <c r="F231" s="1"/>
      <c r="G231" s="1"/>
      <c r="H231" s="1"/>
      <c r="I231" s="1"/>
      <c r="L231" s="326"/>
      <c r="M231" s="326"/>
    </row>
    <row r="232" spans="1:13" customFormat="1" ht="12.75">
      <c r="A232" s="1638"/>
      <c r="F232" s="1"/>
      <c r="G232" s="1"/>
      <c r="H232" s="1"/>
      <c r="I232" s="1"/>
      <c r="L232" s="326"/>
      <c r="M232" s="326"/>
    </row>
    <row r="233" spans="1:13" customFormat="1" ht="12.75">
      <c r="A233" s="1638"/>
      <c r="F233" s="1"/>
      <c r="G233" s="1"/>
      <c r="H233" s="1"/>
      <c r="I233" s="1"/>
      <c r="L233" s="326"/>
      <c r="M233" s="326"/>
    </row>
    <row r="234" spans="1:13" customFormat="1" ht="12.75">
      <c r="A234" s="1638"/>
      <c r="F234" s="1"/>
      <c r="G234" s="1"/>
      <c r="H234" s="1"/>
      <c r="I234" s="1"/>
      <c r="L234" s="326"/>
      <c r="M234" s="326"/>
    </row>
    <row r="235" spans="1:13" customFormat="1" ht="12.75">
      <c r="A235" s="1638"/>
      <c r="F235" s="1"/>
      <c r="G235" s="1"/>
      <c r="H235" s="1"/>
      <c r="I235" s="1"/>
      <c r="L235" s="326"/>
      <c r="M235" s="326"/>
    </row>
    <row r="236" spans="1:13" customFormat="1" ht="12.75">
      <c r="A236" s="1638"/>
      <c r="F236" s="1"/>
      <c r="G236" s="1"/>
      <c r="H236" s="1"/>
      <c r="I236" s="1"/>
      <c r="L236" s="326"/>
      <c r="M236" s="326"/>
    </row>
    <row r="237" spans="1:13" customFormat="1" ht="12.75">
      <c r="A237" s="1638"/>
      <c r="F237" s="1"/>
      <c r="G237" s="1"/>
      <c r="H237" s="1"/>
      <c r="I237" s="1"/>
      <c r="L237" s="326"/>
      <c r="M237" s="326"/>
    </row>
    <row r="238" spans="1:13" customFormat="1" ht="12.75">
      <c r="A238" s="1638"/>
      <c r="F238" s="1"/>
      <c r="G238" s="1"/>
      <c r="H238" s="1"/>
      <c r="I238" s="1"/>
      <c r="L238" s="326"/>
      <c r="M238" s="326"/>
    </row>
    <row r="239" spans="1:13" customFormat="1" ht="12.75">
      <c r="A239" s="1638"/>
      <c r="F239" s="1"/>
      <c r="G239" s="1"/>
      <c r="H239" s="1"/>
      <c r="I239" s="1"/>
      <c r="L239" s="326"/>
      <c r="M239" s="326"/>
    </row>
    <row r="240" spans="1:13" customFormat="1" ht="12.75">
      <c r="A240" s="1638"/>
      <c r="F240" s="1"/>
      <c r="G240" s="1"/>
      <c r="H240" s="1"/>
      <c r="I240" s="1"/>
      <c r="L240" s="326"/>
      <c r="M240" s="326"/>
    </row>
    <row r="241" spans="1:13" customFormat="1" ht="12.75">
      <c r="A241" s="1638"/>
      <c r="F241" s="1"/>
      <c r="G241" s="1"/>
      <c r="H241" s="1"/>
      <c r="I241" s="1"/>
      <c r="L241" s="326"/>
      <c r="M241" s="326"/>
    </row>
    <row r="242" spans="1:13" customFormat="1" ht="12.75">
      <c r="A242" s="1638"/>
      <c r="F242" s="1"/>
      <c r="G242" s="1"/>
      <c r="H242" s="1"/>
      <c r="I242" s="1"/>
      <c r="L242" s="326"/>
      <c r="M242" s="326"/>
    </row>
    <row r="243" spans="1:13" customFormat="1" ht="12.75">
      <c r="A243" s="1638"/>
      <c r="F243" s="1"/>
      <c r="G243" s="1"/>
      <c r="H243" s="1"/>
      <c r="I243" s="1"/>
      <c r="L243" s="326"/>
      <c r="M243" s="326"/>
    </row>
    <row r="244" spans="1:13" customFormat="1" ht="12.75">
      <c r="A244" s="1638"/>
      <c r="F244" s="1"/>
      <c r="G244" s="1"/>
      <c r="H244" s="1"/>
      <c r="I244" s="1"/>
      <c r="L244" s="326"/>
      <c r="M244" s="326"/>
    </row>
    <row r="245" spans="1:13" customFormat="1" ht="12.75">
      <c r="A245" s="1638"/>
      <c r="F245" s="1"/>
      <c r="G245" s="1"/>
      <c r="H245" s="1"/>
      <c r="I245" s="1"/>
      <c r="L245" s="326"/>
      <c r="M245" s="326"/>
    </row>
    <row r="246" spans="1:13" customFormat="1" ht="12.75">
      <c r="A246" s="1638"/>
      <c r="F246" s="1"/>
      <c r="G246" s="1"/>
      <c r="H246" s="1"/>
      <c r="I246" s="1"/>
      <c r="L246" s="326"/>
      <c r="M246" s="326"/>
    </row>
    <row r="247" spans="1:13" customFormat="1" ht="12.75">
      <c r="A247" s="1638"/>
      <c r="F247" s="1"/>
      <c r="G247" s="1"/>
      <c r="H247" s="1"/>
      <c r="I247" s="1"/>
      <c r="L247" s="326"/>
      <c r="M247" s="326"/>
    </row>
    <row r="248" spans="1:13" customFormat="1" ht="12.75">
      <c r="A248" s="1638"/>
      <c r="F248" s="1"/>
      <c r="G248" s="1"/>
      <c r="H248" s="1"/>
      <c r="I248" s="1"/>
      <c r="L248" s="326"/>
      <c r="M248" s="326"/>
    </row>
    <row r="249" spans="1:13" customFormat="1" ht="12.75">
      <c r="A249" s="1638"/>
      <c r="F249" s="1"/>
      <c r="G249" s="1"/>
      <c r="H249" s="1"/>
      <c r="I249" s="1"/>
      <c r="L249" s="326"/>
      <c r="M249" s="326"/>
    </row>
    <row r="250" spans="1:13" customFormat="1" ht="12.75">
      <c r="A250" s="1638"/>
      <c r="F250" s="1"/>
      <c r="G250" s="1"/>
      <c r="H250" s="1"/>
      <c r="I250" s="1"/>
      <c r="L250" s="326"/>
      <c r="M250" s="326"/>
    </row>
    <row r="251" spans="1:13" customFormat="1" ht="12.75">
      <c r="A251" s="1638"/>
      <c r="F251" s="1"/>
      <c r="G251" s="1"/>
      <c r="H251" s="1"/>
      <c r="I251" s="1"/>
      <c r="L251" s="326"/>
      <c r="M251" s="326"/>
    </row>
    <row r="252" spans="1:13" customFormat="1" ht="12.75">
      <c r="A252" s="1638"/>
      <c r="F252" s="1"/>
      <c r="G252" s="1"/>
      <c r="H252" s="1"/>
      <c r="I252" s="1"/>
      <c r="L252" s="326"/>
      <c r="M252" s="326"/>
    </row>
    <row r="253" spans="1:13" customFormat="1" ht="12.75">
      <c r="A253" s="1638"/>
      <c r="F253" s="1"/>
      <c r="G253" s="1"/>
      <c r="H253" s="1"/>
      <c r="I253" s="1"/>
      <c r="L253" s="326"/>
      <c r="M253" s="326"/>
    </row>
    <row r="254" spans="1:13" customFormat="1" ht="12.75">
      <c r="A254" s="1638"/>
      <c r="F254" s="1"/>
      <c r="G254" s="1"/>
      <c r="H254" s="1"/>
      <c r="I254" s="1"/>
      <c r="L254" s="326"/>
      <c r="M254" s="326"/>
    </row>
    <row r="255" spans="1:13" customFormat="1" ht="12.75">
      <c r="A255" s="1638"/>
      <c r="F255" s="1"/>
      <c r="G255" s="1"/>
      <c r="H255" s="1"/>
      <c r="I255" s="1"/>
      <c r="L255" s="326"/>
      <c r="M255" s="326"/>
    </row>
    <row r="256" spans="1:13" customFormat="1" ht="12.75">
      <c r="A256" s="1638"/>
      <c r="F256" s="1"/>
      <c r="G256" s="1"/>
      <c r="H256" s="1"/>
      <c r="I256" s="1"/>
      <c r="L256" s="326"/>
      <c r="M256" s="326"/>
    </row>
    <row r="257" spans="1:13" customFormat="1" ht="12.75">
      <c r="A257" s="1638"/>
      <c r="F257" s="1"/>
      <c r="G257" s="1"/>
      <c r="H257" s="1"/>
      <c r="I257" s="1"/>
      <c r="L257" s="326"/>
      <c r="M257" s="326"/>
    </row>
    <row r="258" spans="1:13" customFormat="1" ht="12.75">
      <c r="A258" s="1638"/>
      <c r="F258" s="1"/>
      <c r="G258" s="1"/>
      <c r="H258" s="1"/>
      <c r="I258" s="1"/>
      <c r="L258" s="326"/>
      <c r="M258" s="326"/>
    </row>
    <row r="259" spans="1:13" customFormat="1" ht="12.75">
      <c r="A259" s="1638"/>
      <c r="F259" s="1"/>
      <c r="G259" s="1"/>
      <c r="H259" s="1"/>
      <c r="I259" s="1"/>
      <c r="L259" s="326"/>
      <c r="M259" s="326"/>
    </row>
    <row r="260" spans="1:13" customFormat="1" ht="12.75">
      <c r="A260" s="1638"/>
      <c r="F260" s="1"/>
      <c r="G260" s="1"/>
      <c r="H260" s="1"/>
      <c r="I260" s="1"/>
      <c r="L260" s="326"/>
      <c r="M260" s="326"/>
    </row>
    <row r="261" spans="1:13" customFormat="1" ht="12.75">
      <c r="A261" s="1638"/>
      <c r="F261" s="1"/>
      <c r="G261" s="1"/>
      <c r="H261" s="1"/>
      <c r="I261" s="1"/>
      <c r="L261" s="326"/>
      <c r="M261" s="326"/>
    </row>
    <row r="262" spans="1:13" customFormat="1" ht="12.75">
      <c r="A262" s="1638"/>
      <c r="F262" s="1"/>
      <c r="G262" s="1"/>
      <c r="H262" s="1"/>
      <c r="I262" s="1"/>
      <c r="L262" s="326"/>
      <c r="M262" s="326"/>
    </row>
    <row r="263" spans="1:13" customFormat="1" ht="12.75">
      <c r="A263" s="1638"/>
      <c r="F263" s="1"/>
      <c r="G263" s="1"/>
      <c r="H263" s="1"/>
      <c r="I263" s="1"/>
      <c r="L263" s="326"/>
      <c r="M263" s="326"/>
    </row>
    <row r="264" spans="1:13" customFormat="1" ht="12.75">
      <c r="A264" s="1638"/>
      <c r="F264" s="1"/>
      <c r="G264" s="1"/>
      <c r="H264" s="1"/>
      <c r="I264" s="1"/>
      <c r="L264" s="326"/>
      <c r="M264" s="326"/>
    </row>
    <row r="265" spans="1:13" customFormat="1" ht="12.75">
      <c r="A265" s="1638"/>
      <c r="F265" s="1"/>
      <c r="G265" s="1"/>
      <c r="H265" s="1"/>
      <c r="I265" s="1"/>
      <c r="L265" s="326"/>
      <c r="M265" s="326"/>
    </row>
    <row r="266" spans="1:13" customFormat="1" ht="12.75">
      <c r="A266" s="1638"/>
      <c r="F266" s="1"/>
      <c r="G266" s="1"/>
      <c r="H266" s="1"/>
      <c r="I266" s="1"/>
      <c r="L266" s="326"/>
      <c r="M266" s="326"/>
    </row>
    <row r="267" spans="1:13" customFormat="1" ht="12.75">
      <c r="A267" s="1638"/>
      <c r="F267" s="1"/>
      <c r="G267" s="1"/>
      <c r="H267" s="1"/>
      <c r="I267" s="1"/>
      <c r="L267" s="326"/>
      <c r="M267" s="326"/>
    </row>
    <row r="268" spans="1:13" customFormat="1" ht="12.75">
      <c r="A268" s="1638"/>
      <c r="F268" s="1"/>
      <c r="G268" s="1"/>
      <c r="H268" s="1"/>
      <c r="I268" s="1"/>
      <c r="L268" s="326"/>
      <c r="M268" s="326"/>
    </row>
    <row r="269" spans="1:13" customFormat="1" ht="12.75">
      <c r="A269" s="1638"/>
      <c r="F269" s="1"/>
      <c r="G269" s="1"/>
      <c r="H269" s="1"/>
      <c r="I269" s="1"/>
      <c r="L269" s="326"/>
      <c r="M269" s="326"/>
    </row>
    <row r="270" spans="1:13" customFormat="1" ht="12.75">
      <c r="A270" s="1638"/>
      <c r="F270" s="1"/>
      <c r="G270" s="1"/>
      <c r="H270" s="1"/>
      <c r="I270" s="1"/>
      <c r="L270" s="326"/>
      <c r="M270" s="326"/>
    </row>
    <row r="271" spans="1:13" customFormat="1" ht="12.75">
      <c r="A271" s="1638"/>
      <c r="F271" s="1"/>
      <c r="G271" s="1"/>
      <c r="H271" s="1"/>
      <c r="I271" s="1"/>
      <c r="L271" s="326"/>
      <c r="M271" s="326"/>
    </row>
    <row r="272" spans="1:13" customFormat="1" ht="12.75">
      <c r="A272" s="1638"/>
      <c r="F272" s="1"/>
      <c r="G272" s="1"/>
      <c r="H272" s="1"/>
      <c r="I272" s="1"/>
      <c r="L272" s="326"/>
      <c r="M272" s="326"/>
    </row>
    <row r="273" spans="1:13" customFormat="1" ht="12.75">
      <c r="A273" s="1638"/>
      <c r="F273" s="1"/>
      <c r="G273" s="1"/>
      <c r="H273" s="1"/>
      <c r="I273" s="1"/>
      <c r="L273" s="326"/>
      <c r="M273" s="326"/>
    </row>
    <row r="274" spans="1:13" customFormat="1" ht="12.75">
      <c r="A274" s="1638"/>
      <c r="F274" s="1"/>
      <c r="G274" s="1"/>
      <c r="H274" s="1"/>
      <c r="I274" s="1"/>
      <c r="L274" s="326"/>
      <c r="M274" s="326"/>
    </row>
    <row r="275" spans="1:13" customFormat="1" ht="12.75">
      <c r="A275" s="1638"/>
      <c r="F275" s="1"/>
      <c r="G275" s="1"/>
      <c r="H275" s="1"/>
      <c r="I275" s="1"/>
      <c r="L275" s="326"/>
      <c r="M275" s="326"/>
    </row>
    <row r="276" spans="1:13" customFormat="1" ht="12.75">
      <c r="A276" s="1638"/>
      <c r="F276" s="1"/>
      <c r="G276" s="1"/>
      <c r="H276" s="1"/>
      <c r="I276" s="1"/>
      <c r="L276" s="326"/>
      <c r="M276" s="326"/>
    </row>
    <row r="277" spans="1:13" customFormat="1" ht="12.75">
      <c r="A277" s="1638"/>
      <c r="F277" s="1"/>
      <c r="G277" s="1"/>
      <c r="H277" s="1"/>
      <c r="I277" s="1"/>
      <c r="L277" s="326"/>
      <c r="M277" s="326"/>
    </row>
    <row r="278" spans="1:13" customFormat="1" ht="12.75">
      <c r="A278" s="1638"/>
      <c r="F278" s="1"/>
      <c r="G278" s="1"/>
      <c r="H278" s="1"/>
      <c r="I278" s="1"/>
      <c r="L278" s="326"/>
      <c r="M278" s="326"/>
    </row>
    <row r="279" spans="1:13" customFormat="1" ht="12.75">
      <c r="A279" s="1638"/>
      <c r="F279" s="1"/>
      <c r="G279" s="1"/>
      <c r="H279" s="1"/>
      <c r="I279" s="1"/>
      <c r="L279" s="326"/>
      <c r="M279" s="326"/>
    </row>
    <row r="280" spans="1:13" customFormat="1" ht="12.75">
      <c r="A280" s="1638"/>
      <c r="F280" s="1"/>
      <c r="G280" s="1"/>
      <c r="H280" s="1"/>
      <c r="I280" s="1"/>
      <c r="L280" s="326"/>
      <c r="M280" s="326"/>
    </row>
    <row r="281" spans="1:13" customFormat="1" ht="12.75">
      <c r="A281" s="1638"/>
      <c r="F281" s="1"/>
      <c r="G281" s="1"/>
      <c r="H281" s="1"/>
      <c r="I281" s="1"/>
      <c r="L281" s="326"/>
      <c r="M281" s="326"/>
    </row>
    <row r="282" spans="1:13" customFormat="1" ht="12.75">
      <c r="A282" s="1638"/>
      <c r="F282" s="1"/>
      <c r="G282" s="1"/>
      <c r="H282" s="1"/>
      <c r="I282" s="1"/>
      <c r="L282" s="326"/>
      <c r="M282" s="326"/>
    </row>
    <row r="283" spans="1:13" customFormat="1" ht="12.75">
      <c r="A283" s="1638"/>
      <c r="F283" s="1"/>
      <c r="G283" s="1"/>
      <c r="H283" s="1"/>
      <c r="I283" s="1"/>
      <c r="L283" s="326"/>
      <c r="M283" s="326"/>
    </row>
    <row r="284" spans="1:13" customFormat="1" ht="12.75">
      <c r="A284" s="1638"/>
      <c r="F284" s="1"/>
      <c r="G284" s="1"/>
      <c r="H284" s="1"/>
      <c r="I284" s="1"/>
      <c r="L284" s="326"/>
      <c r="M284" s="326"/>
    </row>
    <row r="285" spans="1:13" customFormat="1" ht="12.75">
      <c r="A285" s="1638"/>
      <c r="F285" s="1"/>
      <c r="G285" s="1"/>
      <c r="H285" s="1"/>
      <c r="I285" s="1"/>
      <c r="L285" s="326"/>
      <c r="M285" s="326"/>
    </row>
    <row r="286" spans="1:13" customFormat="1" ht="12.75">
      <c r="A286" s="1638"/>
      <c r="F286" s="1"/>
      <c r="G286" s="1"/>
      <c r="H286" s="1"/>
      <c r="I286" s="1"/>
      <c r="L286" s="326"/>
      <c r="M286" s="326"/>
    </row>
    <row r="287" spans="1:13" customFormat="1" ht="12.75">
      <c r="A287" s="1638"/>
      <c r="F287" s="1"/>
      <c r="G287" s="1"/>
      <c r="H287" s="1"/>
      <c r="I287" s="1"/>
      <c r="L287" s="326"/>
      <c r="M287" s="326"/>
    </row>
    <row r="288" spans="1:13" customFormat="1" ht="12.75">
      <c r="A288" s="1638"/>
      <c r="F288" s="1"/>
      <c r="G288" s="1"/>
      <c r="H288" s="1"/>
      <c r="I288" s="1"/>
      <c r="L288" s="326"/>
      <c r="M288" s="326"/>
    </row>
    <row r="289" spans="1:13" customFormat="1" ht="12.75">
      <c r="A289" s="1638"/>
      <c r="F289" s="1"/>
      <c r="G289" s="1"/>
      <c r="H289" s="1"/>
      <c r="I289" s="1"/>
      <c r="L289" s="326"/>
      <c r="M289" s="326"/>
    </row>
    <row r="290" spans="1:13" customFormat="1" ht="12.75">
      <c r="A290" s="1638"/>
      <c r="F290" s="1"/>
      <c r="G290" s="1"/>
      <c r="H290" s="1"/>
      <c r="I290" s="1"/>
      <c r="L290" s="326"/>
      <c r="M290" s="326"/>
    </row>
    <row r="291" spans="1:13" customFormat="1" ht="12.75">
      <c r="A291" s="1638"/>
      <c r="F291" s="1"/>
      <c r="G291" s="1"/>
      <c r="H291" s="1"/>
      <c r="I291" s="1"/>
      <c r="L291" s="326"/>
      <c r="M291" s="326"/>
    </row>
    <row r="292" spans="1:13" customFormat="1" ht="12.75">
      <c r="A292" s="1638"/>
      <c r="F292" s="1"/>
      <c r="G292" s="1"/>
      <c r="H292" s="1"/>
      <c r="I292" s="1"/>
      <c r="L292" s="326"/>
      <c r="M292" s="326"/>
    </row>
    <row r="293" spans="1:13" customFormat="1" ht="12.75">
      <c r="A293" s="1638"/>
      <c r="F293" s="1"/>
      <c r="G293" s="1"/>
      <c r="H293" s="1"/>
      <c r="I293" s="1"/>
      <c r="L293" s="326"/>
      <c r="M293" s="326"/>
    </row>
    <row r="294" spans="1:13" customFormat="1" ht="12.75">
      <c r="A294" s="1638"/>
      <c r="F294" s="1"/>
      <c r="G294" s="1"/>
      <c r="H294" s="1"/>
      <c r="I294" s="1"/>
      <c r="L294" s="326"/>
      <c r="M294" s="326"/>
    </row>
    <row r="295" spans="1:13" customFormat="1" ht="12.75">
      <c r="A295" s="1638"/>
      <c r="F295" s="1"/>
      <c r="G295" s="1"/>
      <c r="H295" s="1"/>
      <c r="I295" s="1"/>
      <c r="L295" s="326"/>
      <c r="M295" s="326"/>
    </row>
    <row r="296" spans="1:13" customFormat="1" ht="12.75">
      <c r="A296" s="1638"/>
      <c r="F296" s="1"/>
      <c r="G296" s="1"/>
      <c r="H296" s="1"/>
      <c r="I296" s="1"/>
      <c r="L296" s="326"/>
      <c r="M296" s="326"/>
    </row>
    <row r="297" spans="1:13" customFormat="1" ht="12.75">
      <c r="A297" s="1638"/>
      <c r="F297" s="1"/>
      <c r="G297" s="1"/>
      <c r="H297" s="1"/>
      <c r="I297" s="1"/>
      <c r="L297" s="326"/>
      <c r="M297" s="326"/>
    </row>
    <row r="298" spans="1:13" customFormat="1" ht="12.75">
      <c r="A298" s="1638"/>
      <c r="F298" s="1"/>
      <c r="G298" s="1"/>
      <c r="H298" s="1"/>
      <c r="I298" s="1"/>
      <c r="L298" s="326"/>
      <c r="M298" s="326"/>
    </row>
    <row r="299" spans="1:13" customFormat="1" ht="12.75">
      <c r="A299" s="1638"/>
      <c r="F299" s="1"/>
      <c r="G299" s="1"/>
      <c r="H299" s="1"/>
      <c r="I299" s="1"/>
      <c r="L299" s="326"/>
      <c r="M299" s="326"/>
    </row>
    <row r="300" spans="1:13" customFormat="1" ht="12.75">
      <c r="A300" s="1638"/>
      <c r="F300" s="1"/>
      <c r="G300" s="1"/>
      <c r="H300" s="1"/>
      <c r="I300" s="1"/>
      <c r="L300" s="326"/>
      <c r="M300" s="326"/>
    </row>
    <row r="301" spans="1:13" customFormat="1" ht="12.75">
      <c r="A301" s="1638"/>
      <c r="F301" s="1"/>
      <c r="G301" s="1"/>
      <c r="H301" s="1"/>
      <c r="I301" s="1"/>
      <c r="L301" s="326"/>
      <c r="M301" s="326"/>
    </row>
    <row r="302" spans="1:13" customFormat="1" ht="12.75">
      <c r="A302" s="1638"/>
      <c r="F302" s="1"/>
      <c r="G302" s="1"/>
      <c r="H302" s="1"/>
      <c r="I302" s="1"/>
      <c r="L302" s="326"/>
      <c r="M302" s="326"/>
    </row>
    <row r="303" spans="1:13" customFormat="1" ht="12.75">
      <c r="A303" s="1638"/>
      <c r="F303" s="1"/>
      <c r="G303" s="1"/>
      <c r="H303" s="1"/>
      <c r="I303" s="1"/>
      <c r="L303" s="326"/>
      <c r="M303" s="326"/>
    </row>
    <row r="304" spans="1:13" customFormat="1" ht="12.75">
      <c r="A304" s="1638"/>
      <c r="F304" s="1"/>
      <c r="G304" s="1"/>
      <c r="H304" s="1"/>
      <c r="I304" s="1"/>
      <c r="L304" s="326"/>
      <c r="M304" s="326"/>
    </row>
    <row r="305" spans="1:13" customFormat="1" ht="12.75">
      <c r="A305" s="1638"/>
      <c r="F305" s="1"/>
      <c r="G305" s="1"/>
      <c r="H305" s="1"/>
      <c r="I305" s="1"/>
      <c r="L305" s="326"/>
      <c r="M305" s="326"/>
    </row>
    <row r="306" spans="1:13" customFormat="1" ht="12.75">
      <c r="A306" s="1638"/>
      <c r="F306" s="1"/>
      <c r="G306" s="1"/>
      <c r="H306" s="1"/>
      <c r="I306" s="1"/>
      <c r="L306" s="326"/>
      <c r="M306" s="326"/>
    </row>
    <row r="307" spans="1:13" customFormat="1" ht="12.75">
      <c r="A307" s="1638"/>
      <c r="F307" s="1"/>
      <c r="G307" s="1"/>
      <c r="H307" s="1"/>
      <c r="I307" s="1"/>
      <c r="L307" s="326"/>
      <c r="M307" s="326"/>
    </row>
    <row r="308" spans="1:13" customFormat="1" ht="12.75">
      <c r="A308" s="1638"/>
      <c r="F308" s="1"/>
      <c r="G308" s="1"/>
      <c r="H308" s="1"/>
      <c r="I308" s="1"/>
      <c r="L308" s="326"/>
      <c r="M308" s="326"/>
    </row>
    <row r="309" spans="1:13" customFormat="1" ht="12.75">
      <c r="A309" s="1638"/>
      <c r="F309" s="1"/>
      <c r="G309" s="1"/>
      <c r="H309" s="1"/>
      <c r="I309" s="1"/>
      <c r="L309" s="326"/>
      <c r="M309" s="326"/>
    </row>
    <row r="310" spans="1:13" customFormat="1" ht="12.75">
      <c r="A310" s="1638"/>
      <c r="F310" s="1"/>
      <c r="G310" s="1"/>
      <c r="H310" s="1"/>
      <c r="I310" s="1"/>
      <c r="L310" s="326"/>
      <c r="M310" s="326"/>
    </row>
    <row r="311" spans="1:13" customFormat="1" ht="12.75">
      <c r="A311" s="1638"/>
      <c r="F311" s="1"/>
      <c r="G311" s="1"/>
      <c r="H311" s="1"/>
      <c r="I311" s="1"/>
      <c r="L311" s="326"/>
      <c r="M311" s="326"/>
    </row>
    <row r="312" spans="1:13" customFormat="1" ht="12.75">
      <c r="A312" s="1638"/>
      <c r="F312" s="1"/>
      <c r="G312" s="1"/>
      <c r="H312" s="1"/>
      <c r="I312" s="1"/>
      <c r="L312" s="326"/>
      <c r="M312" s="326"/>
    </row>
    <row r="313" spans="1:13" customFormat="1" ht="12.75">
      <c r="A313" s="1638"/>
      <c r="F313" s="1"/>
      <c r="G313" s="1"/>
      <c r="H313" s="1"/>
      <c r="I313" s="1"/>
      <c r="L313" s="326"/>
      <c r="M313" s="326"/>
    </row>
    <row r="314" spans="1:13" customFormat="1" ht="12.75">
      <c r="A314" s="1638"/>
      <c r="F314" s="1"/>
      <c r="G314" s="1"/>
      <c r="H314" s="1"/>
      <c r="I314" s="1"/>
      <c r="L314" s="326"/>
      <c r="M314" s="326"/>
    </row>
    <row r="315" spans="1:13" customFormat="1" ht="12.75">
      <c r="A315" s="1638"/>
      <c r="F315" s="1"/>
      <c r="G315" s="1"/>
      <c r="H315" s="1"/>
      <c r="I315" s="1"/>
      <c r="L315" s="326"/>
      <c r="M315" s="326"/>
    </row>
    <row r="316" spans="1:13" customFormat="1" ht="12.75">
      <c r="A316" s="1638"/>
      <c r="F316" s="1"/>
      <c r="G316" s="1"/>
      <c r="H316" s="1"/>
      <c r="I316" s="1"/>
      <c r="L316" s="326"/>
      <c r="M316" s="326"/>
    </row>
    <row r="317" spans="1:13" customFormat="1" ht="12.75">
      <c r="A317" s="1638"/>
      <c r="F317" s="1"/>
      <c r="G317" s="1"/>
      <c r="H317" s="1"/>
      <c r="I317" s="1"/>
      <c r="L317" s="326"/>
      <c r="M317" s="326"/>
    </row>
    <row r="318" spans="1:13" customFormat="1" ht="12.75">
      <c r="A318" s="1638"/>
      <c r="F318" s="1"/>
      <c r="G318" s="1"/>
      <c r="H318" s="1"/>
      <c r="I318" s="1"/>
      <c r="L318" s="326"/>
      <c r="M318" s="326"/>
    </row>
    <row r="319" spans="1:13" customFormat="1" ht="12.75">
      <c r="A319" s="1638"/>
      <c r="F319" s="1"/>
      <c r="G319" s="1"/>
      <c r="H319" s="1"/>
      <c r="I319" s="1"/>
      <c r="L319" s="326"/>
      <c r="M319" s="326"/>
    </row>
    <row r="320" spans="1:13" customFormat="1" ht="12.75">
      <c r="A320" s="1638"/>
      <c r="F320" s="1"/>
      <c r="G320" s="1"/>
      <c r="H320" s="1"/>
      <c r="I320" s="1"/>
      <c r="L320" s="326"/>
      <c r="M320" s="326"/>
    </row>
    <row r="321" spans="1:13" customFormat="1" ht="12.75">
      <c r="A321" s="1638"/>
      <c r="F321" s="1"/>
      <c r="G321" s="1"/>
      <c r="H321" s="1"/>
      <c r="I321" s="1"/>
      <c r="L321" s="326"/>
      <c r="M321" s="326"/>
    </row>
    <row r="322" spans="1:13" customFormat="1" ht="12.75">
      <c r="A322" s="1638"/>
      <c r="F322" s="1"/>
      <c r="G322" s="1"/>
      <c r="H322" s="1"/>
      <c r="I322" s="1"/>
      <c r="L322" s="326"/>
      <c r="M322" s="326"/>
    </row>
    <row r="323" spans="1:13" customFormat="1" ht="12.75">
      <c r="A323" s="1638"/>
      <c r="F323" s="1"/>
      <c r="G323" s="1"/>
      <c r="H323" s="1"/>
      <c r="I323" s="1"/>
      <c r="L323" s="326"/>
      <c r="M323" s="326"/>
    </row>
    <row r="324" spans="1:13" customFormat="1" ht="12.75">
      <c r="A324" s="1638"/>
      <c r="F324" s="1"/>
      <c r="G324" s="1"/>
      <c r="H324" s="1"/>
      <c r="I324" s="1"/>
      <c r="L324" s="326"/>
      <c r="M324" s="326"/>
    </row>
    <row r="325" spans="1:13" customFormat="1" ht="12.75">
      <c r="A325" s="1638"/>
      <c r="F325" s="1"/>
      <c r="G325" s="1"/>
      <c r="H325" s="1"/>
      <c r="I325" s="1"/>
      <c r="L325" s="326"/>
      <c r="M325" s="326"/>
    </row>
    <row r="326" spans="1:13" customFormat="1" ht="12.75">
      <c r="A326" s="1638"/>
      <c r="F326" s="1"/>
      <c r="G326" s="1"/>
      <c r="H326" s="1"/>
      <c r="I326" s="1"/>
      <c r="L326" s="326"/>
      <c r="M326" s="326"/>
    </row>
    <row r="327" spans="1:13" customFormat="1" ht="12.75">
      <c r="A327" s="1638"/>
      <c r="F327" s="1"/>
      <c r="G327" s="1"/>
      <c r="H327" s="1"/>
      <c r="I327" s="1"/>
      <c r="L327" s="326"/>
      <c r="M327" s="326"/>
    </row>
    <row r="328" spans="1:13" customFormat="1" ht="12.75">
      <c r="A328" s="1638"/>
      <c r="F328" s="1"/>
      <c r="G328" s="1"/>
      <c r="H328" s="1"/>
      <c r="I328" s="1"/>
      <c r="L328" s="326"/>
      <c r="M328" s="326"/>
    </row>
    <row r="329" spans="1:13" customFormat="1" ht="12.75">
      <c r="A329" s="1638"/>
      <c r="F329" s="1"/>
      <c r="G329" s="1"/>
      <c r="H329" s="1"/>
      <c r="I329" s="1"/>
      <c r="L329" s="326"/>
      <c r="M329" s="326"/>
    </row>
    <row r="330" spans="1:13" customFormat="1" ht="12.75">
      <c r="A330" s="1638"/>
      <c r="F330" s="1"/>
      <c r="G330" s="1"/>
      <c r="H330" s="1"/>
      <c r="I330" s="1"/>
      <c r="L330" s="326"/>
      <c r="M330" s="326"/>
    </row>
    <row r="331" spans="1:13" customFormat="1" ht="12.75">
      <c r="A331" s="1638"/>
      <c r="F331" s="1"/>
      <c r="G331" s="1"/>
      <c r="H331" s="1"/>
      <c r="I331" s="1"/>
      <c r="L331" s="326"/>
      <c r="M331" s="326"/>
    </row>
    <row r="332" spans="1:13" customFormat="1" ht="12.75">
      <c r="A332" s="1638"/>
      <c r="F332" s="1"/>
      <c r="G332" s="1"/>
      <c r="H332" s="1"/>
      <c r="I332" s="1"/>
      <c r="L332" s="326"/>
      <c r="M332" s="326"/>
    </row>
    <row r="333" spans="1:13" customFormat="1" ht="12.75">
      <c r="A333" s="1638"/>
      <c r="F333" s="1"/>
      <c r="G333" s="1"/>
      <c r="H333" s="1"/>
      <c r="I333" s="1"/>
      <c r="L333" s="326"/>
      <c r="M333" s="326"/>
    </row>
    <row r="334" spans="1:13" customFormat="1" ht="12.75">
      <c r="A334" s="1638"/>
      <c r="F334" s="1"/>
      <c r="G334" s="1"/>
      <c r="H334" s="1"/>
      <c r="I334" s="1"/>
      <c r="L334" s="326"/>
      <c r="M334" s="326"/>
    </row>
    <row r="335" spans="1:13" customFormat="1" ht="12.75">
      <c r="A335" s="1638"/>
      <c r="F335" s="1"/>
      <c r="G335" s="1"/>
      <c r="H335" s="1"/>
      <c r="I335" s="1"/>
      <c r="L335" s="326"/>
      <c r="M335" s="326"/>
    </row>
    <row r="336" spans="1:13" customFormat="1" ht="12.75">
      <c r="A336" s="1638"/>
      <c r="F336" s="1"/>
      <c r="G336" s="1"/>
      <c r="H336" s="1"/>
      <c r="I336" s="1"/>
      <c r="L336" s="326"/>
      <c r="M336" s="326"/>
    </row>
    <row r="337" spans="1:13" customFormat="1" ht="12.75">
      <c r="A337" s="1638"/>
      <c r="F337" s="1"/>
      <c r="G337" s="1"/>
      <c r="H337" s="1"/>
      <c r="I337" s="1"/>
      <c r="L337" s="326"/>
      <c r="M337" s="326"/>
    </row>
    <row r="338" spans="1:13" customFormat="1" ht="12.75">
      <c r="A338" s="1638"/>
      <c r="F338" s="1"/>
      <c r="G338" s="1"/>
      <c r="H338" s="1"/>
      <c r="I338" s="1"/>
      <c r="L338" s="326"/>
      <c r="M338" s="326"/>
    </row>
    <row r="339" spans="1:13" customFormat="1" ht="12.75">
      <c r="A339" s="1638"/>
      <c r="F339" s="1"/>
      <c r="G339" s="1"/>
      <c r="H339" s="1"/>
      <c r="I339" s="1"/>
      <c r="L339" s="326"/>
      <c r="M339" s="326"/>
    </row>
    <row r="340" spans="1:13" customFormat="1" ht="12.75">
      <c r="A340" s="1638"/>
      <c r="F340" s="1"/>
      <c r="G340" s="1"/>
      <c r="H340" s="1"/>
      <c r="I340" s="1"/>
      <c r="L340" s="326"/>
      <c r="M340" s="326"/>
    </row>
    <row r="341" spans="1:13" customFormat="1" ht="12.75">
      <c r="A341" s="1638"/>
      <c r="F341" s="1"/>
      <c r="G341" s="1"/>
      <c r="H341" s="1"/>
      <c r="I341" s="1"/>
      <c r="L341" s="326"/>
      <c r="M341" s="326"/>
    </row>
    <row r="342" spans="1:13" customFormat="1" ht="12.75">
      <c r="A342" s="1638"/>
      <c r="F342" s="1"/>
      <c r="G342" s="1"/>
      <c r="H342" s="1"/>
      <c r="I342" s="1"/>
      <c r="L342" s="326"/>
      <c r="M342" s="326"/>
    </row>
    <row r="343" spans="1:13" customFormat="1" ht="12.75">
      <c r="A343" s="1638"/>
      <c r="F343" s="1"/>
      <c r="G343" s="1"/>
      <c r="H343" s="1"/>
      <c r="I343" s="1"/>
      <c r="L343" s="326"/>
      <c r="M343" s="326"/>
    </row>
    <row r="344" spans="1:13" customFormat="1" ht="12.75">
      <c r="A344" s="1638"/>
      <c r="F344" s="1"/>
      <c r="G344" s="1"/>
      <c r="H344" s="1"/>
      <c r="I344" s="1"/>
      <c r="L344" s="326"/>
      <c r="M344" s="326"/>
    </row>
    <row r="345" spans="1:13" customFormat="1" ht="12.75">
      <c r="A345" s="1638"/>
      <c r="F345" s="1"/>
      <c r="G345" s="1"/>
      <c r="H345" s="1"/>
      <c r="I345" s="1"/>
      <c r="L345" s="326"/>
      <c r="M345" s="326"/>
    </row>
    <row r="346" spans="1:13" customFormat="1" ht="12.75">
      <c r="A346" s="1638"/>
      <c r="F346" s="1"/>
      <c r="G346" s="1"/>
      <c r="H346" s="1"/>
      <c r="I346" s="1"/>
      <c r="L346" s="326"/>
      <c r="M346" s="326"/>
    </row>
    <row r="347" spans="1:13" customFormat="1" ht="12.75">
      <c r="A347" s="1638"/>
      <c r="F347" s="1"/>
      <c r="G347" s="1"/>
      <c r="H347" s="1"/>
      <c r="I347" s="1"/>
      <c r="L347" s="326"/>
      <c r="M347" s="326"/>
    </row>
    <row r="348" spans="1:13" customFormat="1" ht="12.75">
      <c r="A348" s="1638"/>
      <c r="F348" s="1"/>
      <c r="G348" s="1"/>
      <c r="H348" s="1"/>
      <c r="I348" s="1"/>
      <c r="L348" s="326"/>
      <c r="M348" s="326"/>
    </row>
    <row r="349" spans="1:13" customFormat="1" ht="12.75">
      <c r="A349" s="1638"/>
      <c r="F349" s="1"/>
      <c r="G349" s="1"/>
      <c r="H349" s="1"/>
      <c r="I349" s="1"/>
      <c r="L349" s="326"/>
      <c r="M349" s="326"/>
    </row>
    <row r="350" spans="1:13" customFormat="1" ht="12.75">
      <c r="A350" s="1638"/>
      <c r="F350" s="1"/>
      <c r="G350" s="1"/>
      <c r="H350" s="1"/>
      <c r="I350" s="1"/>
      <c r="L350" s="326"/>
      <c r="M350" s="326"/>
    </row>
    <row r="351" spans="1:13" customFormat="1" ht="12.75">
      <c r="A351" s="1638"/>
      <c r="F351" s="1"/>
      <c r="G351" s="1"/>
      <c r="H351" s="1"/>
      <c r="I351" s="1"/>
      <c r="L351" s="326"/>
      <c r="M351" s="326"/>
    </row>
    <row r="352" spans="1:13" customFormat="1" ht="12.75">
      <c r="A352" s="1638"/>
      <c r="F352" s="1"/>
      <c r="G352" s="1"/>
      <c r="H352" s="1"/>
      <c r="I352" s="1"/>
      <c r="L352" s="326"/>
      <c r="M352" s="326"/>
    </row>
    <row r="353" spans="1:13" customFormat="1" ht="12.75">
      <c r="A353" s="1638"/>
      <c r="F353" s="1"/>
      <c r="G353" s="1"/>
      <c r="H353" s="1"/>
      <c r="I353" s="1"/>
      <c r="L353" s="326"/>
      <c r="M353" s="326"/>
    </row>
    <row r="354" spans="1:13" customFormat="1" ht="12.75">
      <c r="A354" s="1638"/>
      <c r="F354" s="1"/>
      <c r="G354" s="1"/>
      <c r="H354" s="1"/>
      <c r="I354" s="1"/>
      <c r="L354" s="326"/>
      <c r="M354" s="326"/>
    </row>
    <row r="355" spans="1:13" customFormat="1" ht="12.75">
      <c r="A355" s="1638"/>
      <c r="F355" s="1"/>
      <c r="G355" s="1"/>
      <c r="H355" s="1"/>
      <c r="I355" s="1"/>
      <c r="L355" s="326"/>
      <c r="M355" s="326"/>
    </row>
    <row r="356" spans="1:13" customFormat="1" ht="12.75">
      <c r="A356" s="1638"/>
      <c r="F356" s="1"/>
      <c r="G356" s="1"/>
      <c r="H356" s="1"/>
      <c r="I356" s="1"/>
      <c r="L356" s="326"/>
      <c r="M356" s="326"/>
    </row>
    <row r="357" spans="1:13" customFormat="1" ht="12.75">
      <c r="A357" s="1638"/>
      <c r="F357" s="1"/>
      <c r="G357" s="1"/>
      <c r="H357" s="1"/>
      <c r="I357" s="1"/>
      <c r="L357" s="326"/>
      <c r="M357" s="326"/>
    </row>
    <row r="358" spans="1:13" customFormat="1" ht="12.75">
      <c r="A358" s="1638"/>
      <c r="F358" s="1"/>
      <c r="G358" s="1"/>
      <c r="H358" s="1"/>
      <c r="I358" s="1"/>
      <c r="L358" s="326"/>
      <c r="M358" s="326"/>
    </row>
    <row r="359" spans="1:13" customFormat="1" ht="12.75">
      <c r="A359" s="1638"/>
      <c r="F359" s="1"/>
      <c r="G359" s="1"/>
      <c r="H359" s="1"/>
      <c r="I359" s="1"/>
      <c r="L359" s="326"/>
      <c r="M359" s="326"/>
    </row>
    <row r="360" spans="1:13" customFormat="1" ht="12.75">
      <c r="A360" s="1638"/>
      <c r="F360" s="1"/>
      <c r="G360" s="1"/>
      <c r="H360" s="1"/>
      <c r="I360" s="1"/>
      <c r="L360" s="326"/>
      <c r="M360" s="326"/>
    </row>
    <row r="361" spans="1:13" customFormat="1" ht="12.75">
      <c r="A361" s="1638"/>
      <c r="F361" s="1"/>
      <c r="G361" s="1"/>
      <c r="H361" s="1"/>
      <c r="I361" s="1"/>
      <c r="L361" s="326"/>
      <c r="M361" s="326"/>
    </row>
    <row r="362" spans="1:13" customFormat="1" ht="12.75">
      <c r="A362" s="1638"/>
      <c r="F362" s="1"/>
      <c r="G362" s="1"/>
      <c r="H362" s="1"/>
      <c r="I362" s="1"/>
      <c r="L362" s="326"/>
      <c r="M362" s="326"/>
    </row>
    <row r="363" spans="1:13" customFormat="1" ht="12.75">
      <c r="A363" s="1638"/>
      <c r="F363" s="1"/>
      <c r="G363" s="1"/>
      <c r="H363" s="1"/>
      <c r="I363" s="1"/>
      <c r="L363" s="326"/>
      <c r="M363" s="326"/>
    </row>
    <row r="364" spans="1:13" customFormat="1" ht="12.75">
      <c r="A364" s="1638"/>
      <c r="F364" s="1"/>
      <c r="G364" s="1"/>
      <c r="H364" s="1"/>
      <c r="I364" s="1"/>
      <c r="L364" s="326"/>
      <c r="M364" s="326"/>
    </row>
    <row r="365" spans="1:13" customFormat="1" ht="12.75">
      <c r="A365" s="1638"/>
      <c r="F365" s="1"/>
      <c r="G365" s="1"/>
      <c r="H365" s="1"/>
      <c r="I365" s="1"/>
      <c r="L365" s="326"/>
      <c r="M365" s="326"/>
    </row>
    <row r="366" spans="1:13" customFormat="1" ht="12.75">
      <c r="A366" s="1638"/>
      <c r="F366" s="1"/>
      <c r="G366" s="1"/>
      <c r="H366" s="1"/>
      <c r="I366" s="1"/>
      <c r="L366" s="326"/>
      <c r="M366" s="326"/>
    </row>
    <row r="367" spans="1:13" customFormat="1" ht="12.75">
      <c r="A367" s="1638"/>
      <c r="F367" s="1"/>
      <c r="G367" s="1"/>
      <c r="H367" s="1"/>
      <c r="I367" s="1"/>
      <c r="L367" s="326"/>
      <c r="M367" s="326"/>
    </row>
    <row r="368" spans="1:13" customFormat="1" ht="12.75">
      <c r="A368" s="1638"/>
      <c r="F368" s="1"/>
      <c r="G368" s="1"/>
      <c r="H368" s="1"/>
      <c r="I368" s="1"/>
      <c r="L368" s="326"/>
      <c r="M368" s="326"/>
    </row>
    <row r="369" spans="1:13" customFormat="1" ht="12.75">
      <c r="A369" s="1638"/>
      <c r="F369" s="1"/>
      <c r="G369" s="1"/>
      <c r="H369" s="1"/>
      <c r="I369" s="1"/>
      <c r="L369" s="326"/>
      <c r="M369" s="326"/>
    </row>
    <row r="370" spans="1:13" customFormat="1" ht="12.75">
      <c r="A370" s="1638"/>
      <c r="F370" s="1"/>
      <c r="G370" s="1"/>
      <c r="H370" s="1"/>
      <c r="I370" s="1"/>
      <c r="L370" s="326"/>
      <c r="M370" s="326"/>
    </row>
    <row r="371" spans="1:13" customFormat="1" ht="12.75">
      <c r="A371" s="1638"/>
      <c r="F371" s="1"/>
      <c r="G371" s="1"/>
      <c r="H371" s="1"/>
      <c r="I371" s="1"/>
      <c r="L371" s="326"/>
      <c r="M371" s="326"/>
    </row>
    <row r="372" spans="1:13" customFormat="1" ht="12.75">
      <c r="A372" s="1638"/>
      <c r="F372" s="1"/>
      <c r="G372" s="1"/>
      <c r="H372" s="1"/>
      <c r="I372" s="1"/>
      <c r="L372" s="326"/>
      <c r="M372" s="326"/>
    </row>
    <row r="373" spans="1:13" customFormat="1" ht="12.75">
      <c r="A373" s="1638"/>
      <c r="F373" s="1"/>
      <c r="G373" s="1"/>
      <c r="H373" s="1"/>
      <c r="I373" s="1"/>
      <c r="L373" s="326"/>
      <c r="M373" s="326"/>
    </row>
    <row r="374" spans="1:13" customFormat="1" ht="12.75">
      <c r="A374" s="1638"/>
      <c r="F374" s="1"/>
      <c r="G374" s="1"/>
      <c r="H374" s="1"/>
      <c r="I374" s="1"/>
      <c r="L374" s="326"/>
      <c r="M374" s="326"/>
    </row>
    <row r="375" spans="1:13" customFormat="1" ht="12.75">
      <c r="A375" s="1638"/>
      <c r="F375" s="1"/>
      <c r="G375" s="1"/>
      <c r="H375" s="1"/>
      <c r="I375" s="1"/>
      <c r="L375" s="326"/>
      <c r="M375" s="326"/>
    </row>
    <row r="376" spans="1:13" customFormat="1" ht="12.75">
      <c r="A376" s="1638"/>
      <c r="F376" s="1"/>
      <c r="G376" s="1"/>
      <c r="H376" s="1"/>
      <c r="I376" s="1"/>
      <c r="L376" s="326"/>
      <c r="M376" s="326"/>
    </row>
    <row r="377" spans="1:13" customFormat="1" ht="12.75">
      <c r="A377" s="1638"/>
      <c r="F377" s="1"/>
      <c r="G377" s="1"/>
      <c r="H377" s="1"/>
      <c r="I377" s="1"/>
      <c r="L377" s="326"/>
      <c r="M377" s="326"/>
    </row>
    <row r="378" spans="1:13" customFormat="1" ht="12.75">
      <c r="A378" s="1638"/>
      <c r="F378" s="1"/>
      <c r="G378" s="1"/>
      <c r="H378" s="1"/>
      <c r="I378" s="1"/>
      <c r="L378" s="326"/>
      <c r="M378" s="326"/>
    </row>
    <row r="379" spans="1:13" customFormat="1" ht="12.75">
      <c r="A379" s="1638"/>
      <c r="F379" s="1"/>
      <c r="G379" s="1"/>
      <c r="H379" s="1"/>
      <c r="I379" s="1"/>
      <c r="L379" s="326"/>
      <c r="M379" s="326"/>
    </row>
    <row r="380" spans="1:13" customFormat="1" ht="12.75">
      <c r="A380" s="1638"/>
      <c r="F380" s="1"/>
      <c r="G380" s="1"/>
      <c r="H380" s="1"/>
      <c r="I380" s="1"/>
      <c r="L380" s="326"/>
      <c r="M380" s="326"/>
    </row>
    <row r="381" spans="1:13" customFormat="1" ht="12.75">
      <c r="A381" s="1638"/>
      <c r="F381" s="1"/>
      <c r="G381" s="1"/>
      <c r="H381" s="1"/>
      <c r="I381" s="1"/>
      <c r="L381" s="326"/>
      <c r="M381" s="326"/>
    </row>
    <row r="382" spans="1:13" customFormat="1" ht="12.75">
      <c r="A382" s="1638"/>
      <c r="F382" s="1"/>
      <c r="G382" s="1"/>
      <c r="H382" s="1"/>
      <c r="I382" s="1"/>
      <c r="L382" s="326"/>
      <c r="M382" s="326"/>
    </row>
    <row r="383" spans="1:13" customFormat="1" ht="12.75">
      <c r="A383" s="1638"/>
      <c r="F383" s="1"/>
      <c r="G383" s="1"/>
      <c r="H383" s="1"/>
      <c r="I383" s="1"/>
      <c r="L383" s="326"/>
      <c r="M383" s="326"/>
    </row>
    <row r="384" spans="1:13" customFormat="1" ht="12.75">
      <c r="A384" s="1638"/>
      <c r="F384" s="1"/>
      <c r="G384" s="1"/>
      <c r="H384" s="1"/>
      <c r="I384" s="1"/>
      <c r="L384" s="326"/>
      <c r="M384" s="326"/>
    </row>
    <row r="385" spans="1:13" customFormat="1" ht="12.75">
      <c r="A385" s="1638"/>
      <c r="F385" s="1"/>
      <c r="G385" s="1"/>
      <c r="H385" s="1"/>
      <c r="I385" s="1"/>
      <c r="L385" s="326"/>
      <c r="M385" s="326"/>
    </row>
    <row r="386" spans="1:13" customFormat="1" ht="12.75">
      <c r="A386" s="1638"/>
      <c r="F386" s="1"/>
      <c r="G386" s="1"/>
      <c r="H386" s="1"/>
      <c r="I386" s="1"/>
      <c r="L386" s="326"/>
      <c r="M386" s="326"/>
    </row>
    <row r="387" spans="1:13" customFormat="1" ht="12.75">
      <c r="A387" s="1638"/>
      <c r="F387" s="1"/>
      <c r="G387" s="1"/>
      <c r="H387" s="1"/>
      <c r="I387" s="1"/>
      <c r="L387" s="326"/>
      <c r="M387" s="326"/>
    </row>
    <row r="388" spans="1:13" customFormat="1" ht="12.75">
      <c r="A388" s="1638"/>
      <c r="F388" s="1"/>
      <c r="G388" s="1"/>
      <c r="H388" s="1"/>
      <c r="I388" s="1"/>
      <c r="L388" s="326"/>
      <c r="M388" s="326"/>
    </row>
    <row r="389" spans="1:13" customFormat="1" ht="12.75">
      <c r="A389" s="1638"/>
      <c r="F389" s="1"/>
      <c r="G389" s="1"/>
      <c r="H389" s="1"/>
      <c r="I389" s="1"/>
      <c r="L389" s="326"/>
      <c r="M389" s="326"/>
    </row>
    <row r="390" spans="1:13" customFormat="1" ht="12.75">
      <c r="A390" s="1638"/>
      <c r="F390" s="1"/>
      <c r="G390" s="1"/>
      <c r="H390" s="1"/>
      <c r="I390" s="1"/>
      <c r="L390" s="326"/>
      <c r="M390" s="326"/>
    </row>
    <row r="391" spans="1:13" customFormat="1" ht="12.75">
      <c r="A391" s="1638"/>
      <c r="F391" s="1"/>
      <c r="G391" s="1"/>
      <c r="H391" s="1"/>
      <c r="I391" s="1"/>
      <c r="L391" s="326"/>
      <c r="M391" s="326"/>
    </row>
    <row r="392" spans="1:13" customFormat="1" ht="12.75">
      <c r="A392" s="1638"/>
      <c r="F392" s="1"/>
      <c r="G392" s="1"/>
      <c r="H392" s="1"/>
      <c r="I392" s="1"/>
      <c r="L392" s="326"/>
      <c r="M392" s="326"/>
    </row>
    <row r="393" spans="1:13" customFormat="1" ht="12.75">
      <c r="A393" s="1638"/>
      <c r="F393" s="1"/>
      <c r="G393" s="1"/>
      <c r="H393" s="1"/>
      <c r="I393" s="1"/>
      <c r="L393" s="326"/>
      <c r="M393" s="326"/>
    </row>
    <row r="394" spans="1:13" customFormat="1" ht="12.75">
      <c r="A394" s="1638"/>
      <c r="F394" s="1"/>
      <c r="G394" s="1"/>
      <c r="H394" s="1"/>
      <c r="I394" s="1"/>
      <c r="L394" s="326"/>
      <c r="M394" s="326"/>
    </row>
    <row r="395" spans="1:13" customFormat="1" ht="12.75">
      <c r="A395" s="1638"/>
      <c r="F395" s="1"/>
      <c r="G395" s="1"/>
      <c r="H395" s="1"/>
      <c r="I395" s="1"/>
      <c r="L395" s="326"/>
      <c r="M395" s="326"/>
    </row>
    <row r="396" spans="1:13" customFormat="1" ht="12.75">
      <c r="A396" s="1638"/>
      <c r="F396" s="1"/>
      <c r="G396" s="1"/>
      <c r="H396" s="1"/>
      <c r="I396" s="1"/>
      <c r="L396" s="326"/>
      <c r="M396" s="326"/>
    </row>
    <row r="397" spans="1:13" customFormat="1" ht="12.75">
      <c r="A397" s="1638"/>
      <c r="F397" s="1"/>
      <c r="G397" s="1"/>
      <c r="H397" s="1"/>
      <c r="I397" s="1"/>
      <c r="L397" s="326"/>
      <c r="M397" s="326"/>
    </row>
    <row r="398" spans="1:13" customFormat="1" ht="12.75">
      <c r="A398" s="1638"/>
      <c r="F398" s="1"/>
      <c r="G398" s="1"/>
      <c r="H398" s="1"/>
      <c r="I398" s="1"/>
      <c r="L398" s="326"/>
      <c r="M398" s="326"/>
    </row>
    <row r="399" spans="1:13" customFormat="1" ht="12.75">
      <c r="A399" s="1638"/>
      <c r="F399" s="1"/>
      <c r="G399" s="1"/>
      <c r="H399" s="1"/>
      <c r="I399" s="1"/>
      <c r="L399" s="326"/>
      <c r="M399" s="326"/>
    </row>
    <row r="400" spans="1:13" customFormat="1" ht="12.75">
      <c r="A400" s="1638"/>
      <c r="F400" s="1"/>
      <c r="G400" s="1"/>
      <c r="H400" s="1"/>
      <c r="I400" s="1"/>
      <c r="L400" s="326"/>
      <c r="M400" s="326"/>
    </row>
    <row r="401" spans="1:13" customFormat="1" ht="12.75">
      <c r="A401" s="1638"/>
      <c r="F401" s="1"/>
      <c r="G401" s="1"/>
      <c r="H401" s="1"/>
      <c r="I401" s="1"/>
      <c r="L401" s="326"/>
      <c r="M401" s="326"/>
    </row>
    <row r="402" spans="1:13" customFormat="1" ht="12.75">
      <c r="A402" s="1638"/>
      <c r="F402" s="1"/>
      <c r="G402" s="1"/>
      <c r="H402" s="1"/>
      <c r="I402" s="1"/>
      <c r="L402" s="326"/>
      <c r="M402" s="326"/>
    </row>
    <row r="403" spans="1:13" customFormat="1" ht="12.75">
      <c r="A403" s="1638"/>
      <c r="F403" s="1"/>
      <c r="G403" s="1"/>
      <c r="H403" s="1"/>
      <c r="I403" s="1"/>
      <c r="L403" s="326"/>
      <c r="M403" s="326"/>
    </row>
    <row r="404" spans="1:13" customFormat="1" ht="12.75">
      <c r="A404" s="1638"/>
      <c r="F404" s="1"/>
      <c r="G404" s="1"/>
      <c r="H404" s="1"/>
      <c r="I404" s="1"/>
      <c r="L404" s="326"/>
      <c r="M404" s="326"/>
    </row>
    <row r="405" spans="1:13" customFormat="1" ht="12.75">
      <c r="A405" s="1638"/>
      <c r="F405" s="1"/>
      <c r="G405" s="1"/>
      <c r="H405" s="1"/>
      <c r="I405" s="1"/>
      <c r="L405" s="326"/>
      <c r="M405" s="326"/>
    </row>
    <row r="406" spans="1:13" customFormat="1" ht="12.75">
      <c r="A406" s="1638"/>
      <c r="F406" s="1"/>
      <c r="G406" s="1"/>
      <c r="H406" s="1"/>
      <c r="I406" s="1"/>
      <c r="L406" s="326"/>
      <c r="M406" s="326"/>
    </row>
    <row r="407" spans="1:13" customFormat="1" ht="12.75">
      <c r="A407" s="1638"/>
      <c r="F407" s="1"/>
      <c r="G407" s="1"/>
      <c r="H407" s="1"/>
      <c r="I407" s="1"/>
      <c r="L407" s="326"/>
      <c r="M407" s="326"/>
    </row>
    <row r="408" spans="1:13" customFormat="1" ht="12.75">
      <c r="A408" s="1638"/>
      <c r="F408" s="1"/>
      <c r="G408" s="1"/>
      <c r="H408" s="1"/>
      <c r="I408" s="1"/>
      <c r="L408" s="326"/>
      <c r="M408" s="326"/>
    </row>
    <row r="409" spans="1:13" customFormat="1" ht="12.75">
      <c r="A409" s="1638"/>
      <c r="F409" s="1"/>
      <c r="G409" s="1"/>
      <c r="H409" s="1"/>
      <c r="I409" s="1"/>
      <c r="L409" s="326"/>
      <c r="M409" s="326"/>
    </row>
    <row r="410" spans="1:13" customFormat="1" ht="12.75">
      <c r="A410" s="1638"/>
      <c r="F410" s="1"/>
      <c r="G410" s="1"/>
      <c r="H410" s="1"/>
      <c r="I410" s="1"/>
      <c r="L410" s="326"/>
      <c r="M410" s="326"/>
    </row>
    <row r="411" spans="1:13" customFormat="1" ht="12.75">
      <c r="A411" s="1638"/>
      <c r="F411" s="1"/>
      <c r="G411" s="1"/>
      <c r="H411" s="1"/>
      <c r="I411" s="1"/>
      <c r="L411" s="326"/>
      <c r="M411" s="326"/>
    </row>
    <row r="412" spans="1:13" customFormat="1" ht="12.75">
      <c r="A412" s="1638"/>
      <c r="F412" s="1"/>
      <c r="G412" s="1"/>
      <c r="H412" s="1"/>
      <c r="I412" s="1"/>
      <c r="L412" s="326"/>
      <c r="M412" s="326"/>
    </row>
    <row r="413" spans="1:13" customFormat="1" ht="12.75">
      <c r="A413" s="1638"/>
      <c r="F413" s="1"/>
      <c r="G413" s="1"/>
      <c r="H413" s="1"/>
      <c r="I413" s="1"/>
      <c r="L413" s="326"/>
      <c r="M413" s="326"/>
    </row>
    <row r="414" spans="1:13" customFormat="1" ht="12.75">
      <c r="A414" s="1638"/>
      <c r="F414" s="1"/>
      <c r="G414" s="1"/>
      <c r="H414" s="1"/>
      <c r="I414" s="1"/>
      <c r="L414" s="326"/>
      <c r="M414" s="326"/>
    </row>
    <row r="415" spans="1:13" customFormat="1" ht="12.75">
      <c r="A415" s="1638"/>
      <c r="F415" s="1"/>
      <c r="G415" s="1"/>
      <c r="H415" s="1"/>
      <c r="I415" s="1"/>
      <c r="L415" s="326"/>
      <c r="M415" s="326"/>
    </row>
    <row r="416" spans="1:13" customFormat="1" ht="12.75">
      <c r="A416" s="1638"/>
      <c r="F416" s="1"/>
      <c r="G416" s="1"/>
      <c r="H416" s="1"/>
      <c r="I416" s="1"/>
      <c r="L416" s="326"/>
      <c r="M416" s="326"/>
    </row>
    <row r="417" spans="1:13" customFormat="1" ht="12.75">
      <c r="A417" s="1638"/>
      <c r="F417" s="1"/>
      <c r="G417" s="1"/>
      <c r="H417" s="1"/>
      <c r="I417" s="1"/>
      <c r="L417" s="326"/>
      <c r="M417" s="326"/>
    </row>
    <row r="418" spans="1:13" customFormat="1" ht="12.75">
      <c r="A418" s="1638"/>
      <c r="F418" s="1"/>
      <c r="G418" s="1"/>
      <c r="H418" s="1"/>
      <c r="I418" s="1"/>
      <c r="L418" s="326"/>
      <c r="M418" s="326"/>
    </row>
    <row r="419" spans="1:13" customFormat="1" ht="12.75">
      <c r="A419" s="1638"/>
      <c r="F419" s="1"/>
      <c r="G419" s="1"/>
      <c r="H419" s="1"/>
      <c r="I419" s="1"/>
      <c r="L419" s="326"/>
      <c r="M419" s="326"/>
    </row>
    <row r="420" spans="1:13" customFormat="1" ht="12.75">
      <c r="A420" s="1638"/>
      <c r="F420" s="1"/>
      <c r="G420" s="1"/>
      <c r="H420" s="1"/>
      <c r="I420" s="1"/>
      <c r="L420" s="326"/>
      <c r="M420" s="326"/>
    </row>
    <row r="421" spans="1:13" customFormat="1" ht="12.75">
      <c r="A421" s="1638"/>
      <c r="F421" s="1"/>
      <c r="G421" s="1"/>
      <c r="H421" s="1"/>
      <c r="I421" s="1"/>
      <c r="L421" s="326"/>
      <c r="M421" s="326"/>
    </row>
    <row r="422" spans="1:13" customFormat="1" ht="12.75">
      <c r="A422" s="1638"/>
      <c r="F422" s="1"/>
      <c r="G422" s="1"/>
      <c r="H422" s="1"/>
      <c r="I422" s="1"/>
      <c r="L422" s="326"/>
      <c r="M422" s="326"/>
    </row>
    <row r="423" spans="1:13" customFormat="1" ht="12.75">
      <c r="A423" s="1638"/>
      <c r="F423" s="1"/>
      <c r="G423" s="1"/>
      <c r="H423" s="1"/>
      <c r="I423" s="1"/>
      <c r="L423" s="326"/>
      <c r="M423" s="326"/>
    </row>
    <row r="424" spans="1:13" customFormat="1" ht="12.75">
      <c r="A424" s="1638"/>
      <c r="F424" s="1"/>
      <c r="G424" s="1"/>
      <c r="H424" s="1"/>
      <c r="I424" s="1"/>
      <c r="L424" s="326"/>
      <c r="M424" s="326"/>
    </row>
    <row r="425" spans="1:13" customFormat="1" ht="12.75">
      <c r="A425" s="1638"/>
      <c r="F425" s="1"/>
      <c r="G425" s="1"/>
      <c r="H425" s="1"/>
      <c r="I425" s="1"/>
      <c r="L425" s="326"/>
      <c r="M425" s="326"/>
    </row>
    <row r="426" spans="1:13" customFormat="1" ht="12.75">
      <c r="A426" s="1638"/>
      <c r="F426" s="1"/>
      <c r="G426" s="1"/>
      <c r="H426" s="1"/>
      <c r="I426" s="1"/>
      <c r="L426" s="326"/>
      <c r="M426" s="326"/>
    </row>
    <row r="427" spans="1:13" customFormat="1" ht="12.75">
      <c r="A427" s="1638"/>
      <c r="F427" s="1"/>
      <c r="G427" s="1"/>
      <c r="H427" s="1"/>
      <c r="I427" s="1"/>
      <c r="L427" s="326"/>
      <c r="M427" s="326"/>
    </row>
    <row r="428" spans="1:13" customFormat="1" ht="12.75">
      <c r="A428" s="1638"/>
      <c r="F428" s="1"/>
      <c r="G428" s="1"/>
      <c r="H428" s="1"/>
      <c r="I428" s="1"/>
      <c r="L428" s="326"/>
      <c r="M428" s="326"/>
    </row>
    <row r="429" spans="1:13" customFormat="1" ht="12.75">
      <c r="A429" s="1638"/>
      <c r="F429" s="1"/>
      <c r="G429" s="1"/>
      <c r="H429" s="1"/>
      <c r="I429" s="1"/>
      <c r="L429" s="326"/>
      <c r="M429" s="326"/>
    </row>
    <row r="430" spans="1:13" customFormat="1" ht="12.75">
      <c r="A430" s="1638"/>
      <c r="F430" s="1"/>
      <c r="G430" s="1"/>
      <c r="H430" s="1"/>
      <c r="I430" s="1"/>
      <c r="L430" s="326"/>
      <c r="M430" s="326"/>
    </row>
    <row r="431" spans="1:13" customFormat="1" ht="12.75">
      <c r="A431" s="1638"/>
      <c r="F431" s="1"/>
      <c r="G431" s="1"/>
      <c r="H431" s="1"/>
      <c r="I431" s="1"/>
      <c r="L431" s="326"/>
      <c r="M431" s="326"/>
    </row>
    <row r="432" spans="1:13" customFormat="1" ht="12.75">
      <c r="A432" s="1638"/>
      <c r="F432" s="1"/>
      <c r="G432" s="1"/>
      <c r="H432" s="1"/>
      <c r="I432" s="1"/>
      <c r="L432" s="326"/>
      <c r="M432" s="326"/>
    </row>
    <row r="433" spans="1:13" customFormat="1" ht="12.75">
      <c r="A433" s="1638"/>
      <c r="F433" s="1"/>
      <c r="G433" s="1"/>
      <c r="H433" s="1"/>
      <c r="I433" s="1"/>
      <c r="L433" s="326"/>
      <c r="M433" s="326"/>
    </row>
    <row r="434" spans="1:13" customFormat="1" ht="12.75">
      <c r="A434" s="1638"/>
      <c r="F434" s="1"/>
      <c r="G434" s="1"/>
      <c r="H434" s="1"/>
      <c r="I434" s="1"/>
      <c r="L434" s="326"/>
      <c r="M434" s="326"/>
    </row>
    <row r="435" spans="1:13" customFormat="1" ht="12.75">
      <c r="A435" s="1638"/>
      <c r="F435" s="1"/>
      <c r="G435" s="1"/>
      <c r="H435" s="1"/>
      <c r="I435" s="1"/>
      <c r="L435" s="326"/>
      <c r="M435" s="326"/>
    </row>
    <row r="436" spans="1:13" customFormat="1" ht="12.75">
      <c r="A436" s="1638"/>
      <c r="F436" s="1"/>
      <c r="G436" s="1"/>
      <c r="H436" s="1"/>
      <c r="I436" s="1"/>
      <c r="L436" s="326"/>
      <c r="M436" s="326"/>
    </row>
    <row r="437" spans="1:13" customFormat="1" ht="12.75">
      <c r="A437" s="1638"/>
      <c r="F437" s="1"/>
      <c r="G437" s="1"/>
      <c r="H437" s="1"/>
      <c r="I437" s="1"/>
      <c r="L437" s="326"/>
      <c r="M437" s="326"/>
    </row>
    <row r="438" spans="1:13" customFormat="1" ht="12.75">
      <c r="A438" s="1638"/>
      <c r="F438" s="1"/>
      <c r="G438" s="1"/>
      <c r="H438" s="1"/>
      <c r="I438" s="1"/>
      <c r="L438" s="326"/>
      <c r="M438" s="326"/>
    </row>
    <row r="439" spans="1:13" customFormat="1" ht="12.75">
      <c r="A439" s="1638"/>
      <c r="F439" s="1"/>
      <c r="G439" s="1"/>
      <c r="H439" s="1"/>
      <c r="I439" s="1"/>
      <c r="L439" s="326"/>
      <c r="M439" s="326"/>
    </row>
    <row r="440" spans="1:13" customFormat="1" ht="12.75">
      <c r="A440" s="1638"/>
      <c r="F440" s="1"/>
      <c r="G440" s="1"/>
      <c r="H440" s="1"/>
      <c r="I440" s="1"/>
      <c r="L440" s="326"/>
      <c r="M440" s="326"/>
    </row>
    <row r="441" spans="1:13" customFormat="1" ht="12.75">
      <c r="A441" s="1638"/>
      <c r="F441" s="1"/>
      <c r="G441" s="1"/>
      <c r="H441" s="1"/>
      <c r="I441" s="1"/>
      <c r="L441" s="326"/>
      <c r="M441" s="326"/>
    </row>
    <row r="442" spans="1:13" customFormat="1" ht="12.75">
      <c r="A442" s="1638"/>
      <c r="F442" s="1"/>
      <c r="G442" s="1"/>
      <c r="H442" s="1"/>
      <c r="I442" s="1"/>
      <c r="L442" s="326"/>
      <c r="M442" s="326"/>
    </row>
    <row r="443" spans="1:13" customFormat="1" ht="12.75">
      <c r="A443" s="1638"/>
      <c r="F443" s="1"/>
      <c r="G443" s="1"/>
      <c r="H443" s="1"/>
      <c r="I443" s="1"/>
      <c r="L443" s="326"/>
      <c r="M443" s="326"/>
    </row>
    <row r="444" spans="1:13" customFormat="1" ht="12.75">
      <c r="A444" s="1638"/>
      <c r="F444" s="1"/>
      <c r="G444" s="1"/>
      <c r="H444" s="1"/>
      <c r="I444" s="1"/>
      <c r="L444" s="326"/>
      <c r="M444" s="326"/>
    </row>
    <row r="445" spans="1:13" customFormat="1" ht="12.75">
      <c r="A445" s="1638"/>
      <c r="F445" s="1"/>
      <c r="G445" s="1"/>
      <c r="H445" s="1"/>
      <c r="I445" s="1"/>
      <c r="L445" s="326"/>
      <c r="M445" s="326"/>
    </row>
    <row r="446" spans="1:13" customFormat="1" ht="12.75">
      <c r="A446" s="1638"/>
      <c r="F446" s="1"/>
      <c r="G446" s="1"/>
      <c r="H446" s="1"/>
      <c r="I446" s="1"/>
      <c r="L446" s="326"/>
      <c r="M446" s="326"/>
    </row>
    <row r="447" spans="1:13" customFormat="1" ht="12.75">
      <c r="A447" s="1638"/>
      <c r="F447" s="1"/>
      <c r="G447" s="1"/>
      <c r="H447" s="1"/>
      <c r="I447" s="1"/>
      <c r="L447" s="326"/>
      <c r="M447" s="326"/>
    </row>
    <row r="448" spans="1:13" customFormat="1" ht="12.75">
      <c r="A448" s="1638"/>
      <c r="F448" s="1"/>
      <c r="G448" s="1"/>
      <c r="H448" s="1"/>
      <c r="I448" s="1"/>
      <c r="L448" s="326"/>
      <c r="M448" s="326"/>
    </row>
    <row r="449" spans="1:13" customFormat="1" ht="12.75">
      <c r="A449" s="1638"/>
      <c r="F449" s="1"/>
      <c r="G449" s="1"/>
      <c r="H449" s="1"/>
      <c r="I449" s="1"/>
      <c r="L449" s="326"/>
      <c r="M449" s="326"/>
    </row>
    <row r="450" spans="1:13" customFormat="1" ht="12.75">
      <c r="A450" s="1638"/>
      <c r="F450" s="1"/>
      <c r="G450" s="1"/>
      <c r="H450" s="1"/>
      <c r="I450" s="1"/>
      <c r="L450" s="326"/>
      <c r="M450" s="326"/>
    </row>
    <row r="451" spans="1:13" customFormat="1" ht="12.75">
      <c r="A451" s="1638"/>
      <c r="F451" s="1"/>
      <c r="G451" s="1"/>
      <c r="H451" s="1"/>
      <c r="I451" s="1"/>
      <c r="L451" s="326"/>
      <c r="M451" s="326"/>
    </row>
    <row r="452" spans="1:13" customFormat="1" ht="12.75">
      <c r="A452" s="1638"/>
      <c r="F452" s="1"/>
      <c r="G452" s="1"/>
      <c r="H452" s="1"/>
      <c r="I452" s="1"/>
      <c r="L452" s="326"/>
      <c r="M452" s="326"/>
    </row>
    <row r="453" spans="1:13" customFormat="1" ht="12.75">
      <c r="A453" s="1638"/>
      <c r="F453" s="1"/>
      <c r="G453" s="1"/>
      <c r="H453" s="1"/>
      <c r="I453" s="1"/>
      <c r="L453" s="326"/>
      <c r="M453" s="326"/>
    </row>
    <row r="454" spans="1:13" customFormat="1" ht="12.75">
      <c r="A454" s="1638"/>
      <c r="F454" s="1"/>
      <c r="G454" s="1"/>
      <c r="H454" s="1"/>
      <c r="I454" s="1"/>
      <c r="L454" s="326"/>
      <c r="M454" s="326"/>
    </row>
    <row r="455" spans="1:13" customFormat="1" ht="12.75">
      <c r="A455" s="1638"/>
      <c r="F455" s="1"/>
      <c r="G455" s="1"/>
      <c r="H455" s="1"/>
      <c r="I455" s="1"/>
      <c r="L455" s="326"/>
      <c r="M455" s="326"/>
    </row>
    <row r="456" spans="1:13" customFormat="1" ht="12.75">
      <c r="A456" s="1638"/>
      <c r="F456" s="1"/>
      <c r="G456" s="1"/>
      <c r="H456" s="1"/>
      <c r="I456" s="1"/>
      <c r="L456" s="326"/>
      <c r="M456" s="326"/>
    </row>
    <row r="457" spans="1:13" customFormat="1" ht="12.75">
      <c r="A457" s="1638"/>
      <c r="F457" s="1"/>
      <c r="G457" s="1"/>
      <c r="H457" s="1"/>
      <c r="I457" s="1"/>
      <c r="L457" s="326"/>
      <c r="M457" s="326"/>
    </row>
    <row r="458" spans="1:13" customFormat="1" ht="12.75">
      <c r="A458" s="1638"/>
      <c r="F458" s="1"/>
      <c r="G458" s="1"/>
      <c r="H458" s="1"/>
      <c r="I458" s="1"/>
      <c r="L458" s="326"/>
      <c r="M458" s="326"/>
    </row>
    <row r="459" spans="1:13" customFormat="1" ht="12.75">
      <c r="A459" s="1638"/>
      <c r="F459" s="1"/>
      <c r="G459" s="1"/>
      <c r="H459" s="1"/>
      <c r="I459" s="1"/>
      <c r="L459" s="326"/>
      <c r="M459" s="326"/>
    </row>
    <row r="460" spans="1:13" customFormat="1" ht="12.75">
      <c r="A460" s="1638"/>
      <c r="F460" s="1"/>
      <c r="G460" s="1"/>
      <c r="H460" s="1"/>
      <c r="I460" s="1"/>
      <c r="L460" s="326"/>
      <c r="M460" s="326"/>
    </row>
    <row r="461" spans="1:13" customFormat="1" ht="12.75">
      <c r="A461" s="1638"/>
      <c r="F461" s="1"/>
      <c r="G461" s="1"/>
      <c r="H461" s="1"/>
      <c r="I461" s="1"/>
      <c r="L461" s="326"/>
      <c r="M461" s="326"/>
    </row>
    <row r="462" spans="1:13" customFormat="1" ht="12.75">
      <c r="A462" s="1638"/>
      <c r="F462" s="1"/>
      <c r="G462" s="1"/>
      <c r="H462" s="1"/>
      <c r="I462" s="1"/>
      <c r="L462" s="326"/>
      <c r="M462" s="326"/>
    </row>
    <row r="463" spans="1:13" customFormat="1" ht="12.75">
      <c r="A463" s="1638"/>
      <c r="F463" s="1"/>
      <c r="G463" s="1"/>
      <c r="H463" s="1"/>
      <c r="I463" s="1"/>
      <c r="L463" s="326"/>
      <c r="M463" s="326"/>
    </row>
    <row r="464" spans="1:13" customFormat="1" ht="12.75">
      <c r="A464" s="1638"/>
      <c r="F464" s="1"/>
      <c r="G464" s="1"/>
      <c r="H464" s="1"/>
      <c r="I464" s="1"/>
      <c r="L464" s="326"/>
      <c r="M464" s="326"/>
    </row>
    <row r="465" spans="1:13" customFormat="1" ht="12.75">
      <c r="A465" s="1638"/>
      <c r="F465" s="1"/>
      <c r="G465" s="1"/>
      <c r="H465" s="1"/>
      <c r="I465" s="1"/>
      <c r="L465" s="326"/>
      <c r="M465" s="326"/>
    </row>
    <row r="466" spans="1:13" customFormat="1" ht="12.75">
      <c r="A466" s="1638"/>
      <c r="F466" s="1"/>
      <c r="G466" s="1"/>
      <c r="H466" s="1"/>
      <c r="I466" s="1"/>
      <c r="L466" s="326"/>
      <c r="M466" s="326"/>
    </row>
    <row r="467" spans="1:13" customFormat="1" ht="12.75">
      <c r="A467" s="1638"/>
      <c r="F467" s="1"/>
      <c r="G467" s="1"/>
      <c r="H467" s="1"/>
      <c r="I467" s="1"/>
      <c r="L467" s="326"/>
      <c r="M467" s="326"/>
    </row>
    <row r="468" spans="1:13" customFormat="1" ht="12.75">
      <c r="A468" s="1638"/>
      <c r="F468" s="1"/>
      <c r="G468" s="1"/>
      <c r="H468" s="1"/>
      <c r="I468" s="1"/>
      <c r="L468" s="326"/>
      <c r="M468" s="326"/>
    </row>
    <row r="469" spans="1:13" customFormat="1" ht="12.75">
      <c r="A469" s="1638"/>
      <c r="F469" s="1"/>
      <c r="G469" s="1"/>
      <c r="H469" s="1"/>
      <c r="I469" s="1"/>
      <c r="L469" s="326"/>
      <c r="M469" s="326"/>
    </row>
    <row r="470" spans="1:13" customFormat="1" ht="12.75">
      <c r="A470" s="1638"/>
      <c r="F470" s="1"/>
      <c r="G470" s="1"/>
      <c r="H470" s="1"/>
      <c r="I470" s="1"/>
      <c r="L470" s="326"/>
      <c r="M470" s="326"/>
    </row>
    <row r="471" spans="1:13" customFormat="1" ht="12.75">
      <c r="A471" s="1638"/>
      <c r="F471" s="1"/>
      <c r="G471" s="1"/>
      <c r="H471" s="1"/>
      <c r="I471" s="1"/>
      <c r="L471" s="326"/>
      <c r="M471" s="326"/>
    </row>
    <row r="472" spans="1:13" customFormat="1" ht="12.75">
      <c r="A472" s="1638"/>
      <c r="F472" s="1"/>
      <c r="G472" s="1"/>
      <c r="H472" s="1"/>
      <c r="I472" s="1"/>
      <c r="L472" s="326"/>
      <c r="M472" s="326"/>
    </row>
    <row r="473" spans="1:13" customFormat="1" ht="12.75">
      <c r="A473" s="1638"/>
      <c r="F473" s="1"/>
      <c r="G473" s="1"/>
      <c r="H473" s="1"/>
      <c r="I473" s="1"/>
      <c r="L473" s="326"/>
      <c r="M473" s="326"/>
    </row>
    <row r="474" spans="1:13" customFormat="1" ht="12.75">
      <c r="A474" s="1638"/>
      <c r="F474" s="1"/>
      <c r="G474" s="1"/>
      <c r="H474" s="1"/>
      <c r="I474" s="1"/>
      <c r="L474" s="326"/>
      <c r="M474" s="326"/>
    </row>
    <row r="475" spans="1:13" customFormat="1" ht="12.75">
      <c r="A475" s="1638"/>
      <c r="F475" s="1"/>
      <c r="G475" s="1"/>
      <c r="H475" s="1"/>
      <c r="I475" s="1"/>
      <c r="L475" s="326"/>
      <c r="M475" s="326"/>
    </row>
    <row r="476" spans="1:13" customFormat="1" ht="12.75">
      <c r="A476" s="1638"/>
      <c r="F476" s="1"/>
      <c r="G476" s="1"/>
      <c r="H476" s="1"/>
      <c r="I476" s="1"/>
      <c r="L476" s="326"/>
      <c r="M476" s="326"/>
    </row>
    <row r="477" spans="1:13" customFormat="1" ht="12.75">
      <c r="A477" s="1638"/>
      <c r="F477" s="1"/>
      <c r="G477" s="1"/>
      <c r="H477" s="1"/>
      <c r="I477" s="1"/>
      <c r="L477" s="326"/>
      <c r="M477" s="326"/>
    </row>
    <row r="478" spans="1:13" customFormat="1" ht="12.75">
      <c r="A478" s="1638"/>
      <c r="F478" s="1"/>
      <c r="G478" s="1"/>
      <c r="H478" s="1"/>
      <c r="I478" s="1"/>
      <c r="L478" s="326"/>
      <c r="M478" s="326"/>
    </row>
    <row r="479" spans="1:13" customFormat="1" ht="12.75">
      <c r="A479" s="1638"/>
      <c r="F479" s="1"/>
      <c r="G479" s="1"/>
      <c r="H479" s="1"/>
      <c r="I479" s="1"/>
      <c r="L479" s="326"/>
      <c r="M479" s="326"/>
    </row>
    <row r="480" spans="1:13" customFormat="1" ht="12.75">
      <c r="A480" s="1638"/>
      <c r="F480" s="1"/>
      <c r="G480" s="1"/>
      <c r="H480" s="1"/>
      <c r="I480" s="1"/>
      <c r="L480" s="326"/>
      <c r="M480" s="326"/>
    </row>
    <row r="481" spans="1:13" customFormat="1" ht="12.75">
      <c r="A481" s="1638"/>
      <c r="F481" s="1"/>
      <c r="G481" s="1"/>
      <c r="H481" s="1"/>
      <c r="I481" s="1"/>
      <c r="L481" s="326"/>
      <c r="M481" s="326"/>
    </row>
    <row r="482" spans="1:13" customFormat="1" ht="12.75">
      <c r="A482" s="1638"/>
      <c r="F482" s="1"/>
      <c r="G482" s="1"/>
      <c r="H482" s="1"/>
      <c r="I482" s="1"/>
      <c r="L482" s="326"/>
      <c r="M482" s="326"/>
    </row>
    <row r="483" spans="1:13" customFormat="1" ht="12.75">
      <c r="A483" s="1638"/>
      <c r="F483" s="1"/>
      <c r="G483" s="1"/>
      <c r="H483" s="1"/>
      <c r="I483" s="1"/>
      <c r="L483" s="326"/>
      <c r="M483" s="326"/>
    </row>
    <row r="484" spans="1:13" customFormat="1" ht="12.75">
      <c r="A484" s="1638"/>
      <c r="F484" s="1"/>
      <c r="G484" s="1"/>
      <c r="H484" s="1"/>
      <c r="I484" s="1"/>
      <c r="L484" s="326"/>
      <c r="M484" s="326"/>
    </row>
    <row r="485" spans="1:13" customFormat="1" ht="12.75">
      <c r="A485" s="1638"/>
      <c r="F485" s="1"/>
      <c r="G485" s="1"/>
      <c r="H485" s="1"/>
      <c r="I485" s="1"/>
      <c r="L485" s="326"/>
      <c r="M485" s="326"/>
    </row>
    <row r="486" spans="1:13" customFormat="1" ht="12.75">
      <c r="A486" s="1638"/>
      <c r="F486" s="1"/>
      <c r="G486" s="1"/>
      <c r="H486" s="1"/>
      <c r="I486" s="1"/>
      <c r="L486" s="326"/>
      <c r="M486" s="326"/>
    </row>
    <row r="487" spans="1:13" customFormat="1" ht="12.75">
      <c r="A487" s="1638"/>
      <c r="F487" s="1"/>
      <c r="G487" s="1"/>
      <c r="H487" s="1"/>
      <c r="I487" s="1"/>
      <c r="L487" s="326"/>
      <c r="M487" s="326"/>
    </row>
    <row r="488" spans="1:13" customFormat="1" ht="12.75">
      <c r="A488" s="1638"/>
      <c r="F488" s="1"/>
      <c r="G488" s="1"/>
      <c r="H488" s="1"/>
      <c r="I488" s="1"/>
      <c r="L488" s="326"/>
      <c r="M488" s="326"/>
    </row>
    <row r="489" spans="1:13" customFormat="1" ht="12.75">
      <c r="A489" s="1638"/>
      <c r="F489" s="1"/>
      <c r="G489" s="1"/>
      <c r="H489" s="1"/>
      <c r="I489" s="1"/>
      <c r="L489" s="326"/>
      <c r="M489" s="326"/>
    </row>
    <row r="490" spans="1:13" customFormat="1" ht="12.75">
      <c r="A490" s="1638"/>
      <c r="F490" s="1"/>
      <c r="G490" s="1"/>
      <c r="H490" s="1"/>
      <c r="I490" s="1"/>
      <c r="L490" s="326"/>
      <c r="M490" s="326"/>
    </row>
    <row r="491" spans="1:13" customFormat="1" ht="12.75">
      <c r="A491" s="1638"/>
      <c r="F491" s="1"/>
      <c r="G491" s="1"/>
      <c r="H491" s="1"/>
      <c r="I491" s="1"/>
      <c r="L491" s="326"/>
      <c r="M491" s="326"/>
    </row>
    <row r="492" spans="1:13" customFormat="1" ht="12.75">
      <c r="A492" s="1638"/>
      <c r="F492" s="1"/>
      <c r="G492" s="1"/>
      <c r="H492" s="1"/>
      <c r="I492" s="1"/>
      <c r="L492" s="326"/>
      <c r="M492" s="326"/>
    </row>
    <row r="493" spans="1:13" customFormat="1" ht="12.75">
      <c r="A493" s="1638"/>
      <c r="F493" s="1"/>
      <c r="G493" s="1"/>
      <c r="H493" s="1"/>
      <c r="I493" s="1"/>
      <c r="L493" s="326"/>
      <c r="M493" s="326"/>
    </row>
    <row r="494" spans="1:13" customFormat="1" ht="12.75">
      <c r="A494" s="1638"/>
      <c r="F494" s="1"/>
      <c r="G494" s="1"/>
      <c r="H494" s="1"/>
      <c r="I494" s="1"/>
      <c r="L494" s="326"/>
      <c r="M494" s="326"/>
    </row>
    <row r="495" spans="1:13" customFormat="1" ht="12.75">
      <c r="A495" s="1638"/>
      <c r="F495" s="1"/>
      <c r="G495" s="1"/>
      <c r="H495" s="1"/>
      <c r="I495" s="1"/>
      <c r="L495" s="326"/>
      <c r="M495" s="326"/>
    </row>
    <row r="496" spans="1:13" customFormat="1" ht="12.75">
      <c r="A496" s="1638"/>
      <c r="F496" s="1"/>
      <c r="G496" s="1"/>
      <c r="H496" s="1"/>
      <c r="I496" s="1"/>
      <c r="L496" s="326"/>
      <c r="M496" s="326"/>
    </row>
    <row r="497" spans="1:13" customFormat="1" ht="12.75">
      <c r="A497" s="1638"/>
      <c r="F497" s="1"/>
      <c r="G497" s="1"/>
      <c r="H497" s="1"/>
      <c r="I497" s="1"/>
      <c r="L497" s="326"/>
      <c r="M497" s="326"/>
    </row>
    <row r="498" spans="1:13" customFormat="1" ht="12.75">
      <c r="A498" s="1638"/>
      <c r="F498" s="1"/>
      <c r="G498" s="1"/>
      <c r="H498" s="1"/>
      <c r="I498" s="1"/>
      <c r="L498" s="326"/>
      <c r="M498" s="326"/>
    </row>
    <row r="499" spans="1:13" customFormat="1" ht="12.75">
      <c r="A499" s="1638"/>
      <c r="F499" s="1"/>
      <c r="G499" s="1"/>
      <c r="H499" s="1"/>
      <c r="I499" s="1"/>
      <c r="L499" s="326"/>
      <c r="M499" s="326"/>
    </row>
    <row r="500" spans="1:13" customFormat="1" ht="12.75">
      <c r="A500" s="1638"/>
      <c r="F500" s="1"/>
      <c r="G500" s="1"/>
      <c r="H500" s="1"/>
      <c r="I500" s="1"/>
      <c r="L500" s="326"/>
      <c r="M500" s="326"/>
    </row>
    <row r="501" spans="1:13" customFormat="1" ht="12.75">
      <c r="A501" s="1638"/>
      <c r="F501" s="1"/>
      <c r="G501" s="1"/>
      <c r="H501" s="1"/>
      <c r="I501" s="1"/>
      <c r="L501" s="326"/>
      <c r="M501" s="326"/>
    </row>
    <row r="502" spans="1:13" customFormat="1" ht="12.75">
      <c r="A502" s="1638"/>
      <c r="F502" s="1"/>
      <c r="G502" s="1"/>
      <c r="H502" s="1"/>
      <c r="I502" s="1"/>
      <c r="L502" s="326"/>
      <c r="M502" s="326"/>
    </row>
    <row r="503" spans="1:13" customFormat="1" ht="12.75">
      <c r="A503" s="1638"/>
      <c r="F503" s="1"/>
      <c r="G503" s="1"/>
      <c r="H503" s="1"/>
      <c r="I503" s="1"/>
      <c r="L503" s="326"/>
      <c r="M503" s="326"/>
    </row>
    <row r="504" spans="1:13" customFormat="1" ht="12.75">
      <c r="A504" s="1638"/>
      <c r="F504" s="1"/>
      <c r="G504" s="1"/>
      <c r="H504" s="1"/>
      <c r="I504" s="1"/>
      <c r="L504" s="326"/>
      <c r="M504" s="326"/>
    </row>
    <row r="505" spans="1:13" customFormat="1" ht="12.75">
      <c r="A505" s="1638"/>
      <c r="F505" s="1"/>
      <c r="G505" s="1"/>
      <c r="H505" s="1"/>
      <c r="I505" s="1"/>
      <c r="L505" s="326"/>
      <c r="M505" s="326"/>
    </row>
    <row r="506" spans="1:13" customFormat="1" ht="12.75">
      <c r="A506" s="1638"/>
      <c r="F506" s="1"/>
      <c r="G506" s="1"/>
      <c r="H506" s="1"/>
      <c r="I506" s="1"/>
      <c r="L506" s="326"/>
      <c r="M506" s="326"/>
    </row>
    <row r="507" spans="1:13" customFormat="1" ht="12.75">
      <c r="A507" s="1638"/>
      <c r="F507" s="1"/>
      <c r="G507" s="1"/>
      <c r="H507" s="1"/>
      <c r="I507" s="1"/>
      <c r="L507" s="326"/>
      <c r="M507" s="326"/>
    </row>
    <row r="508" spans="1:13" customFormat="1" ht="12.75">
      <c r="A508" s="1638"/>
      <c r="F508" s="1"/>
      <c r="G508" s="1"/>
      <c r="H508" s="1"/>
      <c r="I508" s="1"/>
      <c r="L508" s="326"/>
      <c r="M508" s="326"/>
    </row>
    <row r="509" spans="1:13" customFormat="1" ht="12.75">
      <c r="A509" s="1638"/>
      <c r="F509" s="1"/>
      <c r="G509" s="1"/>
      <c r="H509" s="1"/>
      <c r="I509" s="1"/>
      <c r="L509" s="326"/>
      <c r="M509" s="326"/>
    </row>
    <row r="510" spans="1:13" customFormat="1" ht="12.75">
      <c r="A510" s="1638"/>
      <c r="F510" s="1"/>
      <c r="G510" s="1"/>
      <c r="H510" s="1"/>
      <c r="I510" s="1"/>
      <c r="L510" s="326"/>
      <c r="M510" s="326"/>
    </row>
    <row r="511" spans="1:13" customFormat="1" ht="12.75">
      <c r="A511" s="1638"/>
      <c r="F511" s="1"/>
      <c r="G511" s="1"/>
      <c r="H511" s="1"/>
      <c r="I511" s="1"/>
      <c r="L511" s="326"/>
      <c r="M511" s="326"/>
    </row>
    <row r="512" spans="1:13" customFormat="1" ht="12.75">
      <c r="A512" s="1638"/>
      <c r="F512" s="1"/>
      <c r="G512" s="1"/>
      <c r="H512" s="1"/>
      <c r="I512" s="1"/>
      <c r="L512" s="326"/>
      <c r="M512" s="326"/>
    </row>
    <row r="513" spans="1:13" customFormat="1" ht="12.75">
      <c r="A513" s="1638"/>
      <c r="F513" s="1"/>
      <c r="G513" s="1"/>
      <c r="H513" s="1"/>
      <c r="I513" s="1"/>
      <c r="L513" s="326"/>
      <c r="M513" s="326"/>
    </row>
    <row r="514" spans="1:13" customFormat="1" ht="12.75">
      <c r="A514" s="1638"/>
      <c r="F514" s="1"/>
      <c r="G514" s="1"/>
      <c r="H514" s="1"/>
      <c r="I514" s="1"/>
      <c r="L514" s="326"/>
      <c r="M514" s="326"/>
    </row>
    <row r="515" spans="1:13" customFormat="1" ht="12.75">
      <c r="A515" s="1638"/>
      <c r="F515" s="1"/>
      <c r="G515" s="1"/>
      <c r="H515" s="1"/>
      <c r="I515" s="1"/>
      <c r="L515" s="326"/>
      <c r="M515" s="326"/>
    </row>
    <row r="516" spans="1:13" customFormat="1" ht="12.75">
      <c r="A516" s="1638"/>
      <c r="F516" s="1"/>
      <c r="G516" s="1"/>
      <c r="H516" s="1"/>
      <c r="I516" s="1"/>
      <c r="L516" s="326"/>
      <c r="M516" s="326"/>
    </row>
    <row r="517" spans="1:13" customFormat="1" ht="12.75">
      <c r="A517" s="1638"/>
      <c r="F517" s="1"/>
      <c r="G517" s="1"/>
      <c r="H517" s="1"/>
      <c r="I517" s="1"/>
      <c r="L517" s="326"/>
      <c r="M517" s="326"/>
    </row>
    <row r="518" spans="1:13" customFormat="1" ht="12.75">
      <c r="A518" s="1638"/>
      <c r="F518" s="1"/>
      <c r="G518" s="1"/>
      <c r="H518" s="1"/>
      <c r="I518" s="1"/>
      <c r="L518" s="326"/>
      <c r="M518" s="326"/>
    </row>
    <row r="519" spans="1:13" customFormat="1" ht="12.75">
      <c r="A519" s="1638"/>
      <c r="F519" s="1"/>
      <c r="G519" s="1"/>
      <c r="H519" s="1"/>
      <c r="I519" s="1"/>
      <c r="L519" s="326"/>
      <c r="M519" s="326"/>
    </row>
    <row r="520" spans="1:13" customFormat="1" ht="12.75">
      <c r="A520" s="1638"/>
      <c r="F520" s="1"/>
      <c r="G520" s="1"/>
      <c r="H520" s="1"/>
      <c r="I520" s="1"/>
      <c r="L520" s="326"/>
      <c r="M520" s="326"/>
    </row>
    <row r="521" spans="1:13" customFormat="1" ht="12.75">
      <c r="A521" s="1638"/>
      <c r="F521" s="1"/>
      <c r="G521" s="1"/>
      <c r="H521" s="1"/>
      <c r="I521" s="1"/>
      <c r="L521" s="326"/>
      <c r="M521" s="326"/>
    </row>
    <row r="522" spans="1:13" customFormat="1" ht="12.75">
      <c r="A522" s="1638"/>
      <c r="F522" s="1"/>
      <c r="G522" s="1"/>
      <c r="H522" s="1"/>
      <c r="I522" s="1"/>
      <c r="L522" s="326"/>
      <c r="M522" s="326"/>
    </row>
    <row r="523" spans="1:13" customFormat="1" ht="12.75">
      <c r="A523" s="1638"/>
      <c r="F523" s="1"/>
      <c r="G523" s="1"/>
      <c r="H523" s="1"/>
      <c r="I523" s="1"/>
      <c r="L523" s="326"/>
      <c r="M523" s="326"/>
    </row>
    <row r="524" spans="1:13" customFormat="1" ht="12.75">
      <c r="A524" s="1638"/>
      <c r="F524" s="1"/>
      <c r="G524" s="1"/>
      <c r="H524" s="1"/>
      <c r="I524" s="1"/>
      <c r="L524" s="326"/>
      <c r="M524" s="326"/>
    </row>
    <row r="525" spans="1:13" customFormat="1" ht="12.75">
      <c r="A525" s="1638"/>
      <c r="F525" s="1"/>
      <c r="G525" s="1"/>
      <c r="H525" s="1"/>
      <c r="I525" s="1"/>
      <c r="L525" s="326"/>
      <c r="M525" s="326"/>
    </row>
    <row r="526" spans="1:13" customFormat="1" ht="12.75">
      <c r="A526" s="1638"/>
      <c r="F526" s="1"/>
      <c r="G526" s="1"/>
      <c r="H526" s="1"/>
      <c r="I526" s="1"/>
      <c r="L526" s="326"/>
      <c r="M526" s="326"/>
    </row>
    <row r="527" spans="1:13" customFormat="1" ht="12.75">
      <c r="A527" s="1638"/>
      <c r="F527" s="1"/>
      <c r="G527" s="1"/>
      <c r="H527" s="1"/>
      <c r="I527" s="1"/>
      <c r="L527" s="326"/>
      <c r="M527" s="326"/>
    </row>
    <row r="528" spans="1:13" customFormat="1" ht="12.75">
      <c r="A528" s="1638"/>
      <c r="F528" s="1"/>
      <c r="G528" s="1"/>
      <c r="H528" s="1"/>
      <c r="I528" s="1"/>
      <c r="L528" s="326"/>
      <c r="M528" s="326"/>
    </row>
    <row r="529" spans="1:13" customFormat="1" ht="12.75">
      <c r="A529" s="1638"/>
      <c r="F529" s="1"/>
      <c r="G529" s="1"/>
      <c r="H529" s="1"/>
      <c r="I529" s="1"/>
      <c r="L529" s="326"/>
      <c r="M529" s="326"/>
    </row>
    <row r="530" spans="1:13" customFormat="1" ht="12.75">
      <c r="A530" s="1638"/>
      <c r="F530" s="1"/>
      <c r="G530" s="1"/>
      <c r="H530" s="1"/>
      <c r="I530" s="1"/>
      <c r="L530" s="326"/>
      <c r="M530" s="326"/>
    </row>
    <row r="531" spans="1:13" customFormat="1" ht="12.75">
      <c r="A531" s="1638"/>
      <c r="F531" s="1"/>
      <c r="G531" s="1"/>
      <c r="H531" s="1"/>
      <c r="I531" s="1"/>
      <c r="L531" s="326"/>
      <c r="M531" s="326"/>
    </row>
    <row r="532" spans="1:13" customFormat="1" ht="12.75">
      <c r="A532" s="1638"/>
      <c r="F532" s="1"/>
      <c r="G532" s="1"/>
      <c r="H532" s="1"/>
      <c r="I532" s="1"/>
      <c r="L532" s="326"/>
      <c r="M532" s="326"/>
    </row>
    <row r="533" spans="1:13" customFormat="1" ht="12.75">
      <c r="A533" s="1638"/>
      <c r="F533" s="1"/>
      <c r="G533" s="1"/>
      <c r="H533" s="1"/>
      <c r="I533" s="1"/>
      <c r="L533" s="326"/>
      <c r="M533" s="326"/>
    </row>
    <row r="534" spans="1:13" customFormat="1" ht="12.75">
      <c r="A534" s="1638"/>
      <c r="F534" s="1"/>
      <c r="G534" s="1"/>
      <c r="H534" s="1"/>
      <c r="I534" s="1"/>
      <c r="L534" s="326"/>
      <c r="M534" s="326"/>
    </row>
    <row r="535" spans="1:13" customFormat="1" ht="12.75">
      <c r="A535" s="1638"/>
      <c r="F535" s="1"/>
      <c r="G535" s="1"/>
      <c r="H535" s="1"/>
      <c r="I535" s="1"/>
      <c r="L535" s="326"/>
      <c r="M535" s="326"/>
    </row>
    <row r="536" spans="1:13" customFormat="1" ht="12.75">
      <c r="A536" s="1638"/>
      <c r="F536" s="1"/>
      <c r="G536" s="1"/>
      <c r="H536" s="1"/>
      <c r="I536" s="1"/>
      <c r="L536" s="326"/>
      <c r="M536" s="326"/>
    </row>
    <row r="537" spans="1:13" customFormat="1" ht="12.75">
      <c r="A537" s="1638"/>
      <c r="F537" s="1"/>
      <c r="G537" s="1"/>
      <c r="H537" s="1"/>
      <c r="I537" s="1"/>
      <c r="L537" s="326"/>
      <c r="M537" s="326"/>
    </row>
    <row r="538" spans="1:13" customFormat="1" ht="12.75">
      <c r="A538" s="1638"/>
      <c r="F538" s="1"/>
      <c r="G538" s="1"/>
      <c r="H538" s="1"/>
      <c r="I538" s="1"/>
      <c r="L538" s="326"/>
      <c r="M538" s="326"/>
    </row>
    <row r="539" spans="1:13" customFormat="1" ht="12.75">
      <c r="A539" s="1638"/>
      <c r="F539" s="1"/>
      <c r="G539" s="1"/>
      <c r="H539" s="1"/>
      <c r="I539" s="1"/>
      <c r="L539" s="326"/>
      <c r="M539" s="326"/>
    </row>
    <row r="540" spans="1:13" customFormat="1" ht="12.75">
      <c r="A540" s="1638"/>
      <c r="F540" s="1"/>
      <c r="G540" s="1"/>
      <c r="H540" s="1"/>
      <c r="I540" s="1"/>
      <c r="L540" s="326"/>
      <c r="M540" s="326"/>
    </row>
    <row r="541" spans="1:13" customFormat="1" ht="12.75">
      <c r="A541" s="1638"/>
      <c r="F541" s="1"/>
      <c r="G541" s="1"/>
      <c r="H541" s="1"/>
      <c r="I541" s="1"/>
      <c r="L541" s="326"/>
      <c r="M541" s="326"/>
    </row>
    <row r="542" spans="1:13" customFormat="1" ht="12.75">
      <c r="A542" s="1638"/>
      <c r="F542" s="1"/>
      <c r="G542" s="1"/>
      <c r="H542" s="1"/>
      <c r="I542" s="1"/>
      <c r="L542" s="326"/>
      <c r="M542" s="326"/>
    </row>
    <row r="543" spans="1:13" customFormat="1" ht="12.75">
      <c r="A543" s="1638"/>
      <c r="F543" s="1"/>
      <c r="G543" s="1"/>
      <c r="H543" s="1"/>
      <c r="I543" s="1"/>
      <c r="L543" s="326"/>
      <c r="M543" s="326"/>
    </row>
    <row r="544" spans="1:13" customFormat="1" ht="12.75">
      <c r="A544" s="1638"/>
      <c r="F544" s="1"/>
      <c r="G544" s="1"/>
      <c r="H544" s="1"/>
      <c r="I544" s="1"/>
      <c r="L544" s="326"/>
      <c r="M544" s="326"/>
    </row>
    <row r="545" spans="1:13" customFormat="1" ht="12.75">
      <c r="A545" s="1638"/>
      <c r="F545" s="1"/>
      <c r="G545" s="1"/>
      <c r="H545" s="1"/>
      <c r="I545" s="1"/>
      <c r="L545" s="326"/>
      <c r="M545" s="326"/>
    </row>
    <row r="546" spans="1:13" customFormat="1" ht="12.75">
      <c r="A546" s="1638"/>
      <c r="F546" s="1"/>
      <c r="G546" s="1"/>
      <c r="H546" s="1"/>
      <c r="I546" s="1"/>
      <c r="L546" s="326"/>
      <c r="M546" s="326"/>
    </row>
    <row r="547" spans="1:13" customFormat="1" ht="12.75">
      <c r="A547" s="1638"/>
      <c r="F547" s="1"/>
      <c r="G547" s="1"/>
      <c r="H547" s="1"/>
      <c r="I547" s="1"/>
      <c r="L547" s="326"/>
      <c r="M547" s="326"/>
    </row>
    <row r="548" spans="1:13" customFormat="1" ht="12.75">
      <c r="A548" s="1638"/>
      <c r="F548" s="1"/>
      <c r="G548" s="1"/>
      <c r="H548" s="1"/>
      <c r="I548" s="1"/>
      <c r="L548" s="326"/>
      <c r="M548" s="326"/>
    </row>
    <row r="549" spans="1:13" customFormat="1" ht="12.75">
      <c r="A549" s="1638"/>
      <c r="F549" s="1"/>
      <c r="G549" s="1"/>
      <c r="H549" s="1"/>
      <c r="I549" s="1"/>
      <c r="L549" s="326"/>
      <c r="M549" s="326"/>
    </row>
    <row r="550" spans="1:13" customFormat="1" ht="12.75">
      <c r="A550" s="1638"/>
      <c r="F550" s="1"/>
      <c r="G550" s="1"/>
      <c r="H550" s="1"/>
      <c r="I550" s="1"/>
      <c r="L550" s="326"/>
      <c r="M550" s="326"/>
    </row>
    <row r="551" spans="1:13" customFormat="1" ht="12.75">
      <c r="A551" s="1638"/>
      <c r="F551" s="1"/>
      <c r="G551" s="1"/>
      <c r="H551" s="1"/>
      <c r="I551" s="1"/>
      <c r="L551" s="326"/>
      <c r="M551" s="326"/>
    </row>
    <row r="552" spans="1:13" customFormat="1" ht="12.75">
      <c r="A552" s="1638"/>
      <c r="F552" s="1"/>
      <c r="G552" s="1"/>
      <c r="H552" s="1"/>
      <c r="I552" s="1"/>
      <c r="L552" s="326"/>
      <c r="M552" s="326"/>
    </row>
    <row r="553" spans="1:13" customFormat="1" ht="12.75">
      <c r="A553" s="1638"/>
      <c r="F553" s="1"/>
      <c r="G553" s="1"/>
      <c r="H553" s="1"/>
      <c r="I553" s="1"/>
      <c r="L553" s="326"/>
      <c r="M553" s="326"/>
    </row>
    <row r="554" spans="1:13" customFormat="1" ht="12.75">
      <c r="A554" s="1638"/>
      <c r="F554" s="1"/>
      <c r="G554" s="1"/>
      <c r="H554" s="1"/>
      <c r="I554" s="1"/>
      <c r="L554" s="326"/>
      <c r="M554" s="326"/>
    </row>
    <row r="555" spans="1:13" customFormat="1" ht="12.75">
      <c r="A555" s="1638"/>
      <c r="F555" s="1"/>
      <c r="G555" s="1"/>
      <c r="H555" s="1"/>
      <c r="I555" s="1"/>
      <c r="L555" s="326"/>
      <c r="M555" s="326"/>
    </row>
    <row r="556" spans="1:13" customFormat="1" ht="12.75">
      <c r="A556" s="1638"/>
      <c r="F556" s="1"/>
      <c r="G556" s="1"/>
      <c r="H556" s="1"/>
      <c r="I556" s="1"/>
      <c r="L556" s="326"/>
      <c r="M556" s="326"/>
    </row>
    <row r="557" spans="1:13" customFormat="1" ht="12.75">
      <c r="A557" s="1638"/>
      <c r="F557" s="1"/>
      <c r="G557" s="1"/>
      <c r="H557" s="1"/>
      <c r="I557" s="1"/>
      <c r="L557" s="326"/>
      <c r="M557" s="326"/>
    </row>
    <row r="558" spans="1:13" customFormat="1" ht="12.75">
      <c r="A558" s="1638"/>
      <c r="F558" s="1"/>
      <c r="G558" s="1"/>
      <c r="H558" s="1"/>
      <c r="I558" s="1"/>
      <c r="L558" s="326"/>
      <c r="M558" s="326"/>
    </row>
    <row r="559" spans="1:13" customFormat="1" ht="12.75">
      <c r="A559" s="1638"/>
      <c r="F559" s="1"/>
      <c r="G559" s="1"/>
      <c r="H559" s="1"/>
      <c r="I559" s="1"/>
      <c r="L559" s="326"/>
      <c r="M559" s="326"/>
    </row>
    <row r="560" spans="1:13" customFormat="1" ht="12.75">
      <c r="A560" s="1638"/>
      <c r="F560" s="1"/>
      <c r="G560" s="1"/>
      <c r="H560" s="1"/>
      <c r="I560" s="1"/>
      <c r="L560" s="326"/>
      <c r="M560" s="326"/>
    </row>
    <row r="561" spans="1:13" customFormat="1" ht="12.75">
      <c r="A561" s="1638"/>
      <c r="F561" s="1"/>
      <c r="G561" s="1"/>
      <c r="H561" s="1"/>
      <c r="I561" s="1"/>
      <c r="L561" s="326"/>
      <c r="M561" s="326"/>
    </row>
    <row r="562" spans="1:13" customFormat="1" ht="12.75">
      <c r="A562" s="1638"/>
      <c r="F562" s="1"/>
      <c r="G562" s="1"/>
      <c r="H562" s="1"/>
      <c r="I562" s="1"/>
      <c r="L562" s="326"/>
      <c r="M562" s="326"/>
    </row>
    <row r="563" spans="1:13" customFormat="1" ht="12.75">
      <c r="A563" s="1638"/>
      <c r="F563" s="1"/>
      <c r="G563" s="1"/>
      <c r="H563" s="1"/>
      <c r="I563" s="1"/>
      <c r="L563" s="326"/>
      <c r="M563" s="326"/>
    </row>
    <row r="564" spans="1:13" customFormat="1" ht="12.75">
      <c r="A564" s="1638"/>
      <c r="F564" s="1"/>
      <c r="G564" s="1"/>
      <c r="H564" s="1"/>
      <c r="I564" s="1"/>
      <c r="L564" s="326"/>
      <c r="M564" s="326"/>
    </row>
    <row r="565" spans="1:13" customFormat="1" ht="12.75">
      <c r="A565" s="1638"/>
      <c r="F565" s="1"/>
      <c r="G565" s="1"/>
      <c r="H565" s="1"/>
      <c r="I565" s="1"/>
      <c r="L565" s="326"/>
      <c r="M565" s="326"/>
    </row>
    <row r="566" spans="1:13" customFormat="1" ht="12.75">
      <c r="A566" s="1638"/>
      <c r="F566" s="1"/>
      <c r="G566" s="1"/>
      <c r="H566" s="1"/>
      <c r="I566" s="1"/>
      <c r="L566" s="326"/>
      <c r="M566" s="326"/>
    </row>
    <row r="567" spans="1:13" customFormat="1" ht="12.75">
      <c r="A567" s="1638"/>
      <c r="F567" s="1"/>
      <c r="G567" s="1"/>
      <c r="H567" s="1"/>
      <c r="I567" s="1"/>
      <c r="L567" s="326"/>
      <c r="M567" s="326"/>
    </row>
    <row r="568" spans="1:13" customFormat="1" ht="12.75">
      <c r="A568" s="1638"/>
      <c r="F568" s="1"/>
      <c r="G568" s="1"/>
      <c r="H568" s="1"/>
      <c r="I568" s="1"/>
      <c r="L568" s="326"/>
      <c r="M568" s="326"/>
    </row>
    <row r="569" spans="1:13" customFormat="1" ht="12.75">
      <c r="A569" s="1638"/>
      <c r="F569" s="1"/>
      <c r="G569" s="1"/>
      <c r="H569" s="1"/>
      <c r="I569" s="1"/>
      <c r="L569" s="326"/>
      <c r="M569" s="326"/>
    </row>
    <row r="570" spans="1:13" customFormat="1" ht="12.75">
      <c r="A570" s="1638"/>
      <c r="F570" s="1"/>
      <c r="G570" s="1"/>
      <c r="H570" s="1"/>
      <c r="I570" s="1"/>
      <c r="L570" s="326"/>
      <c r="M570" s="326"/>
    </row>
    <row r="571" spans="1:13" customFormat="1" ht="12.75">
      <c r="A571" s="1638"/>
      <c r="F571" s="1"/>
      <c r="G571" s="1"/>
      <c r="H571" s="1"/>
      <c r="I571" s="1"/>
      <c r="L571" s="326"/>
      <c r="M571" s="326"/>
    </row>
    <row r="572" spans="1:13" customFormat="1" ht="12.75">
      <c r="A572" s="1638"/>
      <c r="F572" s="1"/>
      <c r="G572" s="1"/>
      <c r="H572" s="1"/>
      <c r="I572" s="1"/>
      <c r="L572" s="326"/>
      <c r="M572" s="326"/>
    </row>
    <row r="573" spans="1:13" customFormat="1" ht="12.75">
      <c r="A573" s="1638"/>
      <c r="F573" s="1"/>
      <c r="G573" s="1"/>
      <c r="H573" s="1"/>
      <c r="I573" s="1"/>
      <c r="L573" s="326"/>
      <c r="M573" s="326"/>
    </row>
    <row r="574" spans="1:13" customFormat="1" ht="12.75">
      <c r="A574" s="1638"/>
      <c r="F574" s="1"/>
      <c r="G574" s="1"/>
      <c r="H574" s="1"/>
      <c r="I574" s="1"/>
      <c r="L574" s="326"/>
      <c r="M574" s="326"/>
    </row>
    <row r="575" spans="1:13" customFormat="1" ht="12.75">
      <c r="A575" s="1638"/>
      <c r="F575" s="1"/>
      <c r="G575" s="1"/>
      <c r="H575" s="1"/>
      <c r="I575" s="1"/>
      <c r="L575" s="326"/>
      <c r="M575" s="326"/>
    </row>
    <row r="576" spans="1:13" customFormat="1" ht="12.75">
      <c r="A576" s="1638"/>
      <c r="F576" s="1"/>
      <c r="G576" s="1"/>
      <c r="H576" s="1"/>
      <c r="I576" s="1"/>
      <c r="L576" s="326"/>
      <c r="M576" s="326"/>
    </row>
    <row r="577" spans="1:13" customFormat="1" ht="12.75">
      <c r="A577" s="1638"/>
      <c r="F577" s="1"/>
      <c r="G577" s="1"/>
      <c r="H577" s="1"/>
      <c r="I577" s="1"/>
      <c r="L577" s="326"/>
      <c r="M577" s="326"/>
    </row>
    <row r="578" spans="1:13" customFormat="1" ht="12.75">
      <c r="A578" s="1638"/>
      <c r="F578" s="1"/>
      <c r="G578" s="1"/>
      <c r="H578" s="1"/>
      <c r="I578" s="1"/>
      <c r="L578" s="326"/>
      <c r="M578" s="326"/>
    </row>
    <row r="579" spans="1:13" customFormat="1" ht="12.75">
      <c r="A579" s="1638"/>
      <c r="F579" s="1"/>
      <c r="G579" s="1"/>
      <c r="H579" s="1"/>
      <c r="I579" s="1"/>
      <c r="L579" s="326"/>
      <c r="M579" s="326"/>
    </row>
    <row r="580" spans="1:13" customFormat="1" ht="12.75">
      <c r="A580" s="1638"/>
      <c r="F580" s="1"/>
      <c r="G580" s="1"/>
      <c r="H580" s="1"/>
      <c r="I580" s="1"/>
      <c r="L580" s="326"/>
      <c r="M580" s="326"/>
    </row>
    <row r="581" spans="1:13" customFormat="1" ht="12.75">
      <c r="A581" s="1638"/>
      <c r="F581" s="1"/>
      <c r="G581" s="1"/>
      <c r="H581" s="1"/>
      <c r="I581" s="1"/>
      <c r="L581" s="326"/>
      <c r="M581" s="326"/>
    </row>
    <row r="582" spans="1:13" customFormat="1" ht="12.75">
      <c r="A582" s="1638"/>
      <c r="F582" s="1"/>
      <c r="G582" s="1"/>
      <c r="H582" s="1"/>
      <c r="I582" s="1"/>
      <c r="L582" s="326"/>
      <c r="M582" s="326"/>
    </row>
    <row r="583" spans="1:13" customFormat="1" ht="12.75">
      <c r="A583" s="1638"/>
      <c r="F583" s="1"/>
      <c r="G583" s="1"/>
      <c r="H583" s="1"/>
      <c r="I583" s="1"/>
      <c r="L583" s="326"/>
      <c r="M583" s="326"/>
    </row>
    <row r="584" spans="1:13" customFormat="1" ht="12.75">
      <c r="A584" s="1638"/>
      <c r="F584" s="1"/>
      <c r="G584" s="1"/>
      <c r="H584" s="1"/>
      <c r="I584" s="1"/>
      <c r="L584" s="326"/>
      <c r="M584" s="326"/>
    </row>
    <row r="585" spans="1:13" customFormat="1" ht="12.75">
      <c r="A585" s="1638"/>
      <c r="F585" s="1"/>
      <c r="G585" s="1"/>
      <c r="H585" s="1"/>
      <c r="I585" s="1"/>
      <c r="L585" s="326"/>
      <c r="M585" s="326"/>
    </row>
    <row r="586" spans="1:13" customFormat="1" ht="12.75">
      <c r="A586" s="1638"/>
      <c r="F586" s="1"/>
      <c r="G586" s="1"/>
      <c r="H586" s="1"/>
      <c r="I586" s="1"/>
      <c r="L586" s="326"/>
      <c r="M586" s="326"/>
    </row>
    <row r="587" spans="1:13" customFormat="1" ht="12.75">
      <c r="A587" s="1638"/>
      <c r="F587" s="1"/>
      <c r="G587" s="1"/>
      <c r="H587" s="1"/>
      <c r="I587" s="1"/>
      <c r="L587" s="326"/>
      <c r="M587" s="326"/>
    </row>
    <row r="588" spans="1:13" customFormat="1" ht="12.75">
      <c r="A588" s="1638"/>
      <c r="F588" s="1"/>
      <c r="G588" s="1"/>
      <c r="H588" s="1"/>
      <c r="I588" s="1"/>
      <c r="L588" s="326"/>
      <c r="M588" s="326"/>
    </row>
    <row r="589" spans="1:13" customFormat="1" ht="12.75">
      <c r="A589" s="1638"/>
      <c r="F589" s="1"/>
      <c r="G589" s="1"/>
      <c r="H589" s="1"/>
      <c r="I589" s="1"/>
      <c r="L589" s="326"/>
      <c r="M589" s="326"/>
    </row>
    <row r="590" spans="1:13" customFormat="1" ht="12.75">
      <c r="A590" s="1638"/>
      <c r="F590" s="1"/>
      <c r="G590" s="1"/>
      <c r="H590" s="1"/>
      <c r="I590" s="1"/>
      <c r="L590" s="326"/>
      <c r="M590" s="326"/>
    </row>
    <row r="591" spans="1:13" customFormat="1" ht="12.75">
      <c r="A591" s="1638"/>
      <c r="F591" s="1"/>
      <c r="G591" s="1"/>
      <c r="H591" s="1"/>
      <c r="I591" s="1"/>
      <c r="L591" s="326"/>
      <c r="M591" s="326"/>
    </row>
    <row r="592" spans="1:13" customFormat="1" ht="12.75">
      <c r="A592" s="1638"/>
      <c r="F592" s="1"/>
      <c r="G592" s="1"/>
      <c r="H592" s="1"/>
      <c r="I592" s="1"/>
      <c r="L592" s="326"/>
      <c r="M592" s="326"/>
    </row>
    <row r="593" spans="1:13" customFormat="1" ht="12.75">
      <c r="A593" s="1638"/>
      <c r="F593" s="1"/>
      <c r="G593" s="1"/>
      <c r="H593" s="1"/>
      <c r="I593" s="1"/>
      <c r="L593" s="326"/>
      <c r="M593" s="326"/>
    </row>
    <row r="594" spans="1:13" customFormat="1" ht="12.75">
      <c r="A594" s="1638"/>
      <c r="F594" s="1"/>
      <c r="G594" s="1"/>
      <c r="H594" s="1"/>
      <c r="I594" s="1"/>
      <c r="L594" s="326"/>
      <c r="M594" s="326"/>
    </row>
    <row r="595" spans="1:13" customFormat="1" ht="12.75">
      <c r="A595" s="1638"/>
      <c r="F595" s="1"/>
      <c r="G595" s="1"/>
      <c r="H595" s="1"/>
      <c r="I595" s="1"/>
      <c r="L595" s="326"/>
      <c r="M595" s="326"/>
    </row>
    <row r="596" spans="1:13" customFormat="1" ht="12.75">
      <c r="A596" s="1638"/>
      <c r="F596" s="1"/>
      <c r="G596" s="1"/>
      <c r="H596" s="1"/>
      <c r="I596" s="1"/>
      <c r="L596" s="326"/>
      <c r="M596" s="326"/>
    </row>
    <row r="597" spans="1:13" customFormat="1" ht="12.75">
      <c r="A597" s="1638"/>
      <c r="F597" s="1"/>
      <c r="G597" s="1"/>
      <c r="H597" s="1"/>
      <c r="I597" s="1"/>
      <c r="L597" s="326"/>
      <c r="M597" s="326"/>
    </row>
    <row r="598" spans="1:13" customFormat="1" ht="12.75">
      <c r="A598" s="1638"/>
      <c r="F598" s="1"/>
      <c r="G598" s="1"/>
      <c r="H598" s="1"/>
      <c r="I598" s="1"/>
      <c r="L598" s="326"/>
      <c r="M598" s="326"/>
    </row>
    <row r="599" spans="1:13" customFormat="1" ht="12.75">
      <c r="A599" s="1638"/>
      <c r="F599" s="1"/>
      <c r="G599" s="1"/>
      <c r="H599" s="1"/>
      <c r="I599" s="1"/>
      <c r="L599" s="326"/>
      <c r="M599" s="326"/>
    </row>
    <row r="600" spans="1:13" customFormat="1" ht="12.75">
      <c r="A600" s="1638"/>
      <c r="F600" s="1"/>
      <c r="G600" s="1"/>
      <c r="H600" s="1"/>
      <c r="I600" s="1"/>
      <c r="L600" s="326"/>
      <c r="M600" s="326"/>
    </row>
    <row r="601" spans="1:13" customFormat="1" ht="12.75">
      <c r="A601" s="1638"/>
      <c r="F601" s="1"/>
      <c r="G601" s="1"/>
      <c r="H601" s="1"/>
      <c r="I601" s="1"/>
      <c r="L601" s="326"/>
      <c r="M601" s="326"/>
    </row>
    <row r="602" spans="1:13" customFormat="1" ht="12.75">
      <c r="A602" s="1638"/>
      <c r="F602" s="1"/>
      <c r="G602" s="1"/>
      <c r="H602" s="1"/>
      <c r="I602" s="1"/>
      <c r="L602" s="326"/>
      <c r="M602" s="326"/>
    </row>
    <row r="603" spans="1:13" customFormat="1" ht="12.75">
      <c r="A603" s="1638"/>
      <c r="F603" s="1"/>
      <c r="G603" s="1"/>
      <c r="H603" s="1"/>
      <c r="I603" s="1"/>
      <c r="L603" s="326"/>
      <c r="M603" s="326"/>
    </row>
    <row r="604" spans="1:13" customFormat="1" ht="12.75">
      <c r="A604" s="1638"/>
      <c r="F604" s="1"/>
      <c r="G604" s="1"/>
      <c r="H604" s="1"/>
      <c r="I604" s="1"/>
      <c r="L604" s="326"/>
      <c r="M604" s="326"/>
    </row>
    <row r="605" spans="1:13" customFormat="1" ht="12.75">
      <c r="A605" s="1638"/>
      <c r="F605" s="1"/>
      <c r="G605" s="1"/>
      <c r="H605" s="1"/>
      <c r="I605" s="1"/>
      <c r="L605" s="326"/>
      <c r="M605" s="326"/>
    </row>
    <row r="606" spans="1:13" customFormat="1" ht="12.75">
      <c r="A606" s="1638"/>
      <c r="F606" s="1"/>
      <c r="G606" s="1"/>
      <c r="H606" s="1"/>
      <c r="I606" s="1"/>
      <c r="L606" s="326"/>
      <c r="M606" s="326"/>
    </row>
    <row r="607" spans="1:13" customFormat="1" ht="12.75">
      <c r="A607" s="1638"/>
      <c r="F607" s="1"/>
      <c r="G607" s="1"/>
      <c r="H607" s="1"/>
      <c r="I607" s="1"/>
      <c r="L607" s="326"/>
      <c r="M607" s="326"/>
    </row>
    <row r="608" spans="1:13" customFormat="1" ht="12.75">
      <c r="A608" s="1638"/>
      <c r="F608" s="1"/>
      <c r="G608" s="1"/>
      <c r="H608" s="1"/>
      <c r="I608" s="1"/>
      <c r="L608" s="326"/>
      <c r="M608" s="326"/>
    </row>
    <row r="609" spans="1:13" customFormat="1" ht="12.75">
      <c r="A609" s="1638"/>
      <c r="F609" s="1"/>
      <c r="G609" s="1"/>
      <c r="H609" s="1"/>
      <c r="I609" s="1"/>
      <c r="L609" s="326"/>
      <c r="M609" s="326"/>
    </row>
    <row r="610" spans="1:13" customFormat="1" ht="12.75">
      <c r="A610" s="1638"/>
      <c r="F610" s="1"/>
      <c r="G610" s="1"/>
      <c r="H610" s="1"/>
      <c r="I610" s="1"/>
      <c r="L610" s="326"/>
      <c r="M610" s="326"/>
    </row>
    <row r="611" spans="1:13" customFormat="1" ht="12.75">
      <c r="A611" s="1638"/>
      <c r="F611" s="1"/>
      <c r="G611" s="1"/>
      <c r="H611" s="1"/>
      <c r="I611" s="1"/>
      <c r="L611" s="326"/>
      <c r="M611" s="326"/>
    </row>
    <row r="612" spans="1:13" customFormat="1" ht="12.75">
      <c r="A612" s="1638"/>
      <c r="F612" s="1"/>
      <c r="G612" s="1"/>
      <c r="H612" s="1"/>
      <c r="I612" s="1"/>
      <c r="L612" s="326"/>
      <c r="M612" s="326"/>
    </row>
    <row r="613" spans="1:13" customFormat="1" ht="12.75">
      <c r="A613" s="1638"/>
      <c r="F613" s="1"/>
      <c r="G613" s="1"/>
      <c r="H613" s="1"/>
      <c r="I613" s="1"/>
      <c r="L613" s="326"/>
      <c r="M613" s="326"/>
    </row>
    <row r="614" spans="1:13" customFormat="1" ht="12.75">
      <c r="A614" s="1638"/>
      <c r="F614" s="1"/>
      <c r="G614" s="1"/>
      <c r="H614" s="1"/>
      <c r="I614" s="1"/>
      <c r="L614" s="326"/>
      <c r="M614" s="326"/>
    </row>
    <row r="615" spans="1:13" customFormat="1" ht="12.75">
      <c r="A615" s="1638"/>
      <c r="F615" s="1"/>
      <c r="G615" s="1"/>
      <c r="H615" s="1"/>
      <c r="I615" s="1"/>
      <c r="L615" s="326"/>
      <c r="M615" s="326"/>
    </row>
    <row r="616" spans="1:13" customFormat="1" ht="12.75">
      <c r="A616" s="1638"/>
      <c r="F616" s="1"/>
      <c r="G616" s="1"/>
      <c r="H616" s="1"/>
      <c r="I616" s="1"/>
      <c r="L616" s="326"/>
      <c r="M616" s="326"/>
    </row>
    <row r="617" spans="1:13" customFormat="1" ht="12.75">
      <c r="A617" s="1638"/>
      <c r="F617" s="1"/>
      <c r="G617" s="1"/>
      <c r="H617" s="1"/>
      <c r="I617" s="1"/>
      <c r="L617" s="326"/>
      <c r="M617" s="326"/>
    </row>
    <row r="618" spans="1:13" customFormat="1" ht="12.75">
      <c r="A618" s="1638"/>
      <c r="F618" s="1"/>
      <c r="G618" s="1"/>
      <c r="H618" s="1"/>
      <c r="I618" s="1"/>
      <c r="L618" s="326"/>
      <c r="M618" s="326"/>
    </row>
    <row r="619" spans="1:13" customFormat="1" ht="12.75">
      <c r="A619" s="1638"/>
      <c r="F619" s="1"/>
      <c r="G619" s="1"/>
      <c r="H619" s="1"/>
      <c r="I619" s="1"/>
      <c r="L619" s="326"/>
      <c r="M619" s="326"/>
    </row>
    <row r="620" spans="1:13" customFormat="1" ht="12.75">
      <c r="A620" s="1638"/>
      <c r="F620" s="1"/>
      <c r="G620" s="1"/>
      <c r="H620" s="1"/>
      <c r="I620" s="1"/>
      <c r="L620" s="326"/>
      <c r="M620" s="326"/>
    </row>
    <row r="621" spans="1:13" customFormat="1" ht="12.75">
      <c r="A621" s="1638"/>
      <c r="F621" s="1"/>
      <c r="G621" s="1"/>
      <c r="H621" s="1"/>
      <c r="I621" s="1"/>
      <c r="L621" s="326"/>
      <c r="M621" s="326"/>
    </row>
    <row r="622" spans="1:13" customFormat="1" ht="12.75">
      <c r="A622" s="1638"/>
      <c r="F622" s="1"/>
      <c r="G622" s="1"/>
      <c r="H622" s="1"/>
      <c r="I622" s="1"/>
      <c r="L622" s="326"/>
      <c r="M622" s="326"/>
    </row>
    <row r="623" spans="1:13" customFormat="1" ht="12.75">
      <c r="A623" s="1638"/>
      <c r="F623" s="1"/>
      <c r="G623" s="1"/>
      <c r="H623" s="1"/>
      <c r="I623" s="1"/>
      <c r="L623" s="326"/>
      <c r="M623" s="326"/>
    </row>
    <row r="624" spans="1:13" customFormat="1" ht="12.75">
      <c r="A624" s="1638"/>
      <c r="F624" s="1"/>
      <c r="G624" s="1"/>
      <c r="H624" s="1"/>
      <c r="I624" s="1"/>
      <c r="L624" s="326"/>
      <c r="M624" s="326"/>
    </row>
    <row r="625" spans="1:13" customFormat="1" ht="12.75">
      <c r="A625" s="1638"/>
      <c r="F625" s="1"/>
      <c r="G625" s="1"/>
      <c r="H625" s="1"/>
      <c r="I625" s="1"/>
      <c r="L625" s="326"/>
      <c r="M625" s="326"/>
    </row>
    <row r="626" spans="1:13" customFormat="1" ht="12.75">
      <c r="A626" s="1638"/>
      <c r="F626" s="1"/>
      <c r="G626" s="1"/>
      <c r="H626" s="1"/>
      <c r="I626" s="1"/>
      <c r="L626" s="326"/>
      <c r="M626" s="326"/>
    </row>
    <row r="627" spans="1:13" customFormat="1" ht="12.75">
      <c r="A627" s="1638"/>
      <c r="F627" s="1"/>
      <c r="G627" s="1"/>
      <c r="H627" s="1"/>
      <c r="I627" s="1"/>
      <c r="L627" s="326"/>
      <c r="M627" s="326"/>
    </row>
    <row r="628" spans="1:13" customFormat="1" ht="12.75">
      <c r="A628" s="1638"/>
      <c r="F628" s="1"/>
      <c r="G628" s="1"/>
      <c r="H628" s="1"/>
      <c r="I628" s="1"/>
      <c r="L628" s="326"/>
      <c r="M628" s="326"/>
    </row>
    <row r="629" spans="1:13" customFormat="1" ht="12.75">
      <c r="A629" s="1638"/>
      <c r="F629" s="1"/>
      <c r="G629" s="1"/>
      <c r="H629" s="1"/>
      <c r="I629" s="1"/>
      <c r="L629" s="326"/>
      <c r="M629" s="326"/>
    </row>
    <row r="630" spans="1:13" customFormat="1" ht="12.75">
      <c r="A630" s="1638"/>
      <c r="F630" s="1"/>
      <c r="G630" s="1"/>
      <c r="H630" s="1"/>
      <c r="I630" s="1"/>
      <c r="L630" s="326"/>
      <c r="M630" s="326"/>
    </row>
    <row r="631" spans="1:13" customFormat="1" ht="12.75">
      <c r="A631" s="1638"/>
      <c r="F631" s="1"/>
      <c r="G631" s="1"/>
      <c r="H631" s="1"/>
      <c r="I631" s="1"/>
      <c r="L631" s="326"/>
      <c r="M631" s="326"/>
    </row>
    <row r="632" spans="1:13" customFormat="1" ht="12.75">
      <c r="A632" s="1638"/>
      <c r="F632" s="1"/>
      <c r="G632" s="1"/>
      <c r="H632" s="1"/>
      <c r="I632" s="1"/>
      <c r="L632" s="326"/>
      <c r="M632" s="326"/>
    </row>
    <row r="633" spans="1:13" customFormat="1" ht="12.75">
      <c r="A633" s="1638"/>
      <c r="F633" s="1"/>
      <c r="G633" s="1"/>
      <c r="H633" s="1"/>
      <c r="I633" s="1"/>
      <c r="L633" s="326"/>
      <c r="M633" s="326"/>
    </row>
    <row r="634" spans="1:13" customFormat="1" ht="12.75">
      <c r="A634" s="1638"/>
      <c r="F634" s="1"/>
      <c r="G634" s="1"/>
      <c r="H634" s="1"/>
      <c r="I634" s="1"/>
      <c r="L634" s="326"/>
      <c r="M634" s="326"/>
    </row>
    <row r="635" spans="1:13" customFormat="1" ht="12.75">
      <c r="A635" s="1638"/>
      <c r="F635" s="1"/>
      <c r="G635" s="1"/>
      <c r="H635" s="1"/>
      <c r="I635" s="1"/>
      <c r="L635" s="326"/>
      <c r="M635" s="326"/>
    </row>
    <row r="636" spans="1:13" customFormat="1" ht="12.75">
      <c r="A636" s="1638"/>
      <c r="F636" s="1"/>
      <c r="G636" s="1"/>
      <c r="H636" s="1"/>
      <c r="I636" s="1"/>
      <c r="L636" s="326"/>
      <c r="M636" s="326"/>
    </row>
    <row r="637" spans="1:13" customFormat="1" ht="12.75">
      <c r="A637" s="1638"/>
      <c r="F637" s="1"/>
      <c r="G637" s="1"/>
      <c r="H637" s="1"/>
      <c r="I637" s="1"/>
      <c r="L637" s="326"/>
      <c r="M637" s="326"/>
    </row>
    <row r="638" spans="1:13" customFormat="1" ht="12.75">
      <c r="A638" s="1638"/>
      <c r="F638" s="1"/>
      <c r="G638" s="1"/>
      <c r="H638" s="1"/>
      <c r="I638" s="1"/>
      <c r="L638" s="326"/>
      <c r="M638" s="326"/>
    </row>
    <row r="639" spans="1:13" customFormat="1" ht="12.75">
      <c r="A639" s="1638"/>
      <c r="F639" s="1"/>
      <c r="G639" s="1"/>
      <c r="H639" s="1"/>
      <c r="I639" s="1"/>
      <c r="L639" s="326"/>
      <c r="M639" s="326"/>
    </row>
    <row r="640" spans="1:13" customFormat="1" ht="12.75">
      <c r="A640" s="1638"/>
      <c r="F640" s="1"/>
      <c r="G640" s="1"/>
      <c r="H640" s="1"/>
      <c r="I640" s="1"/>
      <c r="L640" s="326"/>
      <c r="M640" s="326"/>
    </row>
    <row r="641" spans="1:13" customFormat="1" ht="12.75">
      <c r="A641" s="1638"/>
      <c r="F641" s="1"/>
      <c r="G641" s="1"/>
      <c r="H641" s="1"/>
      <c r="I641" s="1"/>
      <c r="L641" s="326"/>
      <c r="M641" s="326"/>
    </row>
    <row r="642" spans="1:13" customFormat="1" ht="12.75">
      <c r="A642" s="1638"/>
      <c r="F642" s="1"/>
      <c r="G642" s="1"/>
      <c r="H642" s="1"/>
      <c r="I642" s="1"/>
      <c r="L642" s="326"/>
      <c r="M642" s="326"/>
    </row>
    <row r="643" spans="1:13" customFormat="1" ht="12.75">
      <c r="A643" s="1638"/>
      <c r="F643" s="1"/>
      <c r="G643" s="1"/>
      <c r="H643" s="1"/>
      <c r="I643" s="1"/>
      <c r="L643" s="326"/>
      <c r="M643" s="326"/>
    </row>
    <row r="644" spans="1:13" customFormat="1" ht="12.75">
      <c r="A644" s="1638"/>
      <c r="F644" s="1"/>
      <c r="G644" s="1"/>
      <c r="H644" s="1"/>
      <c r="I644" s="1"/>
      <c r="L644" s="326"/>
      <c r="M644" s="326"/>
    </row>
    <row r="645" spans="1:13" customFormat="1" ht="12.75">
      <c r="A645" s="1638"/>
      <c r="F645" s="1"/>
      <c r="G645" s="1"/>
      <c r="H645" s="1"/>
      <c r="I645" s="1"/>
      <c r="L645" s="326"/>
      <c r="M645" s="326"/>
    </row>
    <row r="646" spans="1:13" customFormat="1" ht="12.75">
      <c r="A646" s="1638"/>
      <c r="F646" s="1"/>
      <c r="G646" s="1"/>
      <c r="H646" s="1"/>
      <c r="I646" s="1"/>
      <c r="L646" s="326"/>
      <c r="M646" s="326"/>
    </row>
    <row r="647" spans="1:13" customFormat="1" ht="12.75">
      <c r="A647" s="1638"/>
      <c r="F647" s="1"/>
      <c r="G647" s="1"/>
      <c r="H647" s="1"/>
      <c r="I647" s="1"/>
      <c r="L647" s="326"/>
      <c r="M647" s="326"/>
    </row>
    <row r="648" spans="1:13" customFormat="1" ht="12.75">
      <c r="A648" s="1638"/>
      <c r="F648" s="1"/>
      <c r="G648" s="1"/>
      <c r="H648" s="1"/>
      <c r="I648" s="1"/>
      <c r="L648" s="326"/>
      <c r="M648" s="326"/>
    </row>
    <row r="649" spans="1:13" customFormat="1" ht="12.75">
      <c r="A649" s="1638"/>
      <c r="F649" s="1"/>
      <c r="G649" s="1"/>
      <c r="H649" s="1"/>
      <c r="I649" s="1"/>
      <c r="L649" s="326"/>
      <c r="M649" s="326"/>
    </row>
    <row r="650" spans="1:13" customFormat="1" ht="12.75">
      <c r="A650" s="1638"/>
      <c r="F650" s="1"/>
      <c r="G650" s="1"/>
      <c r="H650" s="1"/>
      <c r="I650" s="1"/>
      <c r="L650" s="326"/>
      <c r="M650" s="326"/>
    </row>
    <row r="651" spans="1:13" customFormat="1" ht="12.75">
      <c r="A651" s="1638"/>
      <c r="F651" s="1"/>
      <c r="G651" s="1"/>
      <c r="H651" s="1"/>
      <c r="I651" s="1"/>
      <c r="L651" s="326"/>
      <c r="M651" s="326"/>
    </row>
    <row r="652" spans="1:13" customFormat="1" ht="12.75">
      <c r="A652" s="1638"/>
      <c r="F652" s="1"/>
      <c r="G652" s="1"/>
      <c r="H652" s="1"/>
      <c r="I652" s="1"/>
      <c r="L652" s="326"/>
      <c r="M652" s="326"/>
    </row>
    <row r="653" spans="1:13" customFormat="1" ht="12.75">
      <c r="A653" s="1638"/>
      <c r="F653" s="1"/>
      <c r="G653" s="1"/>
      <c r="H653" s="1"/>
      <c r="I653" s="1"/>
      <c r="L653" s="326"/>
      <c r="M653" s="326"/>
    </row>
    <row r="654" spans="1:13" customFormat="1" ht="12.75">
      <c r="A654" s="1638"/>
      <c r="F654" s="1"/>
      <c r="G654" s="1"/>
      <c r="H654" s="1"/>
      <c r="I654" s="1"/>
      <c r="L654" s="326"/>
      <c r="M654" s="326"/>
    </row>
    <row r="655" spans="1:13" customFormat="1" ht="12.75">
      <c r="A655" s="1638"/>
      <c r="F655" s="1"/>
      <c r="G655" s="1"/>
      <c r="H655" s="1"/>
      <c r="I655" s="1"/>
      <c r="L655" s="326"/>
      <c r="M655" s="326"/>
    </row>
    <row r="656" spans="1:13" customFormat="1" ht="12.75">
      <c r="A656" s="1638"/>
      <c r="F656" s="1"/>
      <c r="G656" s="1"/>
      <c r="H656" s="1"/>
      <c r="I656" s="1"/>
      <c r="L656" s="326"/>
      <c r="M656" s="326"/>
    </row>
    <row r="657" spans="1:13" customFormat="1" ht="12.75">
      <c r="A657" s="1638"/>
      <c r="F657" s="1"/>
      <c r="G657" s="1"/>
      <c r="H657" s="1"/>
      <c r="I657" s="1"/>
      <c r="L657" s="326"/>
      <c r="M657" s="326"/>
    </row>
    <row r="658" spans="1:13" customFormat="1" ht="12.75">
      <c r="A658" s="1638"/>
      <c r="F658" s="1"/>
      <c r="G658" s="1"/>
      <c r="H658" s="1"/>
      <c r="I658" s="1"/>
      <c r="L658" s="326"/>
      <c r="M658" s="326"/>
    </row>
    <row r="659" spans="1:13" customFormat="1" ht="12.75">
      <c r="A659" s="1638"/>
      <c r="F659" s="1"/>
      <c r="G659" s="1"/>
      <c r="H659" s="1"/>
      <c r="I659" s="1"/>
      <c r="L659" s="326"/>
      <c r="M659" s="326"/>
    </row>
    <row r="660" spans="1:13" customFormat="1" ht="12.75">
      <c r="A660" s="1638"/>
      <c r="F660" s="1"/>
      <c r="G660" s="1"/>
      <c r="H660" s="1"/>
      <c r="I660" s="1"/>
      <c r="L660" s="326"/>
      <c r="M660" s="326"/>
    </row>
    <row r="661" spans="1:13" customFormat="1" ht="12.75">
      <c r="A661" s="1638"/>
      <c r="F661" s="1"/>
      <c r="G661" s="1"/>
      <c r="H661" s="1"/>
      <c r="I661" s="1"/>
      <c r="L661" s="326"/>
      <c r="M661" s="326"/>
    </row>
    <row r="662" spans="1:13" customFormat="1" ht="12.75">
      <c r="A662" s="1638"/>
      <c r="F662" s="1"/>
      <c r="G662" s="1"/>
      <c r="H662" s="1"/>
      <c r="I662" s="1"/>
      <c r="L662" s="326"/>
      <c r="M662" s="326"/>
    </row>
    <row r="663" spans="1:13" customFormat="1" ht="12.75">
      <c r="A663" s="1638"/>
      <c r="F663" s="1"/>
      <c r="G663" s="1"/>
      <c r="H663" s="1"/>
      <c r="I663" s="1"/>
      <c r="L663" s="326"/>
      <c r="M663" s="326"/>
    </row>
    <row r="664" spans="1:13" customFormat="1" ht="12.75">
      <c r="A664" s="1638"/>
      <c r="F664" s="1"/>
      <c r="G664" s="1"/>
      <c r="H664" s="1"/>
      <c r="I664" s="1"/>
      <c r="L664" s="326"/>
      <c r="M664" s="326"/>
    </row>
    <row r="665" spans="1:13" customFormat="1" ht="12.75">
      <c r="A665" s="1638"/>
      <c r="F665" s="1"/>
      <c r="G665" s="1"/>
      <c r="H665" s="1"/>
      <c r="I665" s="1"/>
      <c r="L665" s="326"/>
      <c r="M665" s="326"/>
    </row>
    <row r="666" spans="1:13" customFormat="1" ht="12.75">
      <c r="A666" s="1638"/>
      <c r="F666" s="1"/>
      <c r="G666" s="1"/>
      <c r="H666" s="1"/>
      <c r="I666" s="1"/>
      <c r="L666" s="326"/>
      <c r="M666" s="326"/>
    </row>
    <row r="667" spans="1:13" customFormat="1" ht="12.75">
      <c r="A667" s="1638"/>
      <c r="F667" s="1"/>
      <c r="G667" s="1"/>
      <c r="H667" s="1"/>
      <c r="I667" s="1"/>
      <c r="L667" s="326"/>
      <c r="M667" s="326"/>
    </row>
    <row r="668" spans="1:13" customFormat="1" ht="12.75">
      <c r="A668" s="1638"/>
      <c r="F668" s="1"/>
      <c r="G668" s="1"/>
      <c r="H668" s="1"/>
      <c r="I668" s="1"/>
      <c r="L668" s="326"/>
      <c r="M668" s="326"/>
    </row>
    <row r="669" spans="1:13" customFormat="1" ht="12.75">
      <c r="A669" s="1638"/>
      <c r="F669" s="1"/>
      <c r="G669" s="1"/>
      <c r="H669" s="1"/>
      <c r="I669" s="1"/>
      <c r="L669" s="326"/>
      <c r="M669" s="326"/>
    </row>
    <row r="670" spans="1:13" customFormat="1" ht="12.75">
      <c r="A670" s="1638"/>
      <c r="F670" s="1"/>
      <c r="G670" s="1"/>
      <c r="H670" s="1"/>
      <c r="I670" s="1"/>
      <c r="L670" s="326"/>
      <c r="M670" s="326"/>
    </row>
    <row r="671" spans="1:13" customFormat="1" ht="12.75">
      <c r="A671" s="1638"/>
      <c r="F671" s="1"/>
      <c r="G671" s="1"/>
      <c r="H671" s="1"/>
      <c r="I671" s="1"/>
      <c r="L671" s="326"/>
      <c r="M671" s="326"/>
    </row>
    <row r="672" spans="1:13" customFormat="1" ht="12.75">
      <c r="A672" s="1638"/>
      <c r="F672" s="1"/>
      <c r="G672" s="1"/>
      <c r="H672" s="1"/>
      <c r="I672" s="1"/>
      <c r="L672" s="326"/>
      <c r="M672" s="326"/>
    </row>
    <row r="673" spans="1:13" customFormat="1" ht="12.75">
      <c r="A673" s="1638"/>
      <c r="F673" s="1"/>
      <c r="G673" s="1"/>
      <c r="H673" s="1"/>
      <c r="I673" s="1"/>
      <c r="L673" s="326"/>
      <c r="M673" s="326"/>
    </row>
    <row r="674" spans="1:13" customFormat="1" ht="12.75">
      <c r="A674" s="1638"/>
      <c r="F674" s="1"/>
      <c r="G674" s="1"/>
      <c r="H674" s="1"/>
      <c r="I674" s="1"/>
      <c r="L674" s="326"/>
      <c r="M674" s="326"/>
    </row>
    <row r="675" spans="1:13" customFormat="1" ht="12.75">
      <c r="A675" s="1638"/>
      <c r="F675" s="1"/>
      <c r="G675" s="1"/>
      <c r="H675" s="1"/>
      <c r="I675" s="1"/>
      <c r="L675" s="326"/>
      <c r="M675" s="326"/>
    </row>
    <row r="676" spans="1:13" customFormat="1" ht="12.75">
      <c r="A676" s="1638"/>
      <c r="F676" s="1"/>
      <c r="G676" s="1"/>
      <c r="H676" s="1"/>
      <c r="I676" s="1"/>
      <c r="L676" s="326"/>
      <c r="M676" s="326"/>
    </row>
    <row r="677" spans="1:13" customFormat="1" ht="12.75">
      <c r="A677" s="1638"/>
      <c r="F677" s="1"/>
      <c r="G677" s="1"/>
      <c r="H677" s="1"/>
      <c r="I677" s="1"/>
      <c r="L677" s="326"/>
      <c r="M677" s="326"/>
    </row>
    <row r="678" spans="1:13" customFormat="1" ht="12.75">
      <c r="A678" s="1638"/>
      <c r="F678" s="1"/>
      <c r="G678" s="1"/>
      <c r="H678" s="1"/>
      <c r="I678" s="1"/>
      <c r="L678" s="326"/>
      <c r="M678" s="326"/>
    </row>
    <row r="679" spans="1:13" customFormat="1" ht="12.75">
      <c r="A679" s="1638"/>
      <c r="F679" s="1"/>
      <c r="G679" s="1"/>
      <c r="H679" s="1"/>
      <c r="I679" s="1"/>
      <c r="L679" s="326"/>
      <c r="M679" s="326"/>
    </row>
    <row r="680" spans="1:13" customFormat="1" ht="12.75">
      <c r="A680" s="1638"/>
      <c r="F680" s="1"/>
      <c r="G680" s="1"/>
      <c r="H680" s="1"/>
      <c r="I680" s="1"/>
      <c r="L680" s="326"/>
      <c r="M680" s="326"/>
    </row>
    <row r="681" spans="1:13" customFormat="1" ht="12.75">
      <c r="A681" s="1638"/>
      <c r="F681" s="1"/>
      <c r="G681" s="1"/>
      <c r="H681" s="1"/>
      <c r="I681" s="1"/>
      <c r="L681" s="326"/>
      <c r="M681" s="326"/>
    </row>
    <row r="682" spans="1:13" customFormat="1" ht="12.75">
      <c r="A682" s="1638"/>
      <c r="F682" s="1"/>
      <c r="G682" s="1"/>
      <c r="H682" s="1"/>
      <c r="I682" s="1"/>
      <c r="L682" s="326"/>
      <c r="M682" s="326"/>
    </row>
    <row r="683" spans="1:13" customFormat="1" ht="12.75">
      <c r="A683" s="1638"/>
      <c r="F683" s="1"/>
      <c r="G683" s="1"/>
      <c r="H683" s="1"/>
      <c r="I683" s="1"/>
      <c r="L683" s="326"/>
      <c r="M683" s="326"/>
    </row>
    <row r="684" spans="1:13" customFormat="1" ht="12.75">
      <c r="A684" s="1638"/>
      <c r="F684" s="1"/>
      <c r="G684" s="1"/>
      <c r="H684" s="1"/>
      <c r="I684" s="1"/>
      <c r="L684" s="326"/>
      <c r="M684" s="326"/>
    </row>
    <row r="685" spans="1:13" customFormat="1" ht="12.75">
      <c r="A685" s="1638"/>
      <c r="F685" s="1"/>
      <c r="G685" s="1"/>
      <c r="H685" s="1"/>
      <c r="I685" s="1"/>
      <c r="L685" s="326"/>
      <c r="M685" s="326"/>
    </row>
    <row r="686" spans="1:13" customFormat="1" ht="12.75">
      <c r="A686" s="1638"/>
      <c r="F686" s="1"/>
      <c r="G686" s="1"/>
      <c r="H686" s="1"/>
      <c r="I686" s="1"/>
      <c r="L686" s="326"/>
      <c r="M686" s="326"/>
    </row>
    <row r="687" spans="1:13" customFormat="1" ht="12.75">
      <c r="A687" s="1638"/>
      <c r="F687" s="1"/>
      <c r="G687" s="1"/>
      <c r="H687" s="1"/>
      <c r="I687" s="1"/>
      <c r="L687" s="326"/>
      <c r="M687" s="326"/>
    </row>
    <row r="688" spans="1:13" customFormat="1" ht="12.75">
      <c r="A688" s="1638"/>
      <c r="F688" s="1"/>
      <c r="G688" s="1"/>
      <c r="H688" s="1"/>
      <c r="I688" s="1"/>
      <c r="L688" s="326"/>
      <c r="M688" s="326"/>
    </row>
    <row r="689" spans="1:13" customFormat="1" ht="12.75">
      <c r="A689" s="1638"/>
      <c r="F689" s="1"/>
      <c r="G689" s="1"/>
      <c r="H689" s="1"/>
      <c r="I689" s="1"/>
      <c r="L689" s="326"/>
      <c r="M689" s="326"/>
    </row>
    <row r="690" spans="1:13" customFormat="1" ht="12.75">
      <c r="A690" s="1638"/>
      <c r="F690" s="1"/>
      <c r="G690" s="1"/>
      <c r="H690" s="1"/>
      <c r="I690" s="1"/>
      <c r="L690" s="326"/>
      <c r="M690" s="326"/>
    </row>
    <row r="691" spans="1:13" customFormat="1" ht="12.75">
      <c r="A691" s="1638"/>
      <c r="F691" s="1"/>
      <c r="G691" s="1"/>
      <c r="H691" s="1"/>
      <c r="I691" s="1"/>
      <c r="L691" s="326"/>
      <c r="M691" s="326"/>
    </row>
    <row r="692" spans="1:13" customFormat="1" ht="12.75">
      <c r="A692" s="1638"/>
      <c r="F692" s="1"/>
      <c r="G692" s="1"/>
      <c r="H692" s="1"/>
      <c r="I692" s="1"/>
      <c r="L692" s="326"/>
      <c r="M692" s="326"/>
    </row>
    <row r="693" spans="1:13" customFormat="1" ht="12.75">
      <c r="A693" s="1638"/>
      <c r="F693" s="1"/>
      <c r="G693" s="1"/>
      <c r="H693" s="1"/>
      <c r="I693" s="1"/>
      <c r="L693" s="326"/>
      <c r="M693" s="326"/>
    </row>
    <row r="694" spans="1:13" customFormat="1" ht="12.75">
      <c r="A694" s="1638"/>
      <c r="F694" s="1"/>
      <c r="G694" s="1"/>
      <c r="H694" s="1"/>
      <c r="I694" s="1"/>
      <c r="L694" s="326"/>
      <c r="M694" s="326"/>
    </row>
    <row r="695" spans="1:13" customFormat="1" ht="12.75">
      <c r="A695" s="1638"/>
      <c r="F695" s="1"/>
      <c r="G695" s="1"/>
      <c r="H695" s="1"/>
      <c r="I695" s="1"/>
      <c r="L695" s="326"/>
      <c r="M695" s="326"/>
    </row>
    <row r="696" spans="1:13" customFormat="1" ht="12.75">
      <c r="A696" s="1638"/>
      <c r="F696" s="1"/>
      <c r="G696" s="1"/>
      <c r="H696" s="1"/>
      <c r="I696" s="1"/>
      <c r="L696" s="326"/>
      <c r="M696" s="326"/>
    </row>
    <row r="697" spans="1:13" customFormat="1" ht="12.75">
      <c r="A697" s="1638"/>
      <c r="F697" s="1"/>
      <c r="G697" s="1"/>
      <c r="H697" s="1"/>
      <c r="I697" s="1"/>
      <c r="L697" s="326"/>
      <c r="M697" s="326"/>
    </row>
    <row r="698" spans="1:13" customFormat="1" ht="12.75">
      <c r="A698" s="1638"/>
      <c r="F698" s="1"/>
      <c r="G698" s="1"/>
      <c r="H698" s="1"/>
      <c r="I698" s="1"/>
      <c r="L698" s="326"/>
      <c r="M698" s="326"/>
    </row>
    <row r="699" spans="1:13" customFormat="1" ht="12.75">
      <c r="A699" s="1638"/>
      <c r="F699" s="1"/>
      <c r="G699" s="1"/>
      <c r="H699" s="1"/>
      <c r="I699" s="1"/>
      <c r="L699" s="326"/>
      <c r="M699" s="326"/>
    </row>
    <row r="700" spans="1:13" customFormat="1" ht="12.75">
      <c r="A700" s="1638"/>
      <c r="F700" s="1"/>
      <c r="G700" s="1"/>
      <c r="H700" s="1"/>
      <c r="I700" s="1"/>
      <c r="L700" s="326"/>
      <c r="M700" s="326"/>
    </row>
    <row r="701" spans="1:13" customFormat="1" ht="12.75">
      <c r="A701" s="1638"/>
      <c r="F701" s="1"/>
      <c r="G701" s="1"/>
      <c r="H701" s="1"/>
      <c r="I701" s="1"/>
      <c r="L701" s="326"/>
      <c r="M701" s="326"/>
    </row>
    <row r="702" spans="1:13" customFormat="1" ht="12.75">
      <c r="A702" s="1638"/>
      <c r="F702" s="1"/>
      <c r="G702" s="1"/>
      <c r="H702" s="1"/>
      <c r="I702" s="1"/>
      <c r="L702" s="326"/>
      <c r="M702" s="326"/>
    </row>
    <row r="703" spans="1:13" customFormat="1" ht="12.75">
      <c r="A703" s="1638"/>
      <c r="F703" s="1"/>
      <c r="G703" s="1"/>
      <c r="H703" s="1"/>
      <c r="I703" s="1"/>
      <c r="L703" s="326"/>
      <c r="M703" s="326"/>
    </row>
    <row r="704" spans="1:13" customFormat="1" ht="12.75">
      <c r="A704" s="1638"/>
      <c r="F704" s="1"/>
      <c r="G704" s="1"/>
      <c r="H704" s="1"/>
      <c r="I704" s="1"/>
      <c r="L704" s="326"/>
      <c r="M704" s="326"/>
    </row>
    <row r="705" spans="1:13" customFormat="1" ht="12.75">
      <c r="A705" s="1638"/>
      <c r="F705" s="1"/>
      <c r="G705" s="1"/>
      <c r="H705" s="1"/>
      <c r="I705" s="1"/>
      <c r="L705" s="326"/>
      <c r="M705" s="326"/>
    </row>
    <row r="706" spans="1:13" customFormat="1" ht="12.75">
      <c r="A706" s="1638"/>
      <c r="F706" s="1"/>
      <c r="G706" s="1"/>
      <c r="H706" s="1"/>
      <c r="I706" s="1"/>
      <c r="L706" s="326"/>
      <c r="M706" s="326"/>
    </row>
    <row r="707" spans="1:13" customFormat="1" ht="12.75">
      <c r="A707" s="1638"/>
      <c r="F707" s="1"/>
      <c r="G707" s="1"/>
      <c r="H707" s="1"/>
      <c r="I707" s="1"/>
      <c r="L707" s="326"/>
      <c r="M707" s="326"/>
    </row>
    <row r="708" spans="1:13" customFormat="1" ht="12.75">
      <c r="A708" s="1638"/>
      <c r="F708" s="1"/>
      <c r="G708" s="1"/>
      <c r="H708" s="1"/>
      <c r="I708" s="1"/>
      <c r="L708" s="326"/>
      <c r="M708" s="326"/>
    </row>
    <row r="709" spans="1:13" customFormat="1" ht="12.75">
      <c r="A709" s="1638"/>
      <c r="F709" s="1"/>
      <c r="G709" s="1"/>
      <c r="H709" s="1"/>
      <c r="I709" s="1"/>
      <c r="L709" s="326"/>
      <c r="M709" s="326"/>
    </row>
    <row r="710" spans="1:13" customFormat="1" ht="12.75">
      <c r="A710" s="1638"/>
      <c r="F710" s="1"/>
      <c r="G710" s="1"/>
      <c r="H710" s="1"/>
      <c r="I710" s="1"/>
      <c r="L710" s="326"/>
      <c r="M710" s="326"/>
    </row>
    <row r="711" spans="1:13" customFormat="1" ht="12.75">
      <c r="A711" s="1638"/>
      <c r="F711" s="1"/>
      <c r="G711" s="1"/>
      <c r="H711" s="1"/>
      <c r="I711" s="1"/>
      <c r="L711" s="326"/>
      <c r="M711" s="326"/>
    </row>
    <row r="712" spans="1:13" customFormat="1" ht="12.75">
      <c r="A712" s="1638"/>
      <c r="F712" s="1"/>
      <c r="G712" s="1"/>
      <c r="H712" s="1"/>
      <c r="I712" s="1"/>
      <c r="L712" s="326"/>
      <c r="M712" s="326"/>
    </row>
    <row r="713" spans="1:13" customFormat="1" ht="12.75">
      <c r="A713" s="1638"/>
      <c r="F713" s="1"/>
      <c r="G713" s="1"/>
      <c r="H713" s="1"/>
      <c r="I713" s="1"/>
      <c r="L713" s="326"/>
      <c r="M713" s="326"/>
    </row>
    <row r="714" spans="1:13" customFormat="1" ht="12.75">
      <c r="A714" s="1638"/>
      <c r="F714" s="1"/>
      <c r="G714" s="1"/>
      <c r="H714" s="1"/>
      <c r="I714" s="1"/>
      <c r="L714" s="326"/>
      <c r="M714" s="326"/>
    </row>
    <row r="715" spans="1:13" customFormat="1" ht="12.75">
      <c r="A715" s="1638"/>
      <c r="F715" s="1"/>
      <c r="G715" s="1"/>
      <c r="H715" s="1"/>
      <c r="I715" s="1"/>
      <c r="L715" s="326"/>
      <c r="M715" s="326"/>
    </row>
    <row r="716" spans="1:13" customFormat="1" ht="12.75">
      <c r="A716" s="1638"/>
      <c r="F716" s="1"/>
      <c r="G716" s="1"/>
      <c r="H716" s="1"/>
      <c r="I716" s="1"/>
      <c r="L716" s="326"/>
      <c r="M716" s="326"/>
    </row>
    <row r="717" spans="1:13" customFormat="1" ht="12.75">
      <c r="A717" s="1638"/>
      <c r="F717" s="1"/>
      <c r="G717" s="1"/>
      <c r="H717" s="1"/>
      <c r="I717" s="1"/>
      <c r="L717" s="326"/>
      <c r="M717" s="326"/>
    </row>
    <row r="718" spans="1:13" customFormat="1" ht="12.75">
      <c r="A718" s="1638"/>
      <c r="F718" s="1"/>
      <c r="G718" s="1"/>
      <c r="H718" s="1"/>
      <c r="I718" s="1"/>
      <c r="L718" s="326"/>
      <c r="M718" s="326"/>
    </row>
    <row r="719" spans="1:13" customFormat="1" ht="12.75">
      <c r="A719" s="1638"/>
      <c r="F719" s="1"/>
      <c r="G719" s="1"/>
      <c r="H719" s="1"/>
      <c r="I719" s="1"/>
      <c r="L719" s="326"/>
      <c r="M719" s="326"/>
    </row>
    <row r="720" spans="1:13" customFormat="1" ht="12.75">
      <c r="A720" s="1638"/>
      <c r="F720" s="1"/>
      <c r="G720" s="1"/>
      <c r="H720" s="1"/>
      <c r="I720" s="1"/>
      <c r="L720" s="326"/>
      <c r="M720" s="326"/>
    </row>
    <row r="721" spans="1:13" customFormat="1" ht="12.75">
      <c r="A721" s="1638"/>
      <c r="F721" s="1"/>
      <c r="G721" s="1"/>
      <c r="H721" s="1"/>
      <c r="I721" s="1"/>
      <c r="L721" s="326"/>
      <c r="M721" s="326"/>
    </row>
    <row r="722" spans="1:13" customFormat="1" ht="12.75">
      <c r="A722" s="1638"/>
      <c r="F722" s="1"/>
      <c r="G722" s="1"/>
      <c r="H722" s="1"/>
      <c r="I722" s="1"/>
      <c r="L722" s="326"/>
      <c r="M722" s="326"/>
    </row>
    <row r="723" spans="1:13" customFormat="1" ht="12.75">
      <c r="A723" s="1638"/>
      <c r="F723" s="1"/>
      <c r="G723" s="1"/>
      <c r="H723" s="1"/>
      <c r="I723" s="1"/>
      <c r="L723" s="326"/>
      <c r="M723" s="326"/>
    </row>
    <row r="724" spans="1:13" customFormat="1" ht="12.75">
      <c r="A724" s="1638"/>
      <c r="F724" s="1"/>
      <c r="G724" s="1"/>
      <c r="H724" s="1"/>
      <c r="I724" s="1"/>
      <c r="L724" s="326"/>
      <c r="M724" s="326"/>
    </row>
    <row r="725" spans="1:13" customFormat="1" ht="12.75">
      <c r="A725" s="1638"/>
      <c r="F725" s="1"/>
      <c r="G725" s="1"/>
      <c r="H725" s="1"/>
      <c r="I725" s="1"/>
      <c r="L725" s="326"/>
      <c r="M725" s="326"/>
    </row>
    <row r="726" spans="1:13" customFormat="1" ht="12.75">
      <c r="A726" s="1638"/>
      <c r="F726" s="1"/>
      <c r="G726" s="1"/>
      <c r="H726" s="1"/>
      <c r="I726" s="1"/>
      <c r="L726" s="326"/>
      <c r="M726" s="326"/>
    </row>
    <row r="727" spans="1:13" customFormat="1" ht="12.75">
      <c r="A727" s="1638"/>
      <c r="F727" s="1"/>
      <c r="G727" s="1"/>
      <c r="H727" s="1"/>
      <c r="I727" s="1"/>
      <c r="L727" s="326"/>
      <c r="M727" s="326"/>
    </row>
    <row r="728" spans="1:13" customFormat="1" ht="12.75">
      <c r="A728" s="1638"/>
      <c r="F728" s="1"/>
      <c r="G728" s="1"/>
      <c r="H728" s="1"/>
      <c r="I728" s="1"/>
      <c r="L728" s="326"/>
      <c r="M728" s="326"/>
    </row>
    <row r="729" spans="1:13" customFormat="1" ht="12.75">
      <c r="A729" s="1638"/>
      <c r="F729" s="1"/>
      <c r="G729" s="1"/>
      <c r="H729" s="1"/>
      <c r="I729" s="1"/>
      <c r="L729" s="326"/>
      <c r="M729" s="326"/>
    </row>
    <row r="730" spans="1:13" customFormat="1" ht="12.75">
      <c r="A730" s="1638"/>
      <c r="F730" s="1"/>
      <c r="G730" s="1"/>
      <c r="H730" s="1"/>
      <c r="I730" s="1"/>
      <c r="L730" s="326"/>
      <c r="M730" s="326"/>
    </row>
    <row r="731" spans="1:13" customFormat="1" ht="12.75">
      <c r="A731" s="1638"/>
      <c r="F731" s="1"/>
      <c r="G731" s="1"/>
      <c r="H731" s="1"/>
      <c r="I731" s="1"/>
      <c r="L731" s="326"/>
      <c r="M731" s="326"/>
    </row>
    <row r="732" spans="1:13" customFormat="1" ht="12.75">
      <c r="A732" s="1638"/>
      <c r="F732" s="1"/>
      <c r="G732" s="1"/>
      <c r="H732" s="1"/>
      <c r="I732" s="1"/>
      <c r="L732" s="326"/>
      <c r="M732" s="326"/>
    </row>
    <row r="733" spans="1:13" customFormat="1" ht="12.75">
      <c r="A733" s="1638"/>
      <c r="F733" s="1"/>
      <c r="G733" s="1"/>
      <c r="H733" s="1"/>
      <c r="I733" s="1"/>
      <c r="L733" s="326"/>
      <c r="M733" s="326"/>
    </row>
    <row r="734" spans="1:13" customFormat="1" ht="12.75">
      <c r="A734" s="1638"/>
      <c r="F734" s="1"/>
      <c r="G734" s="1"/>
      <c r="H734" s="1"/>
      <c r="I734" s="1"/>
      <c r="L734" s="326"/>
      <c r="M734" s="326"/>
    </row>
    <row r="735" spans="1:13" customFormat="1" ht="12.75">
      <c r="A735" s="1638"/>
      <c r="F735" s="1"/>
      <c r="G735" s="1"/>
      <c r="H735" s="1"/>
      <c r="I735" s="1"/>
      <c r="L735" s="326"/>
      <c r="M735" s="326"/>
    </row>
    <row r="736" spans="1:13" customFormat="1" ht="12.75">
      <c r="A736" s="1638"/>
      <c r="F736" s="1"/>
      <c r="G736" s="1"/>
      <c r="H736" s="1"/>
      <c r="I736" s="1"/>
      <c r="L736" s="326"/>
      <c r="M736" s="326"/>
    </row>
    <row r="737" spans="1:13" customFormat="1" ht="12.75">
      <c r="A737" s="1638"/>
      <c r="F737" s="1"/>
      <c r="G737" s="1"/>
      <c r="H737" s="1"/>
      <c r="I737" s="1"/>
      <c r="L737" s="326"/>
      <c r="M737" s="326"/>
    </row>
    <row r="738" spans="1:13" customFormat="1" ht="12.75">
      <c r="A738" s="1638"/>
      <c r="F738" s="1"/>
      <c r="G738" s="1"/>
      <c r="H738" s="1"/>
      <c r="I738" s="1"/>
      <c r="L738" s="326"/>
      <c r="M738" s="326"/>
    </row>
    <row r="739" spans="1:13" customFormat="1" ht="12.75">
      <c r="A739" s="1638"/>
      <c r="F739" s="1"/>
      <c r="G739" s="1"/>
      <c r="H739" s="1"/>
      <c r="I739" s="1"/>
      <c r="L739" s="326"/>
      <c r="M739" s="326"/>
    </row>
    <row r="740" spans="1:13" customFormat="1" ht="12.75">
      <c r="A740" s="1638"/>
      <c r="F740" s="1"/>
      <c r="G740" s="1"/>
      <c r="H740" s="1"/>
      <c r="I740" s="1"/>
      <c r="L740" s="326"/>
      <c r="M740" s="326"/>
    </row>
    <row r="741" spans="1:13" customFormat="1" ht="12.75">
      <c r="A741" s="1638"/>
      <c r="F741" s="1"/>
      <c r="G741" s="1"/>
      <c r="H741" s="1"/>
      <c r="I741" s="1"/>
      <c r="L741" s="326"/>
      <c r="M741" s="326"/>
    </row>
    <row r="742" spans="1:13" customFormat="1" ht="12.75">
      <c r="A742" s="1638"/>
      <c r="F742" s="1"/>
      <c r="G742" s="1"/>
      <c r="H742" s="1"/>
      <c r="I742" s="1"/>
      <c r="L742" s="326"/>
      <c r="M742" s="326"/>
    </row>
    <row r="743" spans="1:13" customFormat="1" ht="12.75">
      <c r="A743" s="1638"/>
      <c r="F743" s="1"/>
      <c r="G743" s="1"/>
      <c r="H743" s="1"/>
      <c r="I743" s="1"/>
      <c r="L743" s="326"/>
      <c r="M743" s="326"/>
    </row>
    <row r="744" spans="1:13" customFormat="1" ht="12.75">
      <c r="A744" s="1638"/>
      <c r="F744" s="1"/>
      <c r="G744" s="1"/>
      <c r="H744" s="1"/>
      <c r="I744" s="1"/>
      <c r="L744" s="326"/>
      <c r="M744" s="326"/>
    </row>
    <row r="745" spans="1:13" customFormat="1" ht="12.75">
      <c r="A745" s="1638"/>
      <c r="F745" s="1"/>
      <c r="G745" s="1"/>
      <c r="H745" s="1"/>
      <c r="I745" s="1"/>
      <c r="L745" s="326"/>
      <c r="M745" s="326"/>
    </row>
    <row r="746" spans="1:13" customFormat="1" ht="12.75">
      <c r="A746" s="1638"/>
      <c r="F746" s="1"/>
      <c r="G746" s="1"/>
      <c r="H746" s="1"/>
      <c r="I746" s="1"/>
      <c r="L746" s="326"/>
      <c r="M746" s="326"/>
    </row>
    <row r="747" spans="1:13" customFormat="1" ht="12.75">
      <c r="A747" s="1638"/>
      <c r="F747" s="1"/>
      <c r="G747" s="1"/>
      <c r="H747" s="1"/>
      <c r="I747" s="1"/>
      <c r="L747" s="326"/>
      <c r="M747" s="326"/>
    </row>
    <row r="748" spans="1:13" customFormat="1" ht="12.75">
      <c r="A748" s="1638"/>
      <c r="F748" s="1"/>
      <c r="G748" s="1"/>
      <c r="H748" s="1"/>
      <c r="I748" s="1"/>
      <c r="L748" s="326"/>
      <c r="M748" s="326"/>
    </row>
    <row r="749" spans="1:13" customFormat="1" ht="12.75">
      <c r="A749" s="1638"/>
      <c r="F749" s="1"/>
      <c r="G749" s="1"/>
      <c r="H749" s="1"/>
      <c r="I749" s="1"/>
      <c r="L749" s="326"/>
      <c r="M749" s="326"/>
    </row>
    <row r="750" spans="1:13" customFormat="1" ht="12.75">
      <c r="A750" s="1638"/>
      <c r="F750" s="1"/>
      <c r="G750" s="1"/>
      <c r="H750" s="1"/>
      <c r="I750" s="1"/>
      <c r="L750" s="326"/>
      <c r="M750" s="326"/>
    </row>
    <row r="751" spans="1:13" customFormat="1" ht="12.75">
      <c r="A751" s="1638"/>
      <c r="F751" s="1"/>
      <c r="G751" s="1"/>
      <c r="H751" s="1"/>
      <c r="I751" s="1"/>
      <c r="L751" s="326"/>
      <c r="M751" s="326"/>
    </row>
    <row r="752" spans="1:13" customFormat="1" ht="12.75">
      <c r="A752" s="1638"/>
      <c r="F752" s="1"/>
      <c r="G752" s="1"/>
      <c r="H752" s="1"/>
      <c r="I752" s="1"/>
      <c r="L752" s="326"/>
      <c r="M752" s="326"/>
    </row>
    <row r="753" spans="1:13" customFormat="1" ht="12.75">
      <c r="A753" s="1638"/>
      <c r="F753" s="1"/>
      <c r="G753" s="1"/>
      <c r="H753" s="1"/>
      <c r="I753" s="1"/>
      <c r="L753" s="326"/>
      <c r="M753" s="326"/>
    </row>
    <row r="754" spans="1:13" customFormat="1" ht="12.75">
      <c r="A754" s="1638"/>
      <c r="F754" s="1"/>
      <c r="G754" s="1"/>
      <c r="H754" s="1"/>
      <c r="I754" s="1"/>
      <c r="L754" s="326"/>
      <c r="M754" s="326"/>
    </row>
    <row r="755" spans="1:13" customFormat="1" ht="12.75">
      <c r="A755" s="1638"/>
      <c r="F755" s="1"/>
      <c r="G755" s="1"/>
      <c r="H755" s="1"/>
      <c r="I755" s="1"/>
      <c r="L755" s="326"/>
      <c r="M755" s="326"/>
    </row>
    <row r="756" spans="1:13" customFormat="1" ht="12.75">
      <c r="A756" s="1638"/>
      <c r="F756" s="1"/>
      <c r="G756" s="1"/>
      <c r="H756" s="1"/>
      <c r="I756" s="1"/>
      <c r="L756" s="326"/>
      <c r="M756" s="326"/>
    </row>
    <row r="757" spans="1:13" customFormat="1" ht="12.75">
      <c r="A757" s="1638"/>
      <c r="F757" s="1"/>
      <c r="G757" s="1"/>
      <c r="H757" s="1"/>
      <c r="I757" s="1"/>
      <c r="L757" s="326"/>
      <c r="M757" s="326"/>
    </row>
    <row r="758" spans="1:13" customFormat="1" ht="12.75">
      <c r="A758" s="1638"/>
      <c r="F758" s="1"/>
      <c r="G758" s="1"/>
      <c r="H758" s="1"/>
      <c r="I758" s="1"/>
      <c r="L758" s="326"/>
      <c r="M758" s="326"/>
    </row>
    <row r="759" spans="1:13" customFormat="1" ht="12.75">
      <c r="A759" s="1638"/>
      <c r="F759" s="1"/>
      <c r="G759" s="1"/>
      <c r="H759" s="1"/>
      <c r="I759" s="1"/>
      <c r="L759" s="326"/>
      <c r="M759" s="326"/>
    </row>
    <row r="760" spans="1:13" customFormat="1" ht="12.75">
      <c r="A760" s="1638"/>
      <c r="F760" s="1"/>
      <c r="G760" s="1"/>
      <c r="H760" s="1"/>
      <c r="I760" s="1"/>
      <c r="L760" s="326"/>
      <c r="M760" s="326"/>
    </row>
    <row r="761" spans="1:13" customFormat="1" ht="12.75">
      <c r="A761" s="1638"/>
      <c r="F761" s="1"/>
      <c r="G761" s="1"/>
      <c r="H761" s="1"/>
      <c r="I761" s="1"/>
      <c r="L761" s="326"/>
      <c r="M761" s="326"/>
    </row>
    <row r="762" spans="1:13" customFormat="1" ht="12.75">
      <c r="A762" s="1638"/>
      <c r="F762" s="1"/>
      <c r="G762" s="1"/>
      <c r="H762" s="1"/>
      <c r="I762" s="1"/>
      <c r="L762" s="326"/>
      <c r="M762" s="326"/>
    </row>
    <row r="763" spans="1:13" customFormat="1" ht="12.75">
      <c r="A763" s="1638"/>
      <c r="F763" s="1"/>
      <c r="G763" s="1"/>
      <c r="H763" s="1"/>
      <c r="I763" s="1"/>
      <c r="L763" s="326"/>
      <c r="M763" s="326"/>
    </row>
    <row r="764" spans="1:13" customFormat="1" ht="12.75">
      <c r="A764" s="1638"/>
      <c r="F764" s="1"/>
      <c r="G764" s="1"/>
      <c r="H764" s="1"/>
      <c r="I764" s="1"/>
      <c r="L764" s="326"/>
      <c r="M764" s="326"/>
    </row>
    <row r="765" spans="1:13" customFormat="1" ht="12.75">
      <c r="A765" s="1638"/>
      <c r="F765" s="1"/>
      <c r="G765" s="1"/>
      <c r="H765" s="1"/>
      <c r="I765" s="1"/>
      <c r="L765" s="326"/>
      <c r="M765" s="326"/>
    </row>
    <row r="766" spans="1:13" customFormat="1" ht="12.75">
      <c r="A766" s="1638"/>
      <c r="F766" s="1"/>
      <c r="G766" s="1"/>
      <c r="H766" s="1"/>
      <c r="I766" s="1"/>
      <c r="L766" s="326"/>
      <c r="M766" s="326"/>
    </row>
    <row r="767" spans="1:13" customFormat="1" ht="12.75">
      <c r="A767" s="1638"/>
      <c r="F767" s="1"/>
      <c r="G767" s="1"/>
      <c r="H767" s="1"/>
      <c r="I767" s="1"/>
      <c r="L767" s="326"/>
      <c r="M767" s="326"/>
    </row>
    <row r="768" spans="1:13" customFormat="1" ht="12.75">
      <c r="A768" s="1638"/>
      <c r="F768" s="1"/>
      <c r="G768" s="1"/>
      <c r="H768" s="1"/>
      <c r="I768" s="1"/>
      <c r="L768" s="326"/>
      <c r="M768" s="326"/>
    </row>
    <row r="769" spans="1:13" customFormat="1" ht="12.75">
      <c r="A769" s="1638"/>
      <c r="F769" s="1"/>
      <c r="G769" s="1"/>
      <c r="H769" s="1"/>
      <c r="I769" s="1"/>
      <c r="L769" s="326"/>
      <c r="M769" s="326"/>
    </row>
    <row r="770" spans="1:13" customFormat="1" ht="12.75">
      <c r="A770" s="1638"/>
      <c r="F770" s="1"/>
      <c r="G770" s="1"/>
      <c r="H770" s="1"/>
      <c r="I770" s="1"/>
      <c r="L770" s="326"/>
      <c r="M770" s="326"/>
    </row>
    <row r="771" spans="1:13" customFormat="1" ht="12.75">
      <c r="A771" s="1638"/>
      <c r="F771" s="1"/>
      <c r="G771" s="1"/>
      <c r="H771" s="1"/>
      <c r="I771" s="1"/>
      <c r="L771" s="326"/>
      <c r="M771" s="326"/>
    </row>
    <row r="772" spans="1:13" customFormat="1" ht="12.75">
      <c r="A772" s="1638"/>
      <c r="F772" s="1"/>
      <c r="G772" s="1"/>
      <c r="H772" s="1"/>
      <c r="I772" s="1"/>
      <c r="L772" s="326"/>
      <c r="M772" s="326"/>
    </row>
    <row r="773" spans="1:13" customFormat="1" ht="12.75">
      <c r="A773" s="1638"/>
      <c r="F773" s="1"/>
      <c r="G773" s="1"/>
      <c r="H773" s="1"/>
      <c r="I773" s="1"/>
      <c r="L773" s="326"/>
      <c r="M773" s="326"/>
    </row>
    <row r="774" spans="1:13" customFormat="1" ht="12.75">
      <c r="A774" s="1638"/>
      <c r="F774" s="1"/>
      <c r="G774" s="1"/>
      <c r="H774" s="1"/>
      <c r="I774" s="1"/>
      <c r="L774" s="326"/>
      <c r="M774" s="326"/>
    </row>
    <row r="775" spans="1:13" customFormat="1" ht="12.75">
      <c r="A775" s="1638"/>
      <c r="F775" s="1"/>
      <c r="G775" s="1"/>
      <c r="H775" s="1"/>
      <c r="I775" s="1"/>
      <c r="L775" s="326"/>
      <c r="M775" s="326"/>
    </row>
    <row r="776" spans="1:13" customFormat="1" ht="12.75">
      <c r="A776" s="1638"/>
      <c r="F776" s="1"/>
      <c r="G776" s="1"/>
      <c r="H776" s="1"/>
      <c r="I776" s="1"/>
      <c r="L776" s="326"/>
      <c r="M776" s="326"/>
    </row>
    <row r="777" spans="1:13" customFormat="1" ht="12.75">
      <c r="A777" s="1638"/>
      <c r="F777" s="1"/>
      <c r="G777" s="1"/>
      <c r="H777" s="1"/>
      <c r="I777" s="1"/>
      <c r="L777" s="326"/>
      <c r="M777" s="326"/>
    </row>
    <row r="778" spans="1:13" customFormat="1" ht="12.75">
      <c r="A778" s="1638"/>
      <c r="F778" s="1"/>
      <c r="G778" s="1"/>
      <c r="H778" s="1"/>
      <c r="I778" s="1"/>
      <c r="L778" s="326"/>
      <c r="M778" s="326"/>
    </row>
    <row r="779" spans="1:13" customFormat="1" ht="12.75">
      <c r="A779" s="1638"/>
      <c r="F779" s="1"/>
      <c r="G779" s="1"/>
      <c r="H779" s="1"/>
      <c r="I779" s="1"/>
      <c r="L779" s="326"/>
      <c r="M779" s="326"/>
    </row>
    <row r="780" spans="1:13" customFormat="1" ht="12.75">
      <c r="A780" s="1638"/>
      <c r="F780" s="1"/>
      <c r="G780" s="1"/>
      <c r="H780" s="1"/>
      <c r="I780" s="1"/>
      <c r="L780" s="326"/>
      <c r="M780" s="326"/>
    </row>
    <row r="781" spans="1:13" customFormat="1" ht="12.75">
      <c r="A781" s="1638"/>
      <c r="F781" s="1"/>
      <c r="G781" s="1"/>
      <c r="H781" s="1"/>
      <c r="I781" s="1"/>
      <c r="L781" s="326"/>
      <c r="M781" s="326"/>
    </row>
    <row r="782" spans="1:13" customFormat="1" ht="12.75">
      <c r="A782" s="1638"/>
      <c r="F782" s="1"/>
      <c r="G782" s="1"/>
      <c r="H782" s="1"/>
      <c r="I782" s="1"/>
      <c r="L782" s="326"/>
      <c r="M782" s="326"/>
    </row>
    <row r="783" spans="1:13" customFormat="1" ht="12.75">
      <c r="A783" s="1638"/>
      <c r="F783" s="1"/>
      <c r="G783" s="1"/>
      <c r="H783" s="1"/>
      <c r="I783" s="1"/>
      <c r="L783" s="326"/>
      <c r="M783" s="326"/>
    </row>
    <row r="784" spans="1:13" customFormat="1" ht="12.75">
      <c r="A784" s="1638"/>
      <c r="F784" s="1"/>
      <c r="G784" s="1"/>
      <c r="H784" s="1"/>
      <c r="I784" s="1"/>
      <c r="L784" s="326"/>
      <c r="M784" s="326"/>
    </row>
    <row r="785" spans="1:13" customFormat="1" ht="12.75">
      <c r="A785" s="1638"/>
      <c r="F785" s="1"/>
      <c r="G785" s="1"/>
      <c r="H785" s="1"/>
      <c r="I785" s="1"/>
      <c r="L785" s="326"/>
      <c r="M785" s="326"/>
    </row>
    <row r="786" spans="1:13" customFormat="1" ht="12.75">
      <c r="A786" s="1638"/>
      <c r="F786" s="1"/>
      <c r="G786" s="1"/>
      <c r="H786" s="1"/>
      <c r="I786" s="1"/>
      <c r="L786" s="326"/>
      <c r="M786" s="326"/>
    </row>
    <row r="787" spans="1:13" customFormat="1" ht="12.75">
      <c r="A787" s="1638"/>
      <c r="F787" s="1"/>
      <c r="G787" s="1"/>
      <c r="H787" s="1"/>
      <c r="I787" s="1"/>
      <c r="L787" s="326"/>
      <c r="M787" s="326"/>
    </row>
    <row r="788" spans="1:13" customFormat="1" ht="12.75">
      <c r="A788" s="1638"/>
      <c r="F788" s="1"/>
      <c r="G788" s="1"/>
      <c r="H788" s="1"/>
      <c r="I788" s="1"/>
      <c r="L788" s="326"/>
      <c r="M788" s="326"/>
    </row>
    <row r="789" spans="1:13" customFormat="1" ht="12.75">
      <c r="A789" s="1638"/>
      <c r="F789" s="1"/>
      <c r="G789" s="1"/>
      <c r="H789" s="1"/>
      <c r="I789" s="1"/>
      <c r="L789" s="326"/>
      <c r="M789" s="326"/>
    </row>
    <row r="790" spans="1:13" customFormat="1" ht="12.75">
      <c r="A790" s="1638"/>
      <c r="F790" s="1"/>
      <c r="G790" s="1"/>
      <c r="H790" s="1"/>
      <c r="I790" s="1"/>
      <c r="L790" s="326"/>
      <c r="M790" s="326"/>
    </row>
    <row r="791" spans="1:13" customFormat="1" ht="12.75">
      <c r="A791" s="1638"/>
      <c r="F791" s="1"/>
      <c r="G791" s="1"/>
      <c r="H791" s="1"/>
      <c r="I791" s="1"/>
      <c r="L791" s="326"/>
      <c r="M791" s="326"/>
    </row>
    <row r="792" spans="1:13" customFormat="1" ht="12.75">
      <c r="A792" s="1638"/>
      <c r="F792" s="1"/>
      <c r="G792" s="1"/>
      <c r="H792" s="1"/>
      <c r="I792" s="1"/>
      <c r="L792" s="326"/>
      <c r="M792" s="326"/>
    </row>
    <row r="793" spans="1:13" customFormat="1" ht="12.75">
      <c r="A793" s="1638"/>
      <c r="F793" s="1"/>
      <c r="G793" s="1"/>
      <c r="H793" s="1"/>
      <c r="I793" s="1"/>
      <c r="L793" s="326"/>
      <c r="M793" s="326"/>
    </row>
    <row r="794" spans="1:13" customFormat="1" ht="12.75">
      <c r="A794" s="1638"/>
      <c r="F794" s="1"/>
      <c r="G794" s="1"/>
      <c r="H794" s="1"/>
      <c r="I794" s="1"/>
      <c r="L794" s="326"/>
      <c r="M794" s="326"/>
    </row>
    <row r="795" spans="1:13" customFormat="1" ht="12.75">
      <c r="A795" s="1638"/>
      <c r="F795" s="1"/>
      <c r="G795" s="1"/>
      <c r="H795" s="1"/>
      <c r="I795" s="1"/>
      <c r="L795" s="326"/>
      <c r="M795" s="326"/>
    </row>
    <row r="796" spans="1:13" customFormat="1" ht="12.75">
      <c r="A796" s="1638"/>
      <c r="F796" s="1"/>
      <c r="G796" s="1"/>
      <c r="H796" s="1"/>
      <c r="I796" s="1"/>
      <c r="L796" s="326"/>
      <c r="M796" s="326"/>
    </row>
    <row r="797" spans="1:13" customFormat="1" ht="12.75">
      <c r="A797" s="1638"/>
      <c r="F797" s="1"/>
      <c r="G797" s="1"/>
      <c r="H797" s="1"/>
      <c r="I797" s="1"/>
      <c r="L797" s="326"/>
      <c r="M797" s="326"/>
    </row>
    <row r="798" spans="1:13" customFormat="1" ht="12.75">
      <c r="A798" s="1638"/>
      <c r="F798" s="1"/>
      <c r="G798" s="1"/>
      <c r="H798" s="1"/>
      <c r="I798" s="1"/>
      <c r="L798" s="326"/>
      <c r="M798" s="326"/>
    </row>
    <row r="799" spans="1:13" customFormat="1" ht="12.75">
      <c r="A799" s="1638"/>
      <c r="F799" s="1"/>
      <c r="G799" s="1"/>
      <c r="H799" s="1"/>
      <c r="I799" s="1"/>
      <c r="L799" s="326"/>
      <c r="M799" s="326"/>
    </row>
    <row r="800" spans="1:13" customFormat="1" ht="12.75">
      <c r="A800" s="1638"/>
      <c r="F800" s="1"/>
      <c r="G800" s="1"/>
      <c r="H800" s="1"/>
      <c r="I800" s="1"/>
      <c r="L800" s="326"/>
      <c r="M800" s="326"/>
    </row>
    <row r="801" spans="1:13" customFormat="1" ht="12.75">
      <c r="A801" s="1638"/>
      <c r="F801" s="1"/>
      <c r="G801" s="1"/>
      <c r="H801" s="1"/>
      <c r="I801" s="1"/>
      <c r="L801" s="326"/>
      <c r="M801" s="326"/>
    </row>
    <row r="802" spans="1:13" customFormat="1" ht="12.75">
      <c r="A802" s="1638"/>
      <c r="F802" s="1"/>
      <c r="G802" s="1"/>
      <c r="H802" s="1"/>
      <c r="I802" s="1"/>
      <c r="L802" s="326"/>
      <c r="M802" s="326"/>
    </row>
    <row r="803" spans="1:13" customFormat="1" ht="12.75">
      <c r="A803" s="1638"/>
      <c r="F803" s="1"/>
      <c r="G803" s="1"/>
      <c r="H803" s="1"/>
      <c r="I803" s="1"/>
      <c r="L803" s="326"/>
      <c r="M803" s="326"/>
    </row>
    <row r="804" spans="1:13" customFormat="1" ht="12.75">
      <c r="A804" s="1638"/>
      <c r="F804" s="1"/>
      <c r="G804" s="1"/>
      <c r="H804" s="1"/>
      <c r="I804" s="1"/>
      <c r="L804" s="326"/>
      <c r="M804" s="326"/>
    </row>
    <row r="805" spans="1:13" customFormat="1" ht="12.75">
      <c r="A805" s="1638"/>
      <c r="F805" s="1"/>
      <c r="G805" s="1"/>
      <c r="H805" s="1"/>
      <c r="I805" s="1"/>
      <c r="L805" s="326"/>
      <c r="M805" s="326"/>
    </row>
    <row r="806" spans="1:13" customFormat="1" ht="12.75">
      <c r="A806" s="1638"/>
      <c r="F806" s="1"/>
      <c r="G806" s="1"/>
      <c r="H806" s="1"/>
      <c r="I806" s="1"/>
      <c r="L806" s="326"/>
      <c r="M806" s="326"/>
    </row>
    <row r="807" spans="1:13" customFormat="1" ht="12.75">
      <c r="A807" s="1638"/>
      <c r="F807" s="1"/>
      <c r="G807" s="1"/>
      <c r="H807" s="1"/>
      <c r="I807" s="1"/>
      <c r="L807" s="326"/>
      <c r="M807" s="326"/>
    </row>
    <row r="808" spans="1:13" customFormat="1" ht="12.75">
      <c r="A808" s="1638"/>
      <c r="F808" s="1"/>
      <c r="G808" s="1"/>
      <c r="H808" s="1"/>
      <c r="I808" s="1"/>
      <c r="L808" s="326"/>
      <c r="M808" s="326"/>
    </row>
    <row r="809" spans="1:13" customFormat="1" ht="12.75">
      <c r="A809" s="1638"/>
      <c r="F809" s="1"/>
      <c r="G809" s="1"/>
      <c r="H809" s="1"/>
      <c r="I809" s="1"/>
      <c r="L809" s="326"/>
      <c r="M809" s="326"/>
    </row>
    <row r="810" spans="1:13" customFormat="1" ht="12.75">
      <c r="A810" s="1638"/>
      <c r="F810" s="1"/>
      <c r="G810" s="1"/>
      <c r="H810" s="1"/>
      <c r="I810" s="1"/>
      <c r="L810" s="326"/>
      <c r="M810" s="326"/>
    </row>
    <row r="811" spans="1:13" customFormat="1" ht="12.75">
      <c r="A811" s="1638"/>
      <c r="F811" s="1"/>
      <c r="G811" s="1"/>
      <c r="H811" s="1"/>
      <c r="I811" s="1"/>
      <c r="L811" s="326"/>
      <c r="M811" s="326"/>
    </row>
    <row r="812" spans="1:13" customFormat="1" ht="12.75">
      <c r="A812" s="1638"/>
      <c r="F812" s="1"/>
      <c r="G812" s="1"/>
      <c r="H812" s="1"/>
      <c r="I812" s="1"/>
      <c r="L812" s="326"/>
      <c r="M812" s="326"/>
    </row>
    <row r="813" spans="1:13" customFormat="1" ht="12.75">
      <c r="A813" s="1638"/>
      <c r="F813" s="1"/>
      <c r="G813" s="1"/>
      <c r="H813" s="1"/>
      <c r="I813" s="1"/>
      <c r="L813" s="326"/>
      <c r="M813" s="326"/>
    </row>
    <row r="814" spans="1:13" customFormat="1" ht="12.75">
      <c r="A814" s="1638"/>
      <c r="F814" s="1"/>
      <c r="G814" s="1"/>
      <c r="H814" s="1"/>
      <c r="I814" s="1"/>
      <c r="L814" s="326"/>
      <c r="M814" s="326"/>
    </row>
    <row r="815" spans="1:13" customFormat="1" ht="12.75">
      <c r="A815" s="1638"/>
      <c r="F815" s="1"/>
      <c r="G815" s="1"/>
      <c r="H815" s="1"/>
      <c r="I815" s="1"/>
      <c r="L815" s="326"/>
      <c r="M815" s="326"/>
    </row>
    <row r="816" spans="1:13" customFormat="1" ht="12.75">
      <c r="A816" s="1638"/>
      <c r="F816" s="1"/>
      <c r="G816" s="1"/>
      <c r="H816" s="1"/>
      <c r="I816" s="1"/>
      <c r="L816" s="326"/>
      <c r="M816" s="326"/>
    </row>
    <row r="817" spans="1:13" customFormat="1" ht="12.75">
      <c r="A817" s="1638"/>
      <c r="F817" s="1"/>
      <c r="G817" s="1"/>
      <c r="H817" s="1"/>
      <c r="I817" s="1"/>
      <c r="L817" s="326"/>
      <c r="M817" s="326"/>
    </row>
    <row r="818" spans="1:13" customFormat="1" ht="12.75">
      <c r="A818" s="1638"/>
      <c r="F818" s="1"/>
      <c r="G818" s="1"/>
      <c r="H818" s="1"/>
      <c r="I818" s="1"/>
      <c r="L818" s="326"/>
      <c r="M818" s="326"/>
    </row>
    <row r="819" spans="1:13" customFormat="1" ht="12.75">
      <c r="A819" s="1638"/>
      <c r="F819" s="1"/>
      <c r="G819" s="1"/>
      <c r="H819" s="1"/>
      <c r="I819" s="1"/>
      <c r="L819" s="326"/>
      <c r="M819" s="326"/>
    </row>
    <row r="820" spans="1:13" customFormat="1" ht="12.75">
      <c r="A820" s="1638"/>
      <c r="F820" s="1"/>
      <c r="G820" s="1"/>
      <c r="H820" s="1"/>
      <c r="I820" s="1"/>
      <c r="L820" s="326"/>
      <c r="M820" s="326"/>
    </row>
    <row r="821" spans="1:13" customFormat="1" ht="12.75">
      <c r="A821" s="1638"/>
      <c r="F821" s="1"/>
      <c r="G821" s="1"/>
      <c r="H821" s="1"/>
      <c r="I821" s="1"/>
      <c r="L821" s="326"/>
      <c r="M821" s="326"/>
    </row>
    <row r="822" spans="1:13" customFormat="1" ht="12.75">
      <c r="A822" s="1638"/>
      <c r="F822" s="1"/>
      <c r="G822" s="1"/>
      <c r="H822" s="1"/>
      <c r="I822" s="1"/>
      <c r="L822" s="326"/>
      <c r="M822" s="326"/>
    </row>
    <row r="823" spans="1:13" customFormat="1" ht="12.75">
      <c r="A823" s="1638"/>
      <c r="F823" s="1"/>
      <c r="G823" s="1"/>
      <c r="H823" s="1"/>
      <c r="I823" s="1"/>
      <c r="L823" s="326"/>
      <c r="M823" s="326"/>
    </row>
    <row r="824" spans="1:13" customFormat="1" ht="12.75">
      <c r="A824" s="1638"/>
      <c r="F824" s="1"/>
      <c r="G824" s="1"/>
      <c r="H824" s="1"/>
      <c r="I824" s="1"/>
      <c r="L824" s="326"/>
      <c r="M824" s="326"/>
    </row>
    <row r="825" spans="1:13" customFormat="1" ht="12.75">
      <c r="A825" s="1638"/>
      <c r="F825" s="1"/>
      <c r="G825" s="1"/>
      <c r="H825" s="1"/>
      <c r="I825" s="1"/>
      <c r="L825" s="326"/>
      <c r="M825" s="326"/>
    </row>
    <row r="826" spans="1:13" customFormat="1" ht="12.75">
      <c r="A826" s="1638"/>
      <c r="F826" s="1"/>
      <c r="G826" s="1"/>
      <c r="H826" s="1"/>
      <c r="I826" s="1"/>
      <c r="L826" s="326"/>
      <c r="M826" s="326"/>
    </row>
    <row r="827" spans="1:13" customFormat="1" ht="12.75">
      <c r="A827" s="1638"/>
      <c r="F827" s="1"/>
      <c r="G827" s="1"/>
      <c r="H827" s="1"/>
      <c r="I827" s="1"/>
      <c r="L827" s="326"/>
      <c r="M827" s="326"/>
    </row>
    <row r="828" spans="1:13" customFormat="1" ht="12.75">
      <c r="A828" s="1638"/>
      <c r="F828" s="1"/>
      <c r="G828" s="1"/>
      <c r="H828" s="1"/>
      <c r="I828" s="1"/>
      <c r="L828" s="326"/>
      <c r="M828" s="326"/>
    </row>
    <row r="829" spans="1:13" customFormat="1" ht="12.75">
      <c r="A829" s="1638"/>
      <c r="F829" s="1"/>
      <c r="G829" s="1"/>
      <c r="H829" s="1"/>
      <c r="I829" s="1"/>
      <c r="L829" s="326"/>
      <c r="M829" s="326"/>
    </row>
    <row r="830" spans="1:13" customFormat="1" ht="12.75">
      <c r="A830" s="1638"/>
      <c r="F830" s="1"/>
      <c r="G830" s="1"/>
      <c r="H830" s="1"/>
      <c r="I830" s="1"/>
      <c r="L830" s="326"/>
      <c r="M830" s="326"/>
    </row>
    <row r="831" spans="1:13" customFormat="1" ht="12.75">
      <c r="A831" s="1638"/>
      <c r="F831" s="1"/>
      <c r="G831" s="1"/>
      <c r="H831" s="1"/>
      <c r="I831" s="1"/>
      <c r="L831" s="326"/>
      <c r="M831" s="326"/>
    </row>
    <row r="832" spans="1:13" customFormat="1" ht="12.75">
      <c r="A832" s="1638"/>
      <c r="F832" s="1"/>
      <c r="G832" s="1"/>
      <c r="H832" s="1"/>
      <c r="I832" s="1"/>
      <c r="L832" s="326"/>
      <c r="M832" s="326"/>
    </row>
    <row r="833" spans="1:13" customFormat="1" ht="12.75">
      <c r="A833" s="1638"/>
      <c r="F833" s="1"/>
      <c r="G833" s="1"/>
      <c r="H833" s="1"/>
      <c r="I833" s="1"/>
      <c r="L833" s="326"/>
      <c r="M833" s="326"/>
    </row>
    <row r="834" spans="1:13" customFormat="1" ht="12.75">
      <c r="A834" s="1638"/>
      <c r="F834" s="1"/>
      <c r="G834" s="1"/>
      <c r="H834" s="1"/>
      <c r="I834" s="1"/>
      <c r="L834" s="326"/>
      <c r="M834" s="326"/>
    </row>
    <row r="835" spans="1:13" customFormat="1" ht="12.75">
      <c r="A835" s="1638"/>
      <c r="F835" s="1"/>
      <c r="G835" s="1"/>
      <c r="H835" s="1"/>
      <c r="I835" s="1"/>
      <c r="L835" s="326"/>
      <c r="M835" s="326"/>
    </row>
    <row r="836" spans="1:13" customFormat="1" ht="12.75">
      <c r="A836" s="1638"/>
      <c r="F836" s="1"/>
      <c r="G836" s="1"/>
      <c r="H836" s="1"/>
      <c r="I836" s="1"/>
      <c r="L836" s="326"/>
      <c r="M836" s="326"/>
    </row>
    <row r="837" spans="1:13" customFormat="1" ht="12.75">
      <c r="A837" s="1638"/>
      <c r="F837" s="1"/>
      <c r="G837" s="1"/>
      <c r="H837" s="1"/>
      <c r="I837" s="1"/>
      <c r="L837" s="326"/>
      <c r="M837" s="326"/>
    </row>
    <row r="838" spans="1:13" customFormat="1" ht="12.75">
      <c r="A838" s="1638"/>
      <c r="F838" s="1"/>
      <c r="G838" s="1"/>
      <c r="H838" s="1"/>
      <c r="I838" s="1"/>
      <c r="L838" s="326"/>
      <c r="M838" s="326"/>
    </row>
    <row r="839" spans="1:13" customFormat="1" ht="12.75">
      <c r="A839" s="1638"/>
      <c r="F839" s="1"/>
      <c r="G839" s="1"/>
      <c r="H839" s="1"/>
      <c r="I839" s="1"/>
      <c r="L839" s="326"/>
      <c r="M839" s="326"/>
    </row>
    <row r="840" spans="1:13" customFormat="1" ht="12.75">
      <c r="A840" s="1638"/>
      <c r="F840" s="1"/>
      <c r="G840" s="1"/>
      <c r="H840" s="1"/>
      <c r="I840" s="1"/>
      <c r="L840" s="326"/>
      <c r="M840" s="326"/>
    </row>
    <row r="841" spans="1:13" customFormat="1" ht="12.75">
      <c r="A841" s="1638"/>
      <c r="F841" s="1"/>
      <c r="G841" s="1"/>
      <c r="H841" s="1"/>
      <c r="I841" s="1"/>
      <c r="L841" s="326"/>
      <c r="M841" s="326"/>
    </row>
    <row r="842" spans="1:13" customFormat="1" ht="12.75">
      <c r="A842" s="1638"/>
      <c r="F842" s="1"/>
      <c r="G842" s="1"/>
      <c r="H842" s="1"/>
      <c r="I842" s="1"/>
      <c r="L842" s="326"/>
      <c r="M842" s="326"/>
    </row>
    <row r="843" spans="1:13" customFormat="1" ht="12.75">
      <c r="A843" s="1638"/>
      <c r="F843" s="1"/>
      <c r="G843" s="1"/>
      <c r="H843" s="1"/>
      <c r="I843" s="1"/>
      <c r="L843" s="326"/>
      <c r="M843" s="326"/>
    </row>
    <row r="844" spans="1:13" customFormat="1" ht="12.75">
      <c r="A844" s="1638"/>
      <c r="F844" s="1"/>
      <c r="G844" s="1"/>
      <c r="H844" s="1"/>
      <c r="I844" s="1"/>
      <c r="L844" s="326"/>
      <c r="M844" s="326"/>
    </row>
    <row r="845" spans="1:13" customFormat="1" ht="12.75">
      <c r="A845" s="1638"/>
      <c r="F845" s="1"/>
      <c r="G845" s="1"/>
      <c r="H845" s="1"/>
      <c r="I845" s="1"/>
      <c r="L845" s="326"/>
      <c r="M845" s="326"/>
    </row>
    <row r="846" spans="1:13" customFormat="1" ht="12.75">
      <c r="A846" s="1638"/>
      <c r="F846" s="1"/>
      <c r="G846" s="1"/>
      <c r="H846" s="1"/>
      <c r="I846" s="1"/>
      <c r="L846" s="326"/>
      <c r="M846" s="326"/>
    </row>
    <row r="847" spans="1:13" customFormat="1" ht="12.75">
      <c r="A847" s="1638"/>
      <c r="F847" s="1"/>
      <c r="G847" s="1"/>
      <c r="H847" s="1"/>
      <c r="I847" s="1"/>
      <c r="L847" s="326"/>
      <c r="M847" s="326"/>
    </row>
    <row r="848" spans="1:13" customFormat="1" ht="12.75">
      <c r="A848" s="1638"/>
      <c r="F848" s="1"/>
      <c r="G848" s="1"/>
      <c r="H848" s="1"/>
      <c r="I848" s="1"/>
      <c r="L848" s="326"/>
      <c r="M848" s="326"/>
    </row>
    <row r="849" spans="1:13" customFormat="1" ht="12.75">
      <c r="A849" s="1638"/>
      <c r="F849" s="1"/>
      <c r="G849" s="1"/>
      <c r="H849" s="1"/>
      <c r="I849" s="1"/>
      <c r="L849" s="326"/>
      <c r="M849" s="326"/>
    </row>
    <row r="850" spans="1:13" customFormat="1" ht="12.75">
      <c r="A850" s="1638"/>
      <c r="F850" s="1"/>
      <c r="G850" s="1"/>
      <c r="H850" s="1"/>
      <c r="I850" s="1"/>
      <c r="L850" s="326"/>
      <c r="M850" s="326"/>
    </row>
    <row r="851" spans="1:13" customFormat="1" ht="12.75">
      <c r="A851" s="1638"/>
      <c r="F851" s="1"/>
      <c r="G851" s="1"/>
      <c r="H851" s="1"/>
      <c r="I851" s="1"/>
      <c r="L851" s="326"/>
      <c r="M851" s="326"/>
    </row>
    <row r="852" spans="1:13" customFormat="1" ht="12.75">
      <c r="A852" s="1638"/>
      <c r="F852" s="1"/>
      <c r="G852" s="1"/>
      <c r="H852" s="1"/>
      <c r="I852" s="1"/>
      <c r="L852" s="326"/>
      <c r="M852" s="326"/>
    </row>
    <row r="853" spans="1:13" customFormat="1" ht="12.75">
      <c r="A853" s="1638"/>
      <c r="F853" s="1"/>
      <c r="G853" s="1"/>
      <c r="H853" s="1"/>
      <c r="I853" s="1"/>
      <c r="L853" s="326"/>
      <c r="M853" s="326"/>
    </row>
    <row r="854" spans="1:13" customFormat="1" ht="12.75">
      <c r="A854" s="1638"/>
      <c r="F854" s="1"/>
      <c r="G854" s="1"/>
      <c r="H854" s="1"/>
      <c r="I854" s="1"/>
      <c r="L854" s="326"/>
      <c r="M854" s="326"/>
    </row>
    <row r="855" spans="1:13" customFormat="1" ht="12.75">
      <c r="A855" s="1638"/>
      <c r="F855" s="1"/>
      <c r="G855" s="1"/>
      <c r="H855" s="1"/>
      <c r="I855" s="1"/>
      <c r="L855" s="326"/>
      <c r="M855" s="326"/>
    </row>
    <row r="856" spans="1:13" customFormat="1" ht="12.75">
      <c r="A856" s="1638"/>
      <c r="F856" s="1"/>
      <c r="G856" s="1"/>
      <c r="H856" s="1"/>
      <c r="I856" s="1"/>
      <c r="L856" s="326"/>
      <c r="M856" s="326"/>
    </row>
  </sheetData>
  <sheetProtection password="C616" sheet="1" objects="1" scenarios="1"/>
  <mergeCells count="63">
    <mergeCell ref="B39:C39"/>
    <mergeCell ref="B40:C40"/>
    <mergeCell ref="B72:C72"/>
    <mergeCell ref="B45:C45"/>
    <mergeCell ref="B41:C41"/>
    <mergeCell ref="B42:C42"/>
    <mergeCell ref="B43:C43"/>
    <mergeCell ref="J73:K73"/>
    <mergeCell ref="J70:K70"/>
    <mergeCell ref="B71:C71"/>
    <mergeCell ref="B57:B58"/>
    <mergeCell ref="J67:K67"/>
    <mergeCell ref="J68:K68"/>
    <mergeCell ref="J66:K66"/>
    <mergeCell ref="G60:K60"/>
    <mergeCell ref="J69:K69"/>
    <mergeCell ref="J71:K71"/>
    <mergeCell ref="J72:K72"/>
    <mergeCell ref="G51:K53"/>
    <mergeCell ref="C55:F55"/>
    <mergeCell ref="G55:K55"/>
    <mergeCell ref="C57:F58"/>
    <mergeCell ref="G57:K58"/>
    <mergeCell ref="B33:C33"/>
    <mergeCell ref="B35:C35"/>
    <mergeCell ref="B37:C37"/>
    <mergeCell ref="B38:C38"/>
    <mergeCell ref="B34:D34"/>
    <mergeCell ref="B17:C17"/>
    <mergeCell ref="B19:C19"/>
    <mergeCell ref="B21:C21"/>
    <mergeCell ref="B32:C32"/>
    <mergeCell ref="B30:C30"/>
    <mergeCell ref="B31:C31"/>
    <mergeCell ref="B23:C23"/>
    <mergeCell ref="B24:C24"/>
    <mergeCell ref="B27:E27"/>
    <mergeCell ref="B29:D29"/>
    <mergeCell ref="G2:K2"/>
    <mergeCell ref="E3:F3"/>
    <mergeCell ref="G3:K3"/>
    <mergeCell ref="G4:K4"/>
    <mergeCell ref="D16:E16"/>
    <mergeCell ref="J7:K7"/>
    <mergeCell ref="J8:K8"/>
    <mergeCell ref="C7:F7"/>
    <mergeCell ref="C8:H8"/>
    <mergeCell ref="I13:K13"/>
    <mergeCell ref="I14:K14"/>
    <mergeCell ref="B16:C16"/>
    <mergeCell ref="E14:G14"/>
    <mergeCell ref="E13:F13"/>
    <mergeCell ref="B89:C89"/>
    <mergeCell ref="B46:C46"/>
    <mergeCell ref="B80:C80"/>
    <mergeCell ref="B66:C66"/>
    <mergeCell ref="B67:C67"/>
    <mergeCell ref="B68:C68"/>
    <mergeCell ref="B69:C69"/>
    <mergeCell ref="B70:C70"/>
    <mergeCell ref="C51:F53"/>
    <mergeCell ref="B77:E77"/>
    <mergeCell ref="B73:C73"/>
  </mergeCells>
  <phoneticPr fontId="6" type="noConversion"/>
  <conditionalFormatting sqref="K93">
    <cfRule type="expression" dxfId="360" priority="259" stopIfTrue="1">
      <formula>$L$37=1</formula>
    </cfRule>
  </conditionalFormatting>
  <conditionalFormatting sqref="I67:J67">
    <cfRule type="expression" dxfId="359" priority="260" stopIfTrue="1">
      <formula>$B$67=""</formula>
    </cfRule>
  </conditionalFormatting>
  <conditionalFormatting sqref="G92">
    <cfRule type="expression" dxfId="358" priority="261" stopIfTrue="1">
      <formula>Zonen&gt;1</formula>
    </cfRule>
  </conditionalFormatting>
  <conditionalFormatting sqref="H92">
    <cfRule type="expression" dxfId="357" priority="264" stopIfTrue="1">
      <formula>Zonen&gt;2</formula>
    </cfRule>
  </conditionalFormatting>
  <conditionalFormatting sqref="J73">
    <cfRule type="expression" dxfId="356" priority="265" stopIfTrue="1">
      <formula>minergiep=TRUE</formula>
    </cfRule>
  </conditionalFormatting>
  <conditionalFormatting sqref="F91:I91 F19">
    <cfRule type="expression" dxfId="355" priority="266" stopIfTrue="1">
      <formula>$F$19&lt;$F$91</formula>
    </cfRule>
  </conditionalFormatting>
  <conditionalFormatting sqref="K80 K82">
    <cfRule type="expression" dxfId="354" priority="275" stopIfTrue="1">
      <formula>AND(Primaeranforderung&gt;0,(qhs_vollständig*IF(EBF=0,0,(_qhs1*_EBF1+_qhs2*_EBF2+_qhs3*_EBF3+_qhs4*_EBF4)/EBF)/3.6)&gt;Primaeranforderung)</formula>
    </cfRule>
  </conditionalFormatting>
  <conditionalFormatting sqref="F89 F80">
    <cfRule type="expression" dxfId="353" priority="279" stopIfTrue="1">
      <formula>Kategorie1=13</formula>
    </cfRule>
  </conditionalFormatting>
  <conditionalFormatting sqref="F84:I84 K84">
    <cfRule type="expression" dxfId="352" priority="280" stopIfTrue="1">
      <formula>minergiep</formula>
    </cfRule>
  </conditionalFormatting>
  <conditionalFormatting sqref="F33">
    <cfRule type="expression" dxfId="351" priority="284" stopIfTrue="1">
      <formula>OR(Standardlüftung1&gt;2,minergiep)</formula>
    </cfRule>
  </conditionalFormatting>
  <conditionalFormatting sqref="G66:H66">
    <cfRule type="expression" dxfId="350" priority="293" stopIfTrue="1">
      <formula>$B$66&lt;&gt;""</formula>
    </cfRule>
  </conditionalFormatting>
  <conditionalFormatting sqref="G67:H67">
    <cfRule type="expression" dxfId="349" priority="294" stopIfTrue="1">
      <formula>$B$67&lt;&gt;""</formula>
    </cfRule>
  </conditionalFormatting>
  <conditionalFormatting sqref="G68:H68">
    <cfRule type="expression" dxfId="348" priority="295" stopIfTrue="1">
      <formula>$B$68&lt;&gt;""</formula>
    </cfRule>
  </conditionalFormatting>
  <conditionalFormatting sqref="G69:H69">
    <cfRule type="expression" dxfId="347" priority="296" stopIfTrue="1">
      <formula>$B$69&lt;&gt;""</formula>
    </cfRule>
  </conditionalFormatting>
  <conditionalFormatting sqref="G70:H70">
    <cfRule type="expression" dxfId="346" priority="297" stopIfTrue="1">
      <formula>$B$70&lt;&gt;""</formula>
    </cfRule>
  </conditionalFormatting>
  <conditionalFormatting sqref="G71:H71">
    <cfRule type="expression" dxfId="345" priority="298" stopIfTrue="1">
      <formula>$B$71&lt;&gt;""</formula>
    </cfRule>
  </conditionalFormatting>
  <conditionalFormatting sqref="G72:H72">
    <cfRule type="expression" dxfId="344" priority="299" stopIfTrue="1">
      <formula>$B$72&lt;&gt;""</formula>
    </cfRule>
  </conditionalFormatting>
  <conditionalFormatting sqref="G73:H73">
    <cfRule type="expression" dxfId="343" priority="300" stopIfTrue="1">
      <formula>$B$73&lt;&gt;""</formula>
    </cfRule>
  </conditionalFormatting>
  <conditionalFormatting sqref="K91">
    <cfRule type="expression" dxfId="342" priority="301" stopIfTrue="1">
      <formula>OR($F$19&lt;$F$91,$G$19&lt;$G$91,$H$19&lt;$H$91,$I$19&lt;$I$91)</formula>
    </cfRule>
    <cfRule type="expression" dxfId="341" priority="302" stopIfTrue="1">
      <formula>BadMisch</formula>
    </cfRule>
  </conditionalFormatting>
  <conditionalFormatting sqref="K19">
    <cfRule type="expression" dxfId="340" priority="303" stopIfTrue="1">
      <formula>BadMisch</formula>
    </cfRule>
  </conditionalFormatting>
  <conditionalFormatting sqref="G80">
    <cfRule type="expression" dxfId="339" priority="304" stopIfTrue="1">
      <formula>AND(Zonen&gt;1,Kategorie2+$H$7&lt;&gt;13)</formula>
    </cfRule>
  </conditionalFormatting>
  <conditionalFormatting sqref="H80">
    <cfRule type="expression" dxfId="338" priority="305" stopIfTrue="1">
      <formula>AND(Zonen&gt;2,Kategorie3&lt;&gt;13)</formula>
    </cfRule>
  </conditionalFormatting>
  <conditionalFormatting sqref="I80">
    <cfRule type="expression" dxfId="337" priority="306" stopIfTrue="1">
      <formula>AND(Zonen&gt;3,Kategorie4&lt;&gt;13)</formula>
    </cfRule>
  </conditionalFormatting>
  <conditionalFormatting sqref="G79">
    <cfRule type="expression" dxfId="336" priority="307" stopIfTrue="1">
      <formula>AND(Zonen&gt;1,minergiep=FALSE,Kategorie2&lt;&gt;13)</formula>
    </cfRule>
    <cfRule type="expression" dxfId="335" priority="308" stopIfTrue="1">
      <formula>AND(Zonen&gt;1,minergiep=TRUE)</formula>
    </cfRule>
  </conditionalFormatting>
  <conditionalFormatting sqref="H79">
    <cfRule type="expression" dxfId="334" priority="309" stopIfTrue="1">
      <formula>AND(Zonen&gt;2,minergiep=FALSE,Kategorie3&lt;&gt;13)</formula>
    </cfRule>
    <cfRule type="expression" dxfId="333" priority="310" stopIfTrue="1">
      <formula>AND(Zonen&gt;2,minergiep=TRUE)</formula>
    </cfRule>
  </conditionalFormatting>
  <conditionalFormatting sqref="I79">
    <cfRule type="expression" dxfId="332" priority="311" stopIfTrue="1">
      <formula>AND(Zonen&gt;3,minergiep=FALSE,Kategorie4&lt;&gt;13)</formula>
    </cfRule>
    <cfRule type="expression" dxfId="331" priority="312" stopIfTrue="1">
      <formula>AND(Zonen&gt;3,minergiep=TRUE)</formula>
    </cfRule>
  </conditionalFormatting>
  <conditionalFormatting sqref="F79">
    <cfRule type="expression" dxfId="330" priority="313" stopIfTrue="1">
      <formula>minergiep=TRUE</formula>
    </cfRule>
    <cfRule type="expression" dxfId="329" priority="314" stopIfTrue="1">
      <formula>Kategorie1=13</formula>
    </cfRule>
  </conditionalFormatting>
  <conditionalFormatting sqref="F39">
    <cfRule type="expression" dxfId="328" priority="315" stopIfTrue="1">
      <formula>"&lt;&gt;minergiep"</formula>
    </cfRule>
  </conditionalFormatting>
  <conditionalFormatting sqref="F40:F41">
    <cfRule type="expression" dxfId="327" priority="7">
      <formula>$F$94</formula>
    </cfRule>
    <cfRule type="expression" dxfId="326" priority="214" stopIfTrue="1">
      <formula>Kategorie1=13</formula>
    </cfRule>
    <cfRule type="expression" dxfId="325" priority="215" stopIfTrue="1">
      <formula>$F$78</formula>
    </cfRule>
  </conditionalFormatting>
  <conditionalFormatting sqref="I40:I41">
    <cfRule type="expression" dxfId="324" priority="4">
      <formula>$I$94</formula>
    </cfRule>
    <cfRule type="expression" dxfId="323" priority="208" stopIfTrue="1">
      <formula>$I$78</formula>
    </cfRule>
    <cfRule type="expression" dxfId="322" priority="321" stopIfTrue="1">
      <formula>AND(Zonen&gt;3,Kategorie4&lt;&gt;13)</formula>
    </cfRule>
  </conditionalFormatting>
  <conditionalFormatting sqref="F32">
    <cfRule type="expression" dxfId="321" priority="322" stopIfTrue="1">
      <formula>AND(Kategorie1&lt;6,Kategorie1&gt;1,Standardlüftung1&gt;2)</formula>
    </cfRule>
  </conditionalFormatting>
  <conditionalFormatting sqref="G40:G41">
    <cfRule type="expression" dxfId="320" priority="6">
      <formula>$G$94</formula>
    </cfRule>
    <cfRule type="expression" dxfId="319" priority="212" stopIfTrue="1">
      <formula>$G$78</formula>
    </cfRule>
    <cfRule type="expression" dxfId="318" priority="324" stopIfTrue="1">
      <formula>AND(Zonen&gt;1,Kategorie2&lt;&gt;13)</formula>
    </cfRule>
  </conditionalFormatting>
  <conditionalFormatting sqref="K90">
    <cfRule type="expression" dxfId="317" priority="253">
      <formula>MUKEN=TRUE</formula>
    </cfRule>
    <cfRule type="cellIs" dxfId="316" priority="325" stopIfTrue="1" operator="lessThan">
      <formula>1000000</formula>
    </cfRule>
  </conditionalFormatting>
  <conditionalFormatting sqref="F42">
    <cfRule type="expression" dxfId="315" priority="326" stopIfTrue="1">
      <formula>Kategorie1=13</formula>
    </cfRule>
    <cfRule type="expression" dxfId="314" priority="327" stopIfTrue="1">
      <formula>OR($F$77,$F$76)</formula>
    </cfRule>
  </conditionalFormatting>
  <conditionalFormatting sqref="F25">
    <cfRule type="expression" dxfId="313" priority="249">
      <formula>MUKEN=TRUE</formula>
    </cfRule>
    <cfRule type="expression" dxfId="312" priority="353" stopIfTrue="1">
      <formula>AND(Hoehe&lt;800,minergiep=FALSE,minergiea=FALSE)</formula>
    </cfRule>
    <cfRule type="expression" dxfId="311" priority="354" stopIfTrue="1">
      <formula>OR(AND(minergiep=TRUE,Luftheizung),minergiea=TRUE)</formula>
    </cfRule>
    <cfRule type="expression" dxfId="310" priority="355" stopIfTrue="1">
      <formula>AND(minergiep,Luftheizung=FALSE)</formula>
    </cfRule>
  </conditionalFormatting>
  <conditionalFormatting sqref="G25">
    <cfRule type="expression" dxfId="309" priority="248">
      <formula>MUKEN=TRUE</formula>
    </cfRule>
    <cfRule type="expression" dxfId="308" priority="356" stopIfTrue="1">
      <formula>AND(Zonen&gt;1,Hoehe&gt;=800,minergiep=FALSE,minergiea=FALSE)</formula>
    </cfRule>
    <cfRule type="expression" dxfId="307" priority="357" stopIfTrue="1">
      <formula>OR(AND(Zonen&gt;1,AND(minergiep=TRUE,Luftheizung)),AND(Zonen&gt;1,minergiea=TRUE))</formula>
    </cfRule>
    <cfRule type="expression" dxfId="306" priority="358" stopIfTrue="1">
      <formula>AND(Zonen&gt;1,AND(minergiep=TRUE,Luftheizung=FALSE))</formula>
    </cfRule>
  </conditionalFormatting>
  <conditionalFormatting sqref="H25">
    <cfRule type="expression" dxfId="305" priority="247">
      <formula>MUKEN=TRUE</formula>
    </cfRule>
    <cfRule type="expression" dxfId="304" priority="359" stopIfTrue="1">
      <formula>AND(Zonen&gt;2,Hoehe&gt;=800,minergiep=FALSE,minergiea=FALSE)</formula>
    </cfRule>
    <cfRule type="expression" dxfId="303" priority="360" stopIfTrue="1">
      <formula>OR(AND(Zonen&gt;2,AND(minergiep=TRUE,Luftheizung)),AND(Zonen&gt;2,minergiea=TRUE))</formula>
    </cfRule>
    <cfRule type="expression" dxfId="302" priority="361" stopIfTrue="1">
      <formula>AND(Zonen&gt;2,AND(minergiep=TRUE,Luftheizung=FALSE))</formula>
    </cfRule>
  </conditionalFormatting>
  <conditionalFormatting sqref="I25">
    <cfRule type="expression" dxfId="301" priority="246">
      <formula>MUKEN=TRUE</formula>
    </cfRule>
    <cfRule type="expression" dxfId="300" priority="362" stopIfTrue="1">
      <formula>AND(Zonen&gt;3,Hoehe&gt;=800,minergiep=FALSE,minergiea=FALSE)</formula>
    </cfRule>
    <cfRule type="expression" dxfId="299" priority="363" stopIfTrue="1">
      <formula>OR(AND(Zonen&gt;3,AND(minergiep=TRUE,Luftheizung)),AND(Zonen&gt;3,minergiea=TRUE))</formula>
    </cfRule>
    <cfRule type="expression" dxfId="298" priority="364" stopIfTrue="1">
      <formula>AND(Zonen&gt;3,AND(minergiep=TRUE,Luftheizung=FALSE))</formula>
    </cfRule>
  </conditionalFormatting>
  <conditionalFormatting sqref="F31">
    <cfRule type="expression" dxfId="297" priority="365" stopIfTrue="1">
      <formula>Standardlüftung1=3</formula>
    </cfRule>
  </conditionalFormatting>
  <conditionalFormatting sqref="F34:F35">
    <cfRule type="expression" dxfId="296" priority="369" stopIfTrue="1">
      <formula>AND(Standardlüftung1&gt;2)</formula>
    </cfRule>
  </conditionalFormatting>
  <conditionalFormatting sqref="F43">
    <cfRule type="expression" dxfId="295" priority="476" stopIfTrue="1">
      <formula>Kategorie1=13</formula>
    </cfRule>
    <cfRule type="expression" dxfId="294" priority="477" stopIfTrue="1">
      <formula>$F$77</formula>
    </cfRule>
  </conditionalFormatting>
  <conditionalFormatting sqref="B90:C90">
    <cfRule type="expression" dxfId="293" priority="258">
      <formula>MUKEN=TRUE</formula>
    </cfRule>
  </conditionalFormatting>
  <conditionalFormatting sqref="D90:I90">
    <cfRule type="expression" dxfId="292" priority="257">
      <formula>MUKEN=TRUE</formula>
    </cfRule>
  </conditionalFormatting>
  <conditionalFormatting sqref="J90">
    <cfRule type="expression" dxfId="291" priority="252">
      <formula>MUKEN=TRUE</formula>
    </cfRule>
  </conditionalFormatting>
  <conditionalFormatting sqref="B25 D25:E25">
    <cfRule type="expression" dxfId="290" priority="251">
      <formula>MUKEN=TRUE</formula>
    </cfRule>
  </conditionalFormatting>
  <conditionalFormatting sqref="I92">
    <cfRule type="expression" dxfId="289" priority="250">
      <formula>Zonen&gt;3</formula>
    </cfRule>
  </conditionalFormatting>
  <conditionalFormatting sqref="J25:K25">
    <cfRule type="expression" dxfId="288" priority="245">
      <formula>MUKEN=TRUE</formula>
    </cfRule>
  </conditionalFormatting>
  <conditionalFormatting sqref="F46">
    <cfRule type="expression" dxfId="287" priority="229" stopIfTrue="1">
      <formula>Kategorie1=13</formula>
    </cfRule>
  </conditionalFormatting>
  <conditionalFormatting sqref="G89">
    <cfRule type="expression" dxfId="286" priority="222" stopIfTrue="1">
      <formula>Kategorie1=13</formula>
    </cfRule>
  </conditionalFormatting>
  <conditionalFormatting sqref="H89">
    <cfRule type="expression" dxfId="285" priority="221" stopIfTrue="1">
      <formula>Kategorie1=13</formula>
    </cfRule>
  </conditionalFormatting>
  <conditionalFormatting sqref="I89">
    <cfRule type="expression" dxfId="284" priority="220" stopIfTrue="1">
      <formula>Kategorie1=13</formula>
    </cfRule>
  </conditionalFormatting>
  <conditionalFormatting sqref="K81">
    <cfRule type="expression" dxfId="283" priority="216" stopIfTrue="1">
      <formula>AND(Primaeranforderung&gt;0,(qhs_vollständig*IF(EBF=0,0,(_qhs1*_EBF1+_qhs2*_EBF2+_qhs3*_EBF3+_qhs4*_EBF4)/EBF)/3.6)&gt;Primaeranforderung)</formula>
    </cfRule>
  </conditionalFormatting>
  <conditionalFormatting sqref="F40">
    <cfRule type="expression" dxfId="282" priority="194" stopIfTrue="1">
      <formula>Standardlüftung1=3</formula>
    </cfRule>
    <cfRule type="expression" dxfId="281" priority="317" stopIfTrue="1">
      <formula>$F$88=FALSE</formula>
    </cfRule>
  </conditionalFormatting>
  <conditionalFormatting sqref="F41">
    <cfRule type="expression" dxfId="280" priority="193">
      <formula>Standardlüftung1=3</formula>
    </cfRule>
    <cfRule type="expression" dxfId="279" priority="316" stopIfTrue="1">
      <formula>$F$88=FALSE</formula>
    </cfRule>
  </conditionalFormatting>
  <conditionalFormatting sqref="G40">
    <cfRule type="expression" dxfId="278" priority="192">
      <formula>OR(Standardlüftung2=3,Kategorie2=1)</formula>
    </cfRule>
    <cfRule type="expression" dxfId="277" priority="323" stopIfTrue="1">
      <formula>$G$88=FALSE</formula>
    </cfRule>
  </conditionalFormatting>
  <conditionalFormatting sqref="G41">
    <cfRule type="expression" dxfId="276" priority="191">
      <formula>OR(Standardlüftung2=3,Kategorie2=1)</formula>
    </cfRule>
    <cfRule type="expression" dxfId="275" priority="213" stopIfTrue="1">
      <formula>$G$88=FALSE</formula>
    </cfRule>
  </conditionalFormatting>
  <conditionalFormatting sqref="I40">
    <cfRule type="expression" dxfId="274" priority="188">
      <formula>OR(Standardlüftung4=3,Kategorie4=1)</formula>
    </cfRule>
    <cfRule type="expression" dxfId="273" priority="320" stopIfTrue="1">
      <formula>$I$88=FALSE</formula>
    </cfRule>
  </conditionalFormatting>
  <conditionalFormatting sqref="I41">
    <cfRule type="expression" dxfId="272" priority="187">
      <formula>OR(Standardlüftung4=3,Kategorie4=1)</formula>
    </cfRule>
    <cfRule type="expression" dxfId="271" priority="209" stopIfTrue="1">
      <formula>$I$88=FALSE</formula>
    </cfRule>
  </conditionalFormatting>
  <conditionalFormatting sqref="F17">
    <cfRule type="expression" dxfId="270" priority="204">
      <formula>ISERROR(_WW1)</formula>
    </cfRule>
  </conditionalFormatting>
  <conditionalFormatting sqref="F30">
    <cfRule type="expression" dxfId="269" priority="202">
      <formula>ISERROR(Standardlüftung1)</formula>
    </cfRule>
  </conditionalFormatting>
  <conditionalFormatting sqref="F37">
    <cfRule type="expression" dxfId="268" priority="198">
      <formula>Standardlüftung1=3</formula>
    </cfRule>
  </conditionalFormatting>
  <conditionalFormatting sqref="G37">
    <cfRule type="expression" dxfId="267" priority="197">
      <formula>Standardlüftung2=3</formula>
    </cfRule>
  </conditionalFormatting>
  <conditionalFormatting sqref="I37">
    <cfRule type="expression" dxfId="266" priority="195">
      <formula>Standardlüftung4=3</formula>
    </cfRule>
  </conditionalFormatting>
  <conditionalFormatting sqref="K24">
    <cfRule type="expression" dxfId="265" priority="177">
      <formula>MUKEN=TRUE</formula>
    </cfRule>
    <cfRule type="cellIs" dxfId="264" priority="186" stopIfTrue="1" operator="lessThan">
      <formula>1000000</formula>
    </cfRule>
  </conditionalFormatting>
  <conditionalFormatting sqref="J24">
    <cfRule type="expression" dxfId="263" priority="176">
      <formula>MUKEN=TRUE</formula>
    </cfRule>
  </conditionalFormatting>
  <conditionalFormatting sqref="F23">
    <cfRule type="expression" dxfId="262" priority="166">
      <formula>MUKEN=TRUE</formula>
    </cfRule>
    <cfRule type="expression" dxfId="261" priority="169" stopIfTrue="1">
      <formula>$F$19&lt;$F$91</formula>
    </cfRule>
  </conditionalFormatting>
  <conditionalFormatting sqref="J23">
    <cfRule type="expression" dxfId="260" priority="161">
      <formula>MUKEN=TRUE</formula>
    </cfRule>
  </conditionalFormatting>
  <conditionalFormatting sqref="B48:K62">
    <cfRule type="expression" dxfId="259" priority="160">
      <formula>MUKEN=FALSE</formula>
    </cfRule>
  </conditionalFormatting>
  <conditionalFormatting sqref="B47:K47">
    <cfRule type="expression" dxfId="258" priority="159">
      <formula>MUKEN=TRUE</formula>
    </cfRule>
  </conditionalFormatting>
  <conditionalFormatting sqref="I8:K8">
    <cfRule type="expression" dxfId="257" priority="145">
      <formula>MUKEN=FALSE</formula>
    </cfRule>
  </conditionalFormatting>
  <conditionalFormatting sqref="G43">
    <cfRule type="expression" dxfId="256" priority="127" stopIfTrue="1">
      <formula>Kategorie2=13</formula>
    </cfRule>
    <cfRule type="expression" dxfId="255" priority="128" stopIfTrue="1">
      <formula>$G$77</formula>
    </cfRule>
  </conditionalFormatting>
  <conditionalFormatting sqref="I43">
    <cfRule type="expression" dxfId="254" priority="121" stopIfTrue="1">
      <formula>Kategorie4=13</formula>
    </cfRule>
    <cfRule type="expression" dxfId="253" priority="122" stopIfTrue="1">
      <formula>$I$77</formula>
    </cfRule>
  </conditionalFormatting>
  <conditionalFormatting sqref="A23:E24">
    <cfRule type="expression" dxfId="252" priority="111">
      <formula>MUKEN=TRUE</formula>
    </cfRule>
  </conditionalFormatting>
  <conditionalFormatting sqref="F24">
    <cfRule type="expression" dxfId="251" priority="110">
      <formula>MUKEN=TRUE</formula>
    </cfRule>
  </conditionalFormatting>
  <conditionalFormatting sqref="B21:E21">
    <cfRule type="expression" dxfId="250" priority="109">
      <formula>MUKEN=TRUE</formula>
    </cfRule>
  </conditionalFormatting>
  <conditionalFormatting sqref="G42:G43">
    <cfRule type="expression" dxfId="249" priority="328" stopIfTrue="1">
      <formula>OR($G$77,$G$76)</formula>
    </cfRule>
    <cfRule type="expression" dxfId="248" priority="329" stopIfTrue="1">
      <formula>AND(Zonen&gt;1,Kategorie2&lt;&gt;13)</formula>
    </cfRule>
  </conditionalFormatting>
  <conditionalFormatting sqref="I42:I43">
    <cfRule type="expression" dxfId="247" priority="332" stopIfTrue="1">
      <formula>OR($I$77,$I$76)</formula>
    </cfRule>
    <cfRule type="expression" dxfId="246" priority="333" stopIfTrue="1">
      <formula>AND(Zonen&gt;3,Kategorie4&lt;&gt;13)</formula>
    </cfRule>
  </conditionalFormatting>
  <conditionalFormatting sqref="G19">
    <cfRule type="expression" dxfId="245" priority="108" stopIfTrue="1">
      <formula>$F$19&lt;$F$91</formula>
    </cfRule>
  </conditionalFormatting>
  <conditionalFormatting sqref="G17">
    <cfRule type="expression" dxfId="244" priority="107">
      <formula>ISERROR(_WW2)</formula>
    </cfRule>
  </conditionalFormatting>
  <conditionalFormatting sqref="G23">
    <cfRule type="expression" dxfId="243" priority="105">
      <formula>MUKEN=TRUE</formula>
    </cfRule>
    <cfRule type="expression" dxfId="242" priority="106" stopIfTrue="1">
      <formula>$F$19&lt;$F$91</formula>
    </cfRule>
  </conditionalFormatting>
  <conditionalFormatting sqref="G24">
    <cfRule type="expression" dxfId="241" priority="104">
      <formula>MUKEN=TRUE</formula>
    </cfRule>
  </conditionalFormatting>
  <conditionalFormatting sqref="I19">
    <cfRule type="expression" dxfId="240" priority="98" stopIfTrue="1">
      <formula>$F$19&lt;$F$91</formula>
    </cfRule>
  </conditionalFormatting>
  <conditionalFormatting sqref="I17">
    <cfRule type="expression" dxfId="239" priority="97">
      <formula>ISERROR(_WW4)</formula>
    </cfRule>
  </conditionalFormatting>
  <conditionalFormatting sqref="I23">
    <cfRule type="expression" dxfId="238" priority="95">
      <formula>MUKEN=TRUE</formula>
    </cfRule>
    <cfRule type="expression" dxfId="237" priority="96" stopIfTrue="1">
      <formula>$F$19&lt;$F$91</formula>
    </cfRule>
  </conditionalFormatting>
  <conditionalFormatting sqref="I24">
    <cfRule type="expression" dxfId="236" priority="94">
      <formula>MUKEN=TRUE</formula>
    </cfRule>
  </conditionalFormatting>
  <conditionalFormatting sqref="G39">
    <cfRule type="expression" dxfId="235" priority="63">
      <formula>Zonen&lt;2</formula>
    </cfRule>
    <cfRule type="expression" dxfId="234" priority="93" stopIfTrue="1">
      <formula>"&lt;&gt;minergiep"</formula>
    </cfRule>
  </conditionalFormatting>
  <conditionalFormatting sqref="I39">
    <cfRule type="expression" dxfId="233" priority="61">
      <formula>Zonen&lt;4</formula>
    </cfRule>
    <cfRule type="expression" dxfId="232" priority="91" stopIfTrue="1">
      <formula>"&lt;&gt;minergiep"</formula>
    </cfRule>
  </conditionalFormatting>
  <conditionalFormatting sqref="G33">
    <cfRule type="expression" dxfId="231" priority="87" stopIfTrue="1">
      <formula>OR(Standardlüftung1&gt;2,minergiep)</formula>
    </cfRule>
  </conditionalFormatting>
  <conditionalFormatting sqref="G32">
    <cfRule type="expression" dxfId="230" priority="88" stopIfTrue="1">
      <formula>AND(Kategorie2&lt;6,Kategorie2&gt;1,Standardlüftung2&gt;2)</formula>
    </cfRule>
  </conditionalFormatting>
  <conditionalFormatting sqref="G31">
    <cfRule type="expression" dxfId="229" priority="89" stopIfTrue="1">
      <formula>Standardlüftung2=3</formula>
    </cfRule>
  </conditionalFormatting>
  <conditionalFormatting sqref="G34:G35">
    <cfRule type="expression" dxfId="228" priority="90" stopIfTrue="1">
      <formula>AND(Standardlüftung2&gt;2)</formula>
    </cfRule>
  </conditionalFormatting>
  <conditionalFormatting sqref="G30">
    <cfRule type="expression" dxfId="227" priority="69">
      <formula>Zonen&lt;2</formula>
    </cfRule>
    <cfRule type="expression" dxfId="226" priority="86">
      <formula>ISERROR(Standardlüftung1)</formula>
    </cfRule>
  </conditionalFormatting>
  <conditionalFormatting sqref="I33">
    <cfRule type="expression" dxfId="225" priority="77" stopIfTrue="1">
      <formula>OR(Standardlüftung1&gt;2,minergiep)</formula>
    </cfRule>
  </conditionalFormatting>
  <conditionalFormatting sqref="I32">
    <cfRule type="expression" dxfId="224" priority="78" stopIfTrue="1">
      <formula>AND(Kategorie4&lt;6,Kategorie4&gt;1,Standardlüftung4&gt;2)</formula>
    </cfRule>
  </conditionalFormatting>
  <conditionalFormatting sqref="I31">
    <cfRule type="expression" dxfId="223" priority="79" stopIfTrue="1">
      <formula>Standardlüftung4=3</formula>
    </cfRule>
  </conditionalFormatting>
  <conditionalFormatting sqref="I34:I35">
    <cfRule type="expression" dxfId="222" priority="80" stopIfTrue="1">
      <formula>AND(Standardlüftung4&gt;2)</formula>
    </cfRule>
  </conditionalFormatting>
  <conditionalFormatting sqref="I30">
    <cfRule type="expression" dxfId="221" priority="67">
      <formula>Zonen&lt;4</formula>
    </cfRule>
    <cfRule type="expression" dxfId="220" priority="76">
      <formula>ISERROR(Standardlüftung1)</formula>
    </cfRule>
  </conditionalFormatting>
  <conditionalFormatting sqref="G46">
    <cfRule type="expression" dxfId="219" priority="66">
      <formula>Zonen&lt;2</formula>
    </cfRule>
    <cfRule type="expression" dxfId="218" priority="75" stopIfTrue="1">
      <formula>Kategorie2=13</formula>
    </cfRule>
  </conditionalFormatting>
  <conditionalFormatting sqref="I46">
    <cfRule type="expression" dxfId="217" priority="64">
      <formula>Zonen&lt;4</formula>
    </cfRule>
    <cfRule type="expression" dxfId="216" priority="73" stopIfTrue="1">
      <formula>Kategorie4=13</formula>
    </cfRule>
  </conditionalFormatting>
  <conditionalFormatting sqref="G17:G24">
    <cfRule type="expression" dxfId="215" priority="72">
      <formula>Zonen&lt;2</formula>
    </cfRule>
  </conditionalFormatting>
  <conditionalFormatting sqref="I17:I24">
    <cfRule type="expression" dxfId="214" priority="70">
      <formula>Zonen&lt;4</formula>
    </cfRule>
  </conditionalFormatting>
  <conditionalFormatting sqref="H33">
    <cfRule type="expression" dxfId="213" priority="52" stopIfTrue="1">
      <formula>OR(Standardlüftung1&gt;2,minergiep)</formula>
    </cfRule>
  </conditionalFormatting>
  <conditionalFormatting sqref="H17">
    <cfRule type="expression" dxfId="212" priority="47">
      <formula>ISERROR(_WW3)</formula>
    </cfRule>
  </conditionalFormatting>
  <conditionalFormatting sqref="H17">
    <cfRule type="expression" dxfId="211" priority="46">
      <formula>Zonen&lt;3</formula>
    </cfRule>
  </conditionalFormatting>
  <conditionalFormatting sqref="H19">
    <cfRule type="expression" dxfId="210" priority="45" stopIfTrue="1">
      <formula>$H$19&lt;$H$91</formula>
    </cfRule>
  </conditionalFormatting>
  <conditionalFormatting sqref="H19">
    <cfRule type="expression" dxfId="209" priority="44">
      <formula>Zonen&lt;3</formula>
    </cfRule>
  </conditionalFormatting>
  <conditionalFormatting sqref="H21">
    <cfRule type="expression" dxfId="208" priority="43">
      <formula>Zonen&lt;3</formula>
    </cfRule>
  </conditionalFormatting>
  <conditionalFormatting sqref="H23">
    <cfRule type="expression" dxfId="207" priority="41">
      <formula>MUKEN=TRUE</formula>
    </cfRule>
    <cfRule type="expression" dxfId="206" priority="42" stopIfTrue="1">
      <formula>$H$19&lt;$H$91</formula>
    </cfRule>
  </conditionalFormatting>
  <conditionalFormatting sqref="H23">
    <cfRule type="expression" dxfId="205" priority="40">
      <formula>Zonen&lt;3</formula>
    </cfRule>
  </conditionalFormatting>
  <conditionalFormatting sqref="H24">
    <cfRule type="expression" dxfId="204" priority="39">
      <formula>MUKEN=TRUE</formula>
    </cfRule>
  </conditionalFormatting>
  <conditionalFormatting sqref="H24">
    <cfRule type="expression" dxfId="203" priority="38">
      <formula>Zonen&lt;3</formula>
    </cfRule>
  </conditionalFormatting>
  <conditionalFormatting sqref="H30">
    <cfRule type="expression" dxfId="202" priority="36">
      <formula>Zonen&lt;3</formula>
    </cfRule>
    <cfRule type="expression" dxfId="201" priority="37">
      <formula>ISERROR(Standardlüftung3)</formula>
    </cfRule>
  </conditionalFormatting>
  <conditionalFormatting sqref="H31">
    <cfRule type="expression" dxfId="200" priority="35" stopIfTrue="1">
      <formula>Standardlüftung3=3</formula>
    </cfRule>
  </conditionalFormatting>
  <conditionalFormatting sqref="H32">
    <cfRule type="expression" dxfId="199" priority="34" stopIfTrue="1">
      <formula>AND(Kategorie3&lt;6,Kategorie3&gt;1,Standardlüftung3&gt;2)</formula>
    </cfRule>
  </conditionalFormatting>
  <conditionalFormatting sqref="H34">
    <cfRule type="expression" dxfId="198" priority="33" stopIfTrue="1">
      <formula>AND(Standardlüftung3&gt;2)</formula>
    </cfRule>
  </conditionalFormatting>
  <conditionalFormatting sqref="H35">
    <cfRule type="expression" dxfId="197" priority="32" stopIfTrue="1">
      <formula>AND(Standardlüftung3&gt;2)</formula>
    </cfRule>
  </conditionalFormatting>
  <conditionalFormatting sqref="H37">
    <cfRule type="expression" dxfId="196" priority="31">
      <formula>Standardlüftung3=3</formula>
    </cfRule>
  </conditionalFormatting>
  <conditionalFormatting sqref="H39">
    <cfRule type="expression" dxfId="195" priority="29">
      <formula>Zonen&lt;3</formula>
    </cfRule>
    <cfRule type="expression" dxfId="194" priority="30" stopIfTrue="1">
      <formula>"&lt;&gt;minergiep"</formula>
    </cfRule>
  </conditionalFormatting>
  <conditionalFormatting sqref="H40">
    <cfRule type="expression" dxfId="193" priority="26" stopIfTrue="1">
      <formula>$H$78</formula>
    </cfRule>
    <cfRule type="expression" dxfId="192" priority="28" stopIfTrue="1">
      <formula>AND(Zonen&gt;2,Kategorie3&lt;&gt;13)</formula>
    </cfRule>
  </conditionalFormatting>
  <conditionalFormatting sqref="H40">
    <cfRule type="expression" dxfId="191" priority="25">
      <formula>OR(Standardlüftung3=3,Kategorie3=1)</formula>
    </cfRule>
    <cfRule type="expression" dxfId="190" priority="27" stopIfTrue="1">
      <formula>$H$88=FALSE</formula>
    </cfRule>
  </conditionalFormatting>
  <conditionalFormatting sqref="H41">
    <cfRule type="expression" dxfId="189" priority="18" stopIfTrue="1">
      <formula>$H$78</formula>
    </cfRule>
    <cfRule type="expression" dxfId="188" priority="20" stopIfTrue="1">
      <formula>AND(Zonen&gt;2,Kategorie3&lt;&gt;13)</formula>
    </cfRule>
  </conditionalFormatting>
  <conditionalFormatting sqref="H41">
    <cfRule type="expression" dxfId="187" priority="17">
      <formula>OR(Standardlüftung3=3,Kategorie3=1)</formula>
    </cfRule>
    <cfRule type="expression" dxfId="186" priority="19" stopIfTrue="1">
      <formula>$H$88=FALSE</formula>
    </cfRule>
  </conditionalFormatting>
  <conditionalFormatting sqref="H42">
    <cfRule type="expression" dxfId="185" priority="15" stopIfTrue="1">
      <formula>OR($H$77,$H$76)</formula>
    </cfRule>
    <cfRule type="expression" dxfId="184" priority="16" stopIfTrue="1">
      <formula>AND(Zonen&gt;2,Kategorie3&lt;&gt;13)</formula>
    </cfRule>
  </conditionalFormatting>
  <conditionalFormatting sqref="H43">
    <cfRule type="expression" dxfId="183" priority="11" stopIfTrue="1">
      <formula>Kategorie3=13</formula>
    </cfRule>
    <cfRule type="expression" dxfId="182" priority="12" stopIfTrue="1">
      <formula>$H$77</formula>
    </cfRule>
  </conditionalFormatting>
  <conditionalFormatting sqref="H43">
    <cfRule type="expression" dxfId="181" priority="13" stopIfTrue="1">
      <formula>OR($H$77,$H$76)</formula>
    </cfRule>
    <cfRule type="expression" dxfId="180" priority="14" stopIfTrue="1">
      <formula>AND(Zonen&gt;2,Kategorie3&lt;&gt;13)</formula>
    </cfRule>
  </conditionalFormatting>
  <conditionalFormatting sqref="H46">
    <cfRule type="expression" dxfId="179" priority="8">
      <formula>Zonen&lt;3</formula>
    </cfRule>
    <cfRule type="expression" dxfId="178" priority="9" stopIfTrue="1">
      <formula>Kategorie3=13</formula>
    </cfRule>
  </conditionalFormatting>
  <conditionalFormatting sqref="H40:H41">
    <cfRule type="expression" dxfId="177" priority="5">
      <formula>$H$94</formula>
    </cfRule>
  </conditionalFormatting>
  <conditionalFormatting sqref="E46">
    <cfRule type="expression" dxfId="176" priority="3">
      <formula>$D$47=1</formula>
    </cfRule>
  </conditionalFormatting>
  <conditionalFormatting sqref="K23">
    <cfRule type="expression" dxfId="175" priority="2" stopIfTrue="1">
      <formula>BadMisch</formula>
    </cfRule>
  </conditionalFormatting>
  <conditionalFormatting sqref="L23">
    <cfRule type="expression" dxfId="174" priority="1">
      <formula>MUKEN=TRUE</formula>
    </cfRule>
  </conditionalFormatting>
  <dataValidations count="28">
    <dataValidation type="list" allowBlank="1" showInputMessage="1" showErrorMessage="1" sqref="P21 S31" xr:uid="{00000000-0002-0000-0000-000000000000}">
      <formula1>#REF!</formula1>
    </dataValidation>
    <dataValidation type="list" allowBlank="1" showInputMessage="1" showErrorMessage="1" sqref="F31:I31" xr:uid="{00000000-0002-0000-0000-000001000000}">
      <formula1>Lüftungstyp</formula1>
    </dataValidation>
    <dataValidation type="list" allowBlank="1" showInputMessage="1" showErrorMessage="1" sqref="F35" xr:uid="{00000000-0002-0000-0000-000002000000}">
      <formula1>ECAC1</formula1>
    </dataValidation>
    <dataValidation type="list" allowBlank="1" showInputMessage="1" showErrorMessage="1" sqref="G35" xr:uid="{00000000-0002-0000-0000-000003000000}">
      <formula1>ECAC2</formula1>
    </dataValidation>
    <dataValidation type="list" allowBlank="1" showInputMessage="1" showErrorMessage="1" sqref="I35" xr:uid="{00000000-0002-0000-0000-000004000000}">
      <formula1>ECAC4</formula1>
    </dataValidation>
    <dataValidation type="list" allowBlank="1" showInputMessage="1" showErrorMessage="1" sqref="D60" xr:uid="{00000000-0002-0000-0000-000005000000}">
      <formula1>JaNein</formula1>
    </dataValidation>
    <dataValidation type="list" showInputMessage="1" showErrorMessage="1" sqref="I13:K13" xr:uid="{00000000-0002-0000-0000-000006000000}">
      <formula1>Kanton1</formula1>
    </dataValidation>
    <dataValidation type="list" showInputMessage="1" showErrorMessage="1" sqref="I14:K14" xr:uid="{00000000-0002-0000-0000-000007000000}">
      <formula1>Klimastation</formula1>
    </dataValidation>
    <dataValidation type="list" allowBlank="1" showInputMessage="1" showErrorMessage="1" sqref="F16:I16" xr:uid="{00000000-0002-0000-0000-000008000000}">
      <formula1>Gebäudekategorie</formula1>
    </dataValidation>
    <dataValidation type="list" allowBlank="1" showInputMessage="1" showErrorMessage="1" sqref="F17" xr:uid="{00000000-0002-0000-0000-000009000000}">
      <formula1>ww_1</formula1>
    </dataValidation>
    <dataValidation type="list" allowBlank="1" showInputMessage="1" showErrorMessage="1" sqref="G17" xr:uid="{00000000-0002-0000-0000-00000A000000}">
      <formula1>ww_2</formula1>
    </dataValidation>
    <dataValidation type="list" allowBlank="1" showInputMessage="1" showErrorMessage="1" errorTitle="falsche Eingabe" error="falsche Eingabe" sqref="I17" xr:uid="{00000000-0002-0000-0000-00000B000000}">
      <formula1>ww_4</formula1>
    </dataValidation>
    <dataValidation type="list" allowBlank="1" showInputMessage="1" showErrorMessage="1" sqref="F21:I21" xr:uid="{00000000-0002-0000-0000-00000C000000}">
      <formula1>_Neubau</formula1>
    </dataValidation>
    <dataValidation type="list" allowBlank="1" showInputMessage="1" showErrorMessage="1" sqref="F30" xr:uid="{00000000-0002-0000-0000-00000D000000}">
      <formula1>Kleinanlagen1</formula1>
    </dataValidation>
    <dataValidation type="list" allowBlank="1" showInputMessage="1" showErrorMessage="1" sqref="F34" xr:uid="{00000000-0002-0000-0000-00000E000000}">
      <formula1>WRG_1</formula1>
    </dataValidation>
    <dataValidation type="list" allowBlank="1" showInputMessage="1" showErrorMessage="1" sqref="F39" xr:uid="{00000000-0002-0000-0000-00000F000000}">
      <formula1>Zone1</formula1>
    </dataValidation>
    <dataValidation type="list" allowBlank="1" showInputMessage="1" showErrorMessage="1" sqref="G39" xr:uid="{00000000-0002-0000-0000-000010000000}">
      <formula1>Zone2</formula1>
    </dataValidation>
    <dataValidation type="list" allowBlank="1" showInputMessage="1" showErrorMessage="1" sqref="H39:I39" xr:uid="{00000000-0002-0000-0000-000011000000}">
      <formula1>Zone4</formula1>
    </dataValidation>
    <dataValidation type="list" allowBlank="1" showInputMessage="1" showErrorMessage="1" sqref="G30" xr:uid="{00000000-0002-0000-0000-000012000000}">
      <formula1>Kleinanlagen2</formula1>
    </dataValidation>
    <dataValidation type="list" allowBlank="1" showInputMessage="1" showErrorMessage="1" sqref="I30" xr:uid="{00000000-0002-0000-0000-000013000000}">
      <formula1>Kleinanlagen4</formula1>
    </dataValidation>
    <dataValidation type="list" allowBlank="1" showInputMessage="1" showErrorMessage="1" sqref="E46" xr:uid="{00000000-0002-0000-0000-000014000000}">
      <formula1>Einheit</formula1>
    </dataValidation>
    <dataValidation type="list" allowBlank="1" showInputMessage="1" showErrorMessage="1" sqref="G34" xr:uid="{00000000-0002-0000-0000-000015000000}">
      <formula1>WRG_2</formula1>
    </dataValidation>
    <dataValidation type="list" allowBlank="1" showInputMessage="1" showErrorMessage="1" sqref="I34" xr:uid="{00000000-0002-0000-0000-000016000000}">
      <formula1>WRG_4</formula1>
    </dataValidation>
    <dataValidation type="list" allowBlank="1" showInputMessage="1" showErrorMessage="1" errorTitle="falsche Eingabe" error="falsche Eingabe" sqref="H17" xr:uid="{00000000-0002-0000-0000-000017000000}">
      <formula1>ww_3</formula1>
    </dataValidation>
    <dataValidation type="list" allowBlank="1" showInputMessage="1" showErrorMessage="1" sqref="H30" xr:uid="{00000000-0002-0000-0000-000018000000}">
      <formula1>Kleinanlagen3</formula1>
    </dataValidation>
    <dataValidation type="list" allowBlank="1" showInputMessage="1" showErrorMessage="1" sqref="H34" xr:uid="{00000000-0002-0000-0000-000019000000}">
      <formula1>WRG_3</formula1>
    </dataValidation>
    <dataValidation type="list" allowBlank="1" showInputMessage="1" showErrorMessage="1" sqref="H35" xr:uid="{00000000-0002-0000-0000-00001A000000}">
      <formula1>ECAC3</formula1>
    </dataValidation>
    <dataValidation type="list" allowBlank="1" showInputMessage="1" showErrorMessage="1" sqref="E14:G14" xr:uid="{00000000-0002-0000-0000-00001B000000}">
      <formula1>Nachweistyp</formula1>
    </dataValidation>
  </dataValidations>
  <pageMargins left="0.59055118110236227" right="0.35433070866141736" top="0.47244094488188981" bottom="0.31496062992125984" header="0.39370078740157483" footer="0.27559055118110237"/>
  <pageSetup paperSize="9" scale="89"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4"/>
  <dimension ref="B1:F416"/>
  <sheetViews>
    <sheetView zoomScaleNormal="100" workbookViewId="0">
      <selection activeCell="B1" sqref="B1"/>
    </sheetView>
  </sheetViews>
  <sheetFormatPr baseColWidth="10" defaultColWidth="11.5703125" defaultRowHeight="26.1" customHeight="1"/>
  <cols>
    <col min="1" max="1" width="2.140625" style="401" customWidth="1"/>
    <col min="2" max="2" width="11.5703125" style="401"/>
    <col min="3" max="3" width="89.28515625" style="401" customWidth="1"/>
    <col min="4" max="4" width="77.42578125" style="401" customWidth="1"/>
    <col min="5" max="5" width="11.5703125" style="403"/>
    <col min="6" max="6" width="11.42578125" style="403" customWidth="1"/>
    <col min="7" max="16384" width="11.5703125" style="401"/>
  </cols>
  <sheetData>
    <row r="1" spans="2:6" ht="26.1" customHeight="1">
      <c r="B1" s="1002" t="s">
        <v>3196</v>
      </c>
    </row>
    <row r="3" spans="2:6" s="1003" customFormat="1" ht="26.1" customHeight="1">
      <c r="B3" s="1003" t="s">
        <v>530</v>
      </c>
      <c r="C3" s="1007" t="s">
        <v>1082</v>
      </c>
      <c r="D3" s="1003" t="s">
        <v>343</v>
      </c>
      <c r="E3" s="1004" t="s">
        <v>531</v>
      </c>
      <c r="F3" s="1004" t="s">
        <v>360</v>
      </c>
    </row>
    <row r="4" spans="2:6" ht="26.1" customHeight="1">
      <c r="B4" s="402">
        <v>42430</v>
      </c>
      <c r="C4" s="586" t="s">
        <v>1083</v>
      </c>
      <c r="E4" s="1006" t="s">
        <v>347</v>
      </c>
      <c r="F4" s="403">
        <v>0.8</v>
      </c>
    </row>
    <row r="5" spans="2:6" s="2" customFormat="1" ht="26.1" customHeight="1">
      <c r="B5" s="995">
        <v>42566</v>
      </c>
      <c r="C5" s="2" t="s">
        <v>1220</v>
      </c>
      <c r="E5" s="1006" t="s">
        <v>347</v>
      </c>
      <c r="F5" s="403">
        <v>0.9</v>
      </c>
    </row>
    <row r="6" spans="2:6" s="2" customFormat="1" ht="26.1" customHeight="1">
      <c r="B6" s="995">
        <v>42566</v>
      </c>
      <c r="C6" s="2" t="s">
        <v>1221</v>
      </c>
      <c r="D6" s="2" t="s">
        <v>1222</v>
      </c>
      <c r="E6" s="1006" t="s">
        <v>347</v>
      </c>
      <c r="F6" s="403">
        <v>0.9</v>
      </c>
    </row>
    <row r="7" spans="2:6" s="2" customFormat="1" ht="26.1" customHeight="1">
      <c r="B7" s="995">
        <v>42566</v>
      </c>
      <c r="C7" s="2" t="s">
        <v>1223</v>
      </c>
      <c r="D7" s="2" t="s">
        <v>1224</v>
      </c>
      <c r="E7" s="1006" t="s">
        <v>347</v>
      </c>
      <c r="F7" s="403">
        <v>0.9</v>
      </c>
    </row>
    <row r="8" spans="2:6" s="2" customFormat="1" ht="26.1" customHeight="1">
      <c r="B8" s="995">
        <v>42566</v>
      </c>
      <c r="C8" s="2" t="s">
        <v>1225</v>
      </c>
      <c r="D8" s="2" t="s">
        <v>1226</v>
      </c>
      <c r="E8" s="1006" t="s">
        <v>347</v>
      </c>
      <c r="F8" s="403">
        <v>0.9</v>
      </c>
    </row>
    <row r="9" spans="2:6" s="2" customFormat="1" ht="26.1" customHeight="1">
      <c r="B9" s="995">
        <v>42566</v>
      </c>
      <c r="C9" s="1000" t="s">
        <v>1229</v>
      </c>
      <c r="D9" s="999" t="s">
        <v>1228</v>
      </c>
      <c r="E9" s="1006" t="s">
        <v>347</v>
      </c>
      <c r="F9" s="403">
        <v>0.9</v>
      </c>
    </row>
    <row r="10" spans="2:6" s="2" customFormat="1" ht="26.1" customHeight="1">
      <c r="B10" s="995">
        <v>42576</v>
      </c>
      <c r="C10" s="1000" t="s">
        <v>1239</v>
      </c>
      <c r="D10" s="999" t="s">
        <v>1240</v>
      </c>
      <c r="E10" s="1006" t="s">
        <v>347</v>
      </c>
      <c r="F10" s="996">
        <v>0.92</v>
      </c>
    </row>
    <row r="11" spans="2:6" s="2" customFormat="1" ht="26.1" customHeight="1">
      <c r="B11" s="995">
        <v>42576</v>
      </c>
      <c r="C11" s="1000" t="s">
        <v>1247</v>
      </c>
      <c r="D11" s="1000" t="s">
        <v>1246</v>
      </c>
      <c r="E11" s="1006" t="s">
        <v>347</v>
      </c>
      <c r="F11" s="996">
        <v>0.92</v>
      </c>
    </row>
    <row r="12" spans="2:6" s="2" customFormat="1" ht="26.1" customHeight="1">
      <c r="B12" s="995">
        <v>42602</v>
      </c>
      <c r="C12" s="1000" t="s">
        <v>1699</v>
      </c>
      <c r="E12" s="1006" t="s">
        <v>347</v>
      </c>
      <c r="F12" s="1039" t="s">
        <v>1700</v>
      </c>
    </row>
    <row r="13" spans="2:6" s="2" customFormat="1" ht="26.1" customHeight="1">
      <c r="B13" s="995">
        <v>42623</v>
      </c>
      <c r="C13" s="1000" t="s">
        <v>1719</v>
      </c>
      <c r="D13" s="999" t="s">
        <v>1720</v>
      </c>
      <c r="E13" s="1006" t="s">
        <v>347</v>
      </c>
      <c r="F13" s="1071">
        <v>1.01</v>
      </c>
    </row>
    <row r="14" spans="2:6" s="2" customFormat="1" ht="26.1" customHeight="1">
      <c r="B14" s="995">
        <v>42626</v>
      </c>
      <c r="C14" s="1000" t="s">
        <v>1732</v>
      </c>
      <c r="D14" s="999" t="s">
        <v>1733</v>
      </c>
      <c r="E14" s="996" t="s">
        <v>347</v>
      </c>
      <c r="F14" s="996">
        <v>1.01</v>
      </c>
    </row>
    <row r="15" spans="2:6" s="2" customFormat="1" ht="26.1" customHeight="1">
      <c r="B15" s="995">
        <v>42664</v>
      </c>
      <c r="C15" s="1000" t="s">
        <v>1797</v>
      </c>
      <c r="E15" s="996" t="s">
        <v>347</v>
      </c>
      <c r="F15" s="996">
        <v>1.01</v>
      </c>
    </row>
    <row r="16" spans="2:6" s="2" customFormat="1" ht="26.1" customHeight="1">
      <c r="B16" s="995">
        <v>42684</v>
      </c>
      <c r="C16" s="1000" t="s">
        <v>1898</v>
      </c>
      <c r="D16" s="999" t="s">
        <v>1899</v>
      </c>
      <c r="E16" s="1285" t="s">
        <v>347</v>
      </c>
      <c r="F16" s="996">
        <v>1.02</v>
      </c>
    </row>
    <row r="17" spans="2:6" s="2" customFormat="1" ht="26.1" customHeight="1">
      <c r="B17" s="995">
        <v>42684</v>
      </c>
      <c r="C17" s="1000" t="s">
        <v>1967</v>
      </c>
      <c r="D17" s="999" t="s">
        <v>1968</v>
      </c>
      <c r="E17" s="996" t="s">
        <v>347</v>
      </c>
      <c r="F17" s="996">
        <v>1.03</v>
      </c>
    </row>
    <row r="18" spans="2:6" s="2" customFormat="1" ht="26.1" customHeight="1">
      <c r="B18" s="995">
        <v>42720</v>
      </c>
      <c r="C18" s="1000" t="s">
        <v>2534</v>
      </c>
      <c r="D18" s="1000" t="s">
        <v>2535</v>
      </c>
      <c r="E18" s="996" t="s">
        <v>347</v>
      </c>
      <c r="F18" s="996">
        <v>1.1000000000000001</v>
      </c>
    </row>
    <row r="19" spans="2:6" s="2" customFormat="1" ht="26.1" customHeight="1">
      <c r="B19" s="995">
        <v>42720</v>
      </c>
      <c r="C19" s="1000" t="s">
        <v>2536</v>
      </c>
      <c r="D19" s="1000" t="s">
        <v>2537</v>
      </c>
      <c r="E19" s="996" t="s">
        <v>347</v>
      </c>
      <c r="F19" s="996">
        <v>1.1000000000000001</v>
      </c>
    </row>
    <row r="20" spans="2:6" s="2" customFormat="1" ht="26.1" customHeight="1">
      <c r="B20" s="995">
        <v>42723</v>
      </c>
      <c r="C20" s="1000" t="s">
        <v>2552</v>
      </c>
      <c r="D20" s="1000" t="s">
        <v>2553</v>
      </c>
      <c r="E20" s="996" t="s">
        <v>347</v>
      </c>
      <c r="F20" s="996">
        <v>1.1100000000000001</v>
      </c>
    </row>
    <row r="21" spans="2:6" s="2" customFormat="1" ht="26.1" customHeight="1">
      <c r="B21" s="995">
        <v>42723</v>
      </c>
      <c r="C21" s="1000" t="s">
        <v>2550</v>
      </c>
      <c r="D21" s="1000" t="s">
        <v>2551</v>
      </c>
      <c r="E21" s="996" t="s">
        <v>347</v>
      </c>
      <c r="F21" s="996">
        <v>1.1100000000000001</v>
      </c>
    </row>
    <row r="22" spans="2:6" s="2" customFormat="1" ht="26.1" customHeight="1">
      <c r="B22" s="995">
        <v>42725</v>
      </c>
      <c r="C22" s="1000" t="s">
        <v>2566</v>
      </c>
      <c r="D22" s="1000" t="s">
        <v>2567</v>
      </c>
      <c r="E22" s="996" t="s">
        <v>347</v>
      </c>
      <c r="F22" s="996">
        <v>1.1299999999999999</v>
      </c>
    </row>
    <row r="23" spans="2:6" s="2" customFormat="1" ht="26.1" customHeight="1">
      <c r="B23" s="995">
        <v>42725</v>
      </c>
      <c r="C23" s="1000" t="s">
        <v>2568</v>
      </c>
      <c r="D23" s="1000" t="s">
        <v>2569</v>
      </c>
      <c r="E23" s="996" t="s">
        <v>347</v>
      </c>
      <c r="F23" s="996">
        <v>1.1299999999999999</v>
      </c>
    </row>
    <row r="24" spans="2:6" s="2" customFormat="1" ht="26.1" customHeight="1">
      <c r="B24" s="995">
        <v>42742</v>
      </c>
      <c r="C24" s="1000" t="s">
        <v>2599</v>
      </c>
      <c r="D24" s="1000" t="s">
        <v>2600</v>
      </c>
      <c r="E24" s="996" t="s">
        <v>347</v>
      </c>
      <c r="F24" s="996">
        <v>1.1399999999999999</v>
      </c>
    </row>
    <row r="25" spans="2:6" s="2" customFormat="1" ht="26.1" customHeight="1">
      <c r="B25" s="995">
        <v>42742</v>
      </c>
      <c r="C25" s="1000" t="s">
        <v>2612</v>
      </c>
      <c r="D25" s="1000" t="s">
        <v>2613</v>
      </c>
      <c r="E25" s="996" t="s">
        <v>347</v>
      </c>
      <c r="F25" s="996">
        <v>1.1399999999999999</v>
      </c>
    </row>
    <row r="26" spans="2:6" s="2" customFormat="1" ht="26.1" customHeight="1">
      <c r="B26" s="995">
        <v>42742</v>
      </c>
      <c r="C26" s="1000" t="s">
        <v>2617</v>
      </c>
      <c r="D26" s="1000"/>
      <c r="E26" s="996" t="s">
        <v>347</v>
      </c>
      <c r="F26" s="996">
        <v>1.1399999999999999</v>
      </c>
    </row>
    <row r="27" spans="2:6" s="2" customFormat="1" ht="26.1" customHeight="1">
      <c r="B27" s="995">
        <v>42742</v>
      </c>
      <c r="C27" s="1000" t="s">
        <v>2614</v>
      </c>
      <c r="D27" s="1000" t="s">
        <v>2615</v>
      </c>
      <c r="E27" s="996" t="s">
        <v>347</v>
      </c>
      <c r="F27" s="996">
        <v>1.1399999999999999</v>
      </c>
    </row>
    <row r="28" spans="2:6" s="2" customFormat="1" ht="26.1" customHeight="1">
      <c r="B28" s="995">
        <v>42742</v>
      </c>
      <c r="C28" s="1000" t="s">
        <v>2616</v>
      </c>
      <c r="D28" s="1000"/>
      <c r="E28" s="996" t="s">
        <v>347</v>
      </c>
      <c r="F28" s="996">
        <v>1.1399999999999999</v>
      </c>
    </row>
    <row r="29" spans="2:6" s="2" customFormat="1" ht="26.1" customHeight="1">
      <c r="B29" s="995">
        <v>42742</v>
      </c>
      <c r="C29" s="1000" t="s">
        <v>2618</v>
      </c>
      <c r="D29" s="1000" t="s">
        <v>2619</v>
      </c>
      <c r="E29" s="996" t="s">
        <v>347</v>
      </c>
      <c r="F29" s="996">
        <v>1.1399999999999999</v>
      </c>
    </row>
    <row r="30" spans="2:6" s="2" customFormat="1" ht="26.1" customHeight="1">
      <c r="B30" s="995">
        <v>42742</v>
      </c>
      <c r="C30" s="1000" t="s">
        <v>2620</v>
      </c>
      <c r="D30" s="1000" t="s">
        <v>2619</v>
      </c>
      <c r="E30" s="996" t="s">
        <v>347</v>
      </c>
      <c r="F30" s="996">
        <v>1.1399999999999999</v>
      </c>
    </row>
    <row r="31" spans="2:6" s="2" customFormat="1" ht="26.1" customHeight="1">
      <c r="B31" s="995">
        <v>42742</v>
      </c>
      <c r="C31" s="1000" t="s">
        <v>2621</v>
      </c>
      <c r="D31" s="1000" t="s">
        <v>2622</v>
      </c>
      <c r="E31" s="996" t="s">
        <v>347</v>
      </c>
      <c r="F31" s="996">
        <v>1.1399999999999999</v>
      </c>
    </row>
    <row r="32" spans="2:6" s="2" customFormat="1" ht="26.1" customHeight="1">
      <c r="B32" s="995">
        <v>42742</v>
      </c>
      <c r="C32" s="1000" t="s">
        <v>2632</v>
      </c>
      <c r="D32" s="1000" t="s">
        <v>2631</v>
      </c>
      <c r="E32" s="996" t="s">
        <v>347</v>
      </c>
      <c r="F32" s="996">
        <v>1.1399999999999999</v>
      </c>
    </row>
    <row r="33" spans="2:6" s="2" customFormat="1" ht="26.1" customHeight="1">
      <c r="B33" s="995">
        <v>42742</v>
      </c>
      <c r="C33" s="1000" t="s">
        <v>2634</v>
      </c>
      <c r="D33" s="1000" t="s">
        <v>2635</v>
      </c>
      <c r="E33" s="996" t="s">
        <v>347</v>
      </c>
      <c r="F33" s="996">
        <v>1.1399999999999999</v>
      </c>
    </row>
    <row r="34" spans="2:6" s="2" customFormat="1" ht="26.1" customHeight="1">
      <c r="B34" s="995">
        <v>42742</v>
      </c>
      <c r="C34" s="1000" t="s">
        <v>2636</v>
      </c>
      <c r="D34" s="1000" t="s">
        <v>2637</v>
      </c>
      <c r="E34" s="996" t="s">
        <v>347</v>
      </c>
      <c r="F34" s="996">
        <v>1.1499999999999999</v>
      </c>
    </row>
    <row r="35" spans="2:6" s="2" customFormat="1" ht="26.1" customHeight="1">
      <c r="B35" s="995">
        <v>42742</v>
      </c>
      <c r="C35" s="1000" t="s">
        <v>2638</v>
      </c>
      <c r="D35" s="1000" t="s">
        <v>2639</v>
      </c>
      <c r="E35" s="996" t="s">
        <v>347</v>
      </c>
      <c r="F35" s="996">
        <v>1.1599999999999999</v>
      </c>
    </row>
    <row r="36" spans="2:6" s="2" customFormat="1" ht="26.1" customHeight="1">
      <c r="B36" s="995">
        <v>42762</v>
      </c>
      <c r="C36" s="1000" t="s">
        <v>2641</v>
      </c>
      <c r="D36" s="1000" t="s">
        <v>2640</v>
      </c>
      <c r="E36" s="996" t="s">
        <v>347</v>
      </c>
      <c r="F36" s="996">
        <v>1.17</v>
      </c>
    </row>
    <row r="37" spans="2:6" s="2" customFormat="1" ht="26.1" customHeight="1">
      <c r="B37" s="995">
        <v>42766</v>
      </c>
      <c r="C37" s="1000" t="s">
        <v>2642</v>
      </c>
      <c r="D37" s="1000" t="s">
        <v>2643</v>
      </c>
      <c r="E37" s="996" t="s">
        <v>347</v>
      </c>
      <c r="F37" s="996">
        <v>1.18</v>
      </c>
    </row>
    <row r="38" spans="2:6" s="2" customFormat="1" ht="26.1" customHeight="1">
      <c r="B38" s="995">
        <v>42768</v>
      </c>
      <c r="C38" s="1000" t="s">
        <v>2644</v>
      </c>
      <c r="D38" s="1000" t="s">
        <v>2645</v>
      </c>
      <c r="E38" s="996" t="s">
        <v>347</v>
      </c>
      <c r="F38" s="996">
        <v>1.19</v>
      </c>
    </row>
    <row r="39" spans="2:6" s="2" customFormat="1" ht="26.1" customHeight="1">
      <c r="B39" s="995">
        <v>42768</v>
      </c>
      <c r="C39" s="1000" t="s">
        <v>2649</v>
      </c>
      <c r="D39" s="1000" t="s">
        <v>2650</v>
      </c>
      <c r="E39" s="996" t="s">
        <v>347</v>
      </c>
      <c r="F39" s="996">
        <v>1.19</v>
      </c>
    </row>
    <row r="40" spans="2:6" s="2" customFormat="1" ht="26.1" customHeight="1">
      <c r="B40" s="995">
        <v>42768</v>
      </c>
      <c r="C40" s="1000" t="s">
        <v>2664</v>
      </c>
      <c r="D40" s="1000" t="s">
        <v>2665</v>
      </c>
      <c r="E40" s="996" t="s">
        <v>347</v>
      </c>
      <c r="F40" s="996">
        <v>1.19</v>
      </c>
    </row>
    <row r="41" spans="2:6" s="2" customFormat="1" ht="26.1" customHeight="1">
      <c r="B41" s="995">
        <v>42768</v>
      </c>
      <c r="C41" s="1000" t="s">
        <v>2666</v>
      </c>
      <c r="D41" s="1000" t="s">
        <v>2665</v>
      </c>
      <c r="E41" s="996" t="s">
        <v>347</v>
      </c>
      <c r="F41" s="996">
        <v>1.19</v>
      </c>
    </row>
    <row r="42" spans="2:6" s="2" customFormat="1" ht="26.1" customHeight="1">
      <c r="B42" s="995">
        <v>42768</v>
      </c>
      <c r="C42" s="1000" t="s">
        <v>2667</v>
      </c>
      <c r="D42" s="1000" t="s">
        <v>2668</v>
      </c>
      <c r="E42" s="996" t="s">
        <v>347</v>
      </c>
      <c r="F42" s="996">
        <v>1.19</v>
      </c>
    </row>
    <row r="43" spans="2:6" s="2" customFormat="1" ht="26.1" customHeight="1">
      <c r="B43" s="995">
        <v>42768</v>
      </c>
      <c r="C43" s="1000" t="s">
        <v>2669</v>
      </c>
      <c r="D43" s="1000" t="s">
        <v>2670</v>
      </c>
      <c r="E43" s="996" t="s">
        <v>347</v>
      </c>
      <c r="F43" s="996">
        <v>1.19</v>
      </c>
    </row>
    <row r="44" spans="2:6" s="2" customFormat="1" ht="26.1" customHeight="1">
      <c r="B44" s="995">
        <v>42770</v>
      </c>
      <c r="C44" s="1000" t="s">
        <v>2675</v>
      </c>
      <c r="D44" s="1000" t="s">
        <v>2676</v>
      </c>
      <c r="E44" s="996" t="s">
        <v>347</v>
      </c>
      <c r="F44" s="996">
        <v>1.2</v>
      </c>
    </row>
    <row r="45" spans="2:6" s="2" customFormat="1" ht="26.1" customHeight="1">
      <c r="B45" s="995">
        <v>42819</v>
      </c>
      <c r="C45" s="1000" t="s">
        <v>2732</v>
      </c>
      <c r="D45" s="1000" t="s">
        <v>2733</v>
      </c>
      <c r="E45" s="996" t="s">
        <v>347</v>
      </c>
      <c r="F45" s="996">
        <v>1.21</v>
      </c>
    </row>
    <row r="46" spans="2:6" s="2" customFormat="1" ht="26.1" customHeight="1">
      <c r="B46" s="995">
        <v>42819</v>
      </c>
      <c r="C46" s="1000" t="s">
        <v>2734</v>
      </c>
      <c r="D46" s="1000" t="s">
        <v>2735</v>
      </c>
      <c r="E46" s="996" t="s">
        <v>347</v>
      </c>
      <c r="F46" s="996">
        <v>1.21</v>
      </c>
    </row>
    <row r="47" spans="2:6" s="2" customFormat="1" ht="26.1" customHeight="1">
      <c r="B47" s="995">
        <v>42819</v>
      </c>
      <c r="C47" s="1000" t="s">
        <v>2738</v>
      </c>
      <c r="D47" s="1000" t="s">
        <v>2736</v>
      </c>
      <c r="E47" s="996" t="s">
        <v>347</v>
      </c>
      <c r="F47" s="996">
        <v>1.21</v>
      </c>
    </row>
    <row r="48" spans="2:6" s="2" customFormat="1" ht="26.1" customHeight="1">
      <c r="B48" s="995">
        <v>42819</v>
      </c>
      <c r="C48" s="1000" t="s">
        <v>2737</v>
      </c>
      <c r="D48" s="1000" t="s">
        <v>2740</v>
      </c>
      <c r="E48" s="996" t="s">
        <v>347</v>
      </c>
      <c r="F48" s="996">
        <v>1.21</v>
      </c>
    </row>
    <row r="49" spans="2:6" s="2" customFormat="1" ht="26.1" customHeight="1">
      <c r="B49" s="995">
        <v>42819</v>
      </c>
      <c r="C49" s="1000" t="s">
        <v>2739</v>
      </c>
      <c r="D49" s="1000" t="s">
        <v>2741</v>
      </c>
      <c r="E49" s="996" t="s">
        <v>347</v>
      </c>
      <c r="F49" s="996">
        <v>1.21</v>
      </c>
    </row>
    <row r="50" spans="2:6" s="2" customFormat="1" ht="26.1" customHeight="1">
      <c r="B50" s="995">
        <v>42819</v>
      </c>
      <c r="C50" s="1000" t="s">
        <v>2742</v>
      </c>
      <c r="E50" s="996" t="s">
        <v>347</v>
      </c>
      <c r="F50" s="996">
        <v>1.21</v>
      </c>
    </row>
    <row r="51" spans="2:6" s="2" customFormat="1" ht="26.1" customHeight="1">
      <c r="B51" s="995">
        <v>42819</v>
      </c>
      <c r="C51" s="1000" t="s">
        <v>2743</v>
      </c>
      <c r="D51" s="999" t="s">
        <v>2744</v>
      </c>
      <c r="E51" s="996" t="s">
        <v>347</v>
      </c>
      <c r="F51" s="996">
        <v>1.21</v>
      </c>
    </row>
    <row r="52" spans="2:6" s="2" customFormat="1" ht="26.1" customHeight="1">
      <c r="B52" s="995">
        <v>42819</v>
      </c>
      <c r="C52" s="1000" t="s">
        <v>2745</v>
      </c>
      <c r="D52" s="999" t="s">
        <v>2746</v>
      </c>
      <c r="E52" s="996" t="s">
        <v>347</v>
      </c>
      <c r="F52" s="996">
        <v>1.21</v>
      </c>
    </row>
    <row r="53" spans="2:6" s="2" customFormat="1" ht="26.1" customHeight="1">
      <c r="B53" s="995">
        <v>42819</v>
      </c>
      <c r="C53" s="1000" t="s">
        <v>2747</v>
      </c>
      <c r="D53" s="999" t="s">
        <v>2748</v>
      </c>
      <c r="E53" s="996" t="s">
        <v>347</v>
      </c>
      <c r="F53" s="996">
        <v>1.21</v>
      </c>
    </row>
    <row r="54" spans="2:6" s="2" customFormat="1" ht="26.1" customHeight="1">
      <c r="B54" s="995">
        <v>42819</v>
      </c>
      <c r="C54" s="1000" t="s">
        <v>2749</v>
      </c>
      <c r="D54" s="999" t="s">
        <v>2750</v>
      </c>
      <c r="E54" s="996" t="s">
        <v>347</v>
      </c>
      <c r="F54" s="996">
        <v>1.21</v>
      </c>
    </row>
    <row r="55" spans="2:6" s="2" customFormat="1" ht="26.1" customHeight="1">
      <c r="B55" s="995">
        <v>42819</v>
      </c>
      <c r="C55" s="1000" t="s">
        <v>2751</v>
      </c>
      <c r="D55" s="1000" t="s">
        <v>2752</v>
      </c>
      <c r="E55" s="996" t="s">
        <v>347</v>
      </c>
      <c r="F55" s="996">
        <v>1.21</v>
      </c>
    </row>
    <row r="56" spans="2:6" s="2" customFormat="1" ht="26.1" customHeight="1">
      <c r="B56" s="995">
        <v>42819</v>
      </c>
      <c r="C56" s="1000" t="s">
        <v>2753</v>
      </c>
      <c r="D56" s="1000" t="s">
        <v>2754</v>
      </c>
      <c r="E56" s="996" t="s">
        <v>347</v>
      </c>
      <c r="F56" s="996">
        <v>1.21</v>
      </c>
    </row>
    <row r="57" spans="2:6" s="2" customFormat="1" ht="26.1" customHeight="1">
      <c r="B57" s="995">
        <v>42819</v>
      </c>
      <c r="C57" s="1000" t="s">
        <v>2755</v>
      </c>
      <c r="D57" s="1000" t="s">
        <v>2756</v>
      </c>
      <c r="E57" s="996" t="s">
        <v>347</v>
      </c>
      <c r="F57" s="996">
        <v>1.21</v>
      </c>
    </row>
    <row r="58" spans="2:6" s="2" customFormat="1" ht="26.1" customHeight="1">
      <c r="B58" s="995">
        <v>42830</v>
      </c>
      <c r="C58" s="1000" t="s">
        <v>2819</v>
      </c>
      <c r="D58" s="1000" t="s">
        <v>2816</v>
      </c>
      <c r="E58" s="996" t="s">
        <v>347</v>
      </c>
      <c r="F58" s="996">
        <v>1.23</v>
      </c>
    </row>
    <row r="59" spans="2:6" s="2" customFormat="1" ht="26.1" customHeight="1">
      <c r="B59" s="995">
        <v>42835</v>
      </c>
      <c r="C59" s="1000" t="s">
        <v>2818</v>
      </c>
      <c r="D59" s="1000" t="s">
        <v>2820</v>
      </c>
      <c r="E59" s="996" t="s">
        <v>347</v>
      </c>
      <c r="F59" s="996">
        <v>1.24</v>
      </c>
    </row>
    <row r="60" spans="2:6" s="2" customFormat="1" ht="26.1" customHeight="1">
      <c r="B60" s="995">
        <v>42835</v>
      </c>
      <c r="C60" s="1000" t="s">
        <v>2821</v>
      </c>
      <c r="E60" s="996" t="s">
        <v>347</v>
      </c>
      <c r="F60" s="996">
        <v>1.24</v>
      </c>
    </row>
    <row r="61" spans="2:6" s="2" customFormat="1" ht="26.1" customHeight="1">
      <c r="B61" s="995">
        <v>42837</v>
      </c>
      <c r="C61" s="1000" t="s">
        <v>2822</v>
      </c>
      <c r="D61" s="2" t="s">
        <v>2823</v>
      </c>
      <c r="E61" s="996" t="s">
        <v>347</v>
      </c>
      <c r="F61" s="996">
        <v>1.25</v>
      </c>
    </row>
    <row r="62" spans="2:6" s="2" customFormat="1" ht="26.1" customHeight="1">
      <c r="B62" s="995">
        <v>42861</v>
      </c>
      <c r="C62" s="1000" t="s">
        <v>3005</v>
      </c>
      <c r="D62" s="999" t="s">
        <v>3004</v>
      </c>
      <c r="E62" s="996" t="s">
        <v>347</v>
      </c>
      <c r="F62" s="996">
        <v>1.26</v>
      </c>
    </row>
    <row r="63" spans="2:6" s="2" customFormat="1" ht="26.1" customHeight="1">
      <c r="B63" s="995">
        <v>42861</v>
      </c>
      <c r="C63" s="1000" t="s">
        <v>3006</v>
      </c>
      <c r="D63" s="999" t="s">
        <v>3004</v>
      </c>
      <c r="E63" s="996" t="s">
        <v>347</v>
      </c>
      <c r="F63" s="996">
        <v>1.26</v>
      </c>
    </row>
    <row r="64" spans="2:6" s="2" customFormat="1" ht="26.1" customHeight="1">
      <c r="B64" s="995">
        <v>42861</v>
      </c>
      <c r="C64" s="1000" t="s">
        <v>3007</v>
      </c>
      <c r="D64" s="1000" t="s">
        <v>3008</v>
      </c>
      <c r="E64" s="996" t="s">
        <v>347</v>
      </c>
      <c r="F64" s="996">
        <v>1.26</v>
      </c>
    </row>
    <row r="65" spans="2:6" s="2" customFormat="1" ht="26.1" customHeight="1">
      <c r="B65" s="995">
        <v>42861</v>
      </c>
      <c r="C65" s="1000" t="s">
        <v>3009</v>
      </c>
      <c r="D65" s="999"/>
      <c r="E65" s="996" t="s">
        <v>347</v>
      </c>
      <c r="F65" s="996">
        <v>1.26</v>
      </c>
    </row>
    <row r="66" spans="2:6" s="2" customFormat="1" ht="26.1" customHeight="1">
      <c r="B66" s="995">
        <v>42861</v>
      </c>
      <c r="C66" s="1000" t="s">
        <v>3010</v>
      </c>
      <c r="D66" s="999" t="s">
        <v>3011</v>
      </c>
      <c r="E66" s="996" t="s">
        <v>347</v>
      </c>
      <c r="F66" s="996">
        <v>1.26</v>
      </c>
    </row>
    <row r="67" spans="2:6" s="2" customFormat="1" ht="26.1" customHeight="1">
      <c r="B67" s="995">
        <v>42861</v>
      </c>
      <c r="C67" s="1000" t="s">
        <v>3012</v>
      </c>
      <c r="D67" s="999" t="s">
        <v>3013</v>
      </c>
      <c r="E67" s="996" t="s">
        <v>347</v>
      </c>
      <c r="F67" s="996">
        <v>1.26</v>
      </c>
    </row>
    <row r="68" spans="2:6" s="2" customFormat="1" ht="26.1" customHeight="1">
      <c r="B68" s="995">
        <v>42861</v>
      </c>
      <c r="C68" s="1000" t="s">
        <v>3014</v>
      </c>
      <c r="D68" s="1000" t="s">
        <v>3015</v>
      </c>
      <c r="E68" s="996" t="s">
        <v>347</v>
      </c>
      <c r="F68" s="996">
        <v>1.26</v>
      </c>
    </row>
    <row r="69" spans="2:6" s="2" customFormat="1" ht="26.1" customHeight="1">
      <c r="B69" s="995">
        <v>42861</v>
      </c>
      <c r="C69" s="1000" t="s">
        <v>3033</v>
      </c>
      <c r="D69" s="1000" t="s">
        <v>3034</v>
      </c>
      <c r="E69" s="996" t="s">
        <v>347</v>
      </c>
      <c r="F69" s="996">
        <v>1.26</v>
      </c>
    </row>
    <row r="70" spans="2:6" s="2" customFormat="1" ht="26.1" customHeight="1">
      <c r="B70" s="995">
        <v>42861</v>
      </c>
      <c r="C70" s="1000" t="s">
        <v>3036</v>
      </c>
      <c r="D70" s="1000" t="s">
        <v>3035</v>
      </c>
      <c r="E70" s="996" t="s">
        <v>347</v>
      </c>
      <c r="F70" s="996">
        <v>1.26</v>
      </c>
    </row>
    <row r="71" spans="2:6" s="2" customFormat="1" ht="26.1" customHeight="1">
      <c r="B71" s="995">
        <v>42881</v>
      </c>
      <c r="C71" s="1000" t="s">
        <v>3037</v>
      </c>
      <c r="D71" s="1000" t="s">
        <v>3038</v>
      </c>
      <c r="E71" s="996" t="s">
        <v>347</v>
      </c>
      <c r="F71" s="996">
        <v>1.27</v>
      </c>
    </row>
    <row r="72" spans="2:6" s="2" customFormat="1" ht="26.1" customHeight="1">
      <c r="B72" s="995">
        <v>42881</v>
      </c>
      <c r="C72" s="1000" t="s">
        <v>3040</v>
      </c>
      <c r="D72" s="1000" t="s">
        <v>3039</v>
      </c>
      <c r="E72" s="996" t="s">
        <v>347</v>
      </c>
      <c r="F72" s="996">
        <v>1.27</v>
      </c>
    </row>
    <row r="73" spans="2:6" s="2" customFormat="1" ht="26.1" customHeight="1">
      <c r="B73" s="995">
        <v>42881</v>
      </c>
      <c r="C73" s="1000" t="s">
        <v>3041</v>
      </c>
      <c r="D73" s="1000" t="s">
        <v>3042</v>
      </c>
      <c r="E73" s="996" t="s">
        <v>347</v>
      </c>
      <c r="F73" s="996">
        <v>1.27</v>
      </c>
    </row>
    <row r="74" spans="2:6" s="2" customFormat="1" ht="26.1" customHeight="1">
      <c r="B74" s="995">
        <v>42881</v>
      </c>
      <c r="C74" s="1000" t="s">
        <v>3044</v>
      </c>
      <c r="D74" s="1000" t="s">
        <v>3043</v>
      </c>
      <c r="E74" s="996" t="s">
        <v>347</v>
      </c>
      <c r="F74" s="996">
        <v>1.27</v>
      </c>
    </row>
    <row r="75" spans="2:6" s="2" customFormat="1" ht="26.1" customHeight="1">
      <c r="B75" s="995">
        <v>42881</v>
      </c>
      <c r="C75" s="1000" t="s">
        <v>3045</v>
      </c>
      <c r="D75" s="1000" t="s">
        <v>3046</v>
      </c>
      <c r="E75" s="996" t="s">
        <v>347</v>
      </c>
      <c r="F75" s="996">
        <v>1.27</v>
      </c>
    </row>
    <row r="76" spans="2:6" s="2" customFormat="1" ht="26.1" customHeight="1">
      <c r="B76" s="995">
        <v>42881</v>
      </c>
      <c r="C76" s="1000" t="s">
        <v>3047</v>
      </c>
      <c r="D76" s="1000" t="s">
        <v>3048</v>
      </c>
      <c r="E76" s="996" t="s">
        <v>347</v>
      </c>
      <c r="F76" s="996">
        <v>1.27</v>
      </c>
    </row>
    <row r="77" spans="2:6" s="2" customFormat="1" ht="26.1" customHeight="1">
      <c r="B77" s="995">
        <v>42881</v>
      </c>
      <c r="C77" s="1000" t="s">
        <v>3049</v>
      </c>
      <c r="D77" s="1000" t="s">
        <v>3050</v>
      </c>
      <c r="E77" s="996" t="s">
        <v>347</v>
      </c>
      <c r="F77" s="996">
        <v>1.27</v>
      </c>
    </row>
    <row r="78" spans="2:6" s="2" customFormat="1" ht="26.1" customHeight="1">
      <c r="B78" s="995">
        <v>42887</v>
      </c>
      <c r="C78" s="1000" t="s">
        <v>3052</v>
      </c>
      <c r="D78" s="1000" t="s">
        <v>3053</v>
      </c>
      <c r="E78" s="996" t="s">
        <v>347</v>
      </c>
      <c r="F78" s="996">
        <v>1.28</v>
      </c>
    </row>
    <row r="79" spans="2:6" s="2" customFormat="1" ht="26.1" customHeight="1">
      <c r="B79" s="995">
        <v>42934</v>
      </c>
      <c r="C79" s="1000" t="s">
        <v>3125</v>
      </c>
      <c r="D79" s="1000"/>
      <c r="E79" s="996" t="s">
        <v>347</v>
      </c>
      <c r="F79" s="996">
        <v>1.29</v>
      </c>
    </row>
    <row r="80" spans="2:6" s="2" customFormat="1" ht="26.1" customHeight="1">
      <c r="B80" s="1001">
        <v>42954</v>
      </c>
      <c r="C80" s="1000" t="s">
        <v>3149</v>
      </c>
      <c r="D80" s="1000"/>
      <c r="E80" s="996" t="s">
        <v>347</v>
      </c>
      <c r="F80" s="996">
        <v>1.29</v>
      </c>
    </row>
    <row r="81" spans="2:6" s="2" customFormat="1" ht="26.1" customHeight="1">
      <c r="B81" s="1001">
        <v>42955</v>
      </c>
      <c r="C81" s="1000" t="s">
        <v>3152</v>
      </c>
      <c r="D81" s="1000" t="s">
        <v>3153</v>
      </c>
      <c r="E81" s="996" t="s">
        <v>347</v>
      </c>
      <c r="F81" s="996">
        <v>1.29</v>
      </c>
    </row>
    <row r="82" spans="2:6" s="2" customFormat="1" ht="26.1" customHeight="1">
      <c r="B82" s="1001">
        <v>42959</v>
      </c>
      <c r="C82" s="1000" t="s">
        <v>3154</v>
      </c>
      <c r="D82" s="1000" t="s">
        <v>3155</v>
      </c>
      <c r="E82" s="996" t="s">
        <v>347</v>
      </c>
      <c r="F82" s="996">
        <v>1.29</v>
      </c>
    </row>
    <row r="83" spans="2:6" s="2" customFormat="1" ht="26.1" customHeight="1">
      <c r="B83" s="1001">
        <v>42959</v>
      </c>
      <c r="C83" s="1000" t="s">
        <v>3156</v>
      </c>
      <c r="D83" s="1000" t="s">
        <v>3157</v>
      </c>
      <c r="E83" s="996" t="s">
        <v>347</v>
      </c>
      <c r="F83" s="996">
        <v>1.29</v>
      </c>
    </row>
    <row r="84" spans="2:6" s="2" customFormat="1" ht="26.1" customHeight="1">
      <c r="B84" s="1001">
        <v>42959</v>
      </c>
      <c r="C84" s="1000" t="s">
        <v>3158</v>
      </c>
      <c r="D84" s="1000" t="s">
        <v>3159</v>
      </c>
      <c r="E84" s="996" t="s">
        <v>347</v>
      </c>
      <c r="F84" s="996">
        <v>1.29</v>
      </c>
    </row>
    <row r="85" spans="2:6" s="2" customFormat="1" ht="26.1" customHeight="1">
      <c r="B85" s="1001">
        <v>42962</v>
      </c>
      <c r="C85" s="1000" t="s">
        <v>3165</v>
      </c>
      <c r="D85" s="1000" t="s">
        <v>3166</v>
      </c>
      <c r="E85" s="996" t="s">
        <v>347</v>
      </c>
      <c r="F85" s="1039" t="s">
        <v>3164</v>
      </c>
    </row>
    <row r="86" spans="2:6" s="2" customFormat="1" ht="26.1" customHeight="1">
      <c r="B86" s="1001">
        <v>42962</v>
      </c>
      <c r="C86" s="1000" t="s">
        <v>3167</v>
      </c>
      <c r="D86" s="1000" t="s">
        <v>3168</v>
      </c>
      <c r="E86" s="996" t="s">
        <v>347</v>
      </c>
      <c r="F86" s="1039" t="s">
        <v>3164</v>
      </c>
    </row>
    <row r="87" spans="2:6" s="2" customFormat="1" ht="26.1" customHeight="1">
      <c r="B87" s="1001">
        <v>42965</v>
      </c>
      <c r="C87" s="1000" t="s">
        <v>3169</v>
      </c>
      <c r="D87" s="1000" t="s">
        <v>3170</v>
      </c>
      <c r="E87" s="996" t="s">
        <v>347</v>
      </c>
      <c r="F87" s="1039" t="s">
        <v>3164</v>
      </c>
    </row>
    <row r="88" spans="2:6" s="2" customFormat="1" ht="26.1" customHeight="1">
      <c r="B88" s="1001">
        <v>42965</v>
      </c>
      <c r="C88" s="1000" t="s">
        <v>3176</v>
      </c>
      <c r="D88" s="1000" t="s">
        <v>3177</v>
      </c>
      <c r="E88" s="996" t="s">
        <v>347</v>
      </c>
      <c r="F88" s="1039" t="s">
        <v>3164</v>
      </c>
    </row>
    <row r="89" spans="2:6" s="2" customFormat="1" ht="26.1" customHeight="1">
      <c r="B89" s="1001">
        <v>42966</v>
      </c>
      <c r="C89" s="1000" t="s">
        <v>3179</v>
      </c>
      <c r="D89" s="1000" t="s">
        <v>3180</v>
      </c>
      <c r="E89" s="996" t="s">
        <v>347</v>
      </c>
      <c r="F89" s="1039" t="s">
        <v>3178</v>
      </c>
    </row>
    <row r="90" spans="2:6" s="2" customFormat="1" ht="26.1" customHeight="1">
      <c r="B90" s="1001">
        <v>42966</v>
      </c>
      <c r="C90" s="1000" t="s">
        <v>3182</v>
      </c>
      <c r="D90" s="1000" t="s">
        <v>3181</v>
      </c>
      <c r="E90" s="996" t="s">
        <v>347</v>
      </c>
      <c r="F90" s="1039" t="s">
        <v>3178</v>
      </c>
    </row>
    <row r="91" spans="2:6" s="2" customFormat="1" ht="26.1" customHeight="1">
      <c r="B91" s="1001">
        <v>42966</v>
      </c>
      <c r="C91" s="1000" t="s">
        <v>3183</v>
      </c>
      <c r="D91" s="1000" t="s">
        <v>3184</v>
      </c>
      <c r="E91" s="996" t="s">
        <v>347</v>
      </c>
      <c r="F91" s="1039" t="s">
        <v>3178</v>
      </c>
    </row>
    <row r="92" spans="2:6" s="2" customFormat="1" ht="26.1" customHeight="1">
      <c r="B92" s="1729">
        <v>42966</v>
      </c>
      <c r="C92" s="1728" t="s">
        <v>3188</v>
      </c>
      <c r="D92" s="1728" t="s">
        <v>3185</v>
      </c>
      <c r="E92" s="1727" t="s">
        <v>347</v>
      </c>
      <c r="F92" s="1730" t="s">
        <v>3178</v>
      </c>
    </row>
    <row r="93" spans="2:6" s="2" customFormat="1" ht="26.1" customHeight="1">
      <c r="B93" s="1729">
        <v>42966</v>
      </c>
      <c r="C93" s="1728" t="s">
        <v>3186</v>
      </c>
      <c r="D93" s="1728" t="s">
        <v>3185</v>
      </c>
      <c r="E93" s="1727" t="s">
        <v>347</v>
      </c>
      <c r="F93" s="1730" t="s">
        <v>3178</v>
      </c>
    </row>
    <row r="94" spans="2:6" s="2" customFormat="1" ht="26.1" customHeight="1">
      <c r="B94" s="1729">
        <v>42966</v>
      </c>
      <c r="C94" s="1728" t="s">
        <v>3187</v>
      </c>
      <c r="D94" s="1728" t="s">
        <v>3185</v>
      </c>
      <c r="E94" s="1727" t="s">
        <v>347</v>
      </c>
      <c r="F94" s="1730" t="s">
        <v>3178</v>
      </c>
    </row>
    <row r="95" spans="2:6" s="2" customFormat="1" ht="26.1" customHeight="1">
      <c r="B95" s="1729">
        <v>42972</v>
      </c>
      <c r="C95" s="1728" t="s">
        <v>3193</v>
      </c>
      <c r="D95" s="1728" t="s">
        <v>3192</v>
      </c>
      <c r="E95" s="1727" t="s">
        <v>347</v>
      </c>
      <c r="F95" s="1730" t="s">
        <v>3178</v>
      </c>
    </row>
    <row r="96" spans="2:6" s="2" customFormat="1" ht="26.1" customHeight="1">
      <c r="B96" s="1729">
        <v>42972</v>
      </c>
      <c r="C96" s="1728" t="s">
        <v>3194</v>
      </c>
      <c r="D96" s="1728" t="s">
        <v>3195</v>
      </c>
      <c r="E96" s="1727" t="s">
        <v>347</v>
      </c>
      <c r="F96" s="1730" t="s">
        <v>3178</v>
      </c>
    </row>
    <row r="97" spans="2:6" s="2" customFormat="1" ht="26.1" customHeight="1">
      <c r="B97" s="995">
        <v>42984</v>
      </c>
      <c r="C97" s="2" t="s">
        <v>3199</v>
      </c>
      <c r="D97" s="2" t="s">
        <v>3200</v>
      </c>
      <c r="E97" s="996" t="s">
        <v>347</v>
      </c>
      <c r="F97" s="996" t="s">
        <v>3178</v>
      </c>
    </row>
    <row r="98" spans="2:6" s="2" customFormat="1" ht="26.1" customHeight="1">
      <c r="B98" s="995">
        <v>43068</v>
      </c>
      <c r="C98" s="2" t="s">
        <v>3202</v>
      </c>
      <c r="D98" s="2" t="s">
        <v>3201</v>
      </c>
      <c r="E98" s="1727" t="s">
        <v>347</v>
      </c>
      <c r="F98" s="1727">
        <v>1.32</v>
      </c>
    </row>
    <row r="99" spans="2:6" s="2" customFormat="1" ht="26.1" customHeight="1">
      <c r="B99" s="995">
        <v>43070</v>
      </c>
      <c r="C99" s="1728" t="s">
        <v>3216</v>
      </c>
      <c r="D99" s="1728" t="s">
        <v>3215</v>
      </c>
      <c r="E99" s="1727" t="s">
        <v>347</v>
      </c>
      <c r="F99" s="1727">
        <v>1.32</v>
      </c>
    </row>
    <row r="100" spans="2:6" s="2" customFormat="1" ht="26.1" customHeight="1">
      <c r="B100" s="995">
        <v>43071</v>
      </c>
      <c r="C100" s="1728" t="s">
        <v>3218</v>
      </c>
      <c r="D100" s="1728" t="s">
        <v>3217</v>
      </c>
      <c r="E100" s="1727" t="s">
        <v>347</v>
      </c>
      <c r="F100" s="1727">
        <v>1.32</v>
      </c>
    </row>
    <row r="101" spans="2:6" s="2" customFormat="1" ht="26.1" customHeight="1">
      <c r="B101" s="995">
        <v>43071</v>
      </c>
      <c r="C101" s="1728" t="s">
        <v>3225</v>
      </c>
      <c r="D101" s="1728" t="s">
        <v>3224</v>
      </c>
      <c r="E101" s="1727" t="s">
        <v>347</v>
      </c>
      <c r="F101" s="1727">
        <v>1.32</v>
      </c>
    </row>
    <row r="102" spans="2:6" s="2" customFormat="1" ht="26.1" customHeight="1">
      <c r="B102" s="995">
        <v>43071</v>
      </c>
      <c r="C102" s="1728" t="s">
        <v>3226</v>
      </c>
      <c r="D102" s="1728" t="s">
        <v>3227</v>
      </c>
      <c r="E102" s="1727" t="s">
        <v>347</v>
      </c>
      <c r="F102" s="1727">
        <v>1.32</v>
      </c>
    </row>
    <row r="103" spans="2:6" s="2" customFormat="1" ht="26.1" customHeight="1">
      <c r="B103" s="995">
        <v>43071</v>
      </c>
      <c r="C103" s="1728" t="s">
        <v>3228</v>
      </c>
      <c r="D103" s="1728" t="s">
        <v>3229</v>
      </c>
      <c r="E103" s="1727" t="s">
        <v>347</v>
      </c>
      <c r="F103" s="1727">
        <v>1.32</v>
      </c>
    </row>
    <row r="104" spans="2:6" s="2" customFormat="1" ht="26.1" customHeight="1">
      <c r="B104" s="995">
        <v>43071</v>
      </c>
      <c r="C104" s="1728" t="s">
        <v>3230</v>
      </c>
      <c r="D104" s="1728" t="s">
        <v>3231</v>
      </c>
      <c r="E104" s="1727" t="s">
        <v>347</v>
      </c>
      <c r="F104" s="1727">
        <v>1.32</v>
      </c>
    </row>
    <row r="105" spans="2:6" s="2" customFormat="1" ht="26.1" customHeight="1">
      <c r="B105" s="995">
        <v>43071</v>
      </c>
      <c r="C105" s="1728" t="s">
        <v>3232</v>
      </c>
      <c r="D105" s="1728" t="s">
        <v>3233</v>
      </c>
      <c r="E105" s="1727" t="s">
        <v>347</v>
      </c>
      <c r="F105" s="1727">
        <v>1.32</v>
      </c>
    </row>
    <row r="106" spans="2:6" s="2" customFormat="1" ht="26.1" customHeight="1">
      <c r="B106" s="995">
        <v>43071</v>
      </c>
      <c r="C106" s="1728" t="s">
        <v>3241</v>
      </c>
      <c r="D106" s="1728" t="s">
        <v>3242</v>
      </c>
      <c r="E106" s="1727" t="s">
        <v>347</v>
      </c>
      <c r="F106" s="1727">
        <v>1.32</v>
      </c>
    </row>
    <row r="107" spans="2:6" s="2" customFormat="1" ht="26.1" customHeight="1">
      <c r="B107" s="995">
        <v>43071</v>
      </c>
      <c r="C107" s="1728" t="s">
        <v>3243</v>
      </c>
      <c r="D107" s="1728" t="s">
        <v>3244</v>
      </c>
      <c r="E107" s="1727" t="s">
        <v>347</v>
      </c>
      <c r="F107" s="1727">
        <v>1.32</v>
      </c>
    </row>
    <row r="108" spans="2:6" s="2" customFormat="1" ht="26.1" customHeight="1">
      <c r="B108" s="995">
        <v>43071</v>
      </c>
      <c r="C108" s="1728" t="s">
        <v>3245</v>
      </c>
      <c r="D108" s="1728" t="s">
        <v>3246</v>
      </c>
      <c r="E108" s="1727" t="s">
        <v>347</v>
      </c>
      <c r="F108" s="1727">
        <v>1.32</v>
      </c>
    </row>
    <row r="109" spans="2:6" s="2" customFormat="1" ht="26.1" customHeight="1">
      <c r="B109" s="995">
        <v>43071</v>
      </c>
      <c r="C109" s="1728" t="s">
        <v>3248</v>
      </c>
      <c r="D109" s="1728" t="s">
        <v>3249</v>
      </c>
      <c r="E109" s="1727" t="s">
        <v>347</v>
      </c>
      <c r="F109" s="1727">
        <v>1.32</v>
      </c>
    </row>
    <row r="110" spans="2:6" s="2" customFormat="1" ht="26.1" customHeight="1">
      <c r="B110" s="995">
        <v>43071</v>
      </c>
      <c r="C110" s="1728" t="s">
        <v>3250</v>
      </c>
      <c r="D110" s="1728" t="s">
        <v>3249</v>
      </c>
      <c r="E110" s="1727" t="s">
        <v>347</v>
      </c>
      <c r="F110" s="1727">
        <v>1.32</v>
      </c>
    </row>
    <row r="111" spans="2:6" s="2" customFormat="1" ht="26.1" customHeight="1">
      <c r="B111" s="995">
        <v>43072</v>
      </c>
      <c r="C111" s="1728" t="s">
        <v>3251</v>
      </c>
      <c r="D111" s="1728" t="s">
        <v>3252</v>
      </c>
      <c r="E111" s="1727" t="s">
        <v>347</v>
      </c>
      <c r="F111" s="1727">
        <v>1.33</v>
      </c>
    </row>
    <row r="112" spans="2:6" s="2" customFormat="1" ht="26.1" customHeight="1">
      <c r="B112" s="995">
        <v>43074</v>
      </c>
      <c r="C112" s="1728" t="s">
        <v>3255</v>
      </c>
      <c r="D112" s="1728" t="s">
        <v>3256</v>
      </c>
      <c r="E112" s="1727" t="s">
        <v>347</v>
      </c>
      <c r="F112" s="1727">
        <v>1.33</v>
      </c>
    </row>
    <row r="113" spans="2:6" s="2" customFormat="1" ht="26.1" customHeight="1">
      <c r="B113" s="995">
        <v>43075</v>
      </c>
      <c r="C113" s="1728" t="s">
        <v>3253</v>
      </c>
      <c r="D113" s="1728" t="s">
        <v>3254</v>
      </c>
      <c r="E113" s="1727" t="s">
        <v>347</v>
      </c>
      <c r="F113" s="1727">
        <v>1.33</v>
      </c>
    </row>
    <row r="114" spans="2:6" s="2" customFormat="1" ht="26.1" customHeight="1">
      <c r="B114" s="995">
        <v>43081</v>
      </c>
      <c r="C114" s="1728" t="s">
        <v>3258</v>
      </c>
      <c r="D114" s="1728" t="s">
        <v>3257</v>
      </c>
      <c r="E114" s="1727" t="s">
        <v>347</v>
      </c>
      <c r="F114" s="1727">
        <v>1.33</v>
      </c>
    </row>
    <row r="115" spans="2:6" s="2" customFormat="1" ht="26.1" customHeight="1">
      <c r="B115" s="995">
        <v>43082</v>
      </c>
      <c r="C115" s="1728" t="s">
        <v>3264</v>
      </c>
      <c r="D115" s="1728" t="s">
        <v>3265</v>
      </c>
      <c r="E115" s="1727" t="s">
        <v>347</v>
      </c>
      <c r="F115" s="1727">
        <v>1.34</v>
      </c>
    </row>
    <row r="116" spans="2:6" s="2" customFormat="1" ht="26.1" customHeight="1">
      <c r="B116" s="995">
        <v>43082</v>
      </c>
      <c r="C116" s="1728" t="s">
        <v>3266</v>
      </c>
      <c r="D116" s="1728" t="s">
        <v>3249</v>
      </c>
      <c r="E116" s="1727" t="s">
        <v>347</v>
      </c>
      <c r="F116" s="1727">
        <v>1.34</v>
      </c>
    </row>
    <row r="117" spans="2:6" s="2" customFormat="1" ht="26.1" customHeight="1">
      <c r="B117" s="995">
        <v>43085</v>
      </c>
      <c r="C117" s="1728" t="s">
        <v>3268</v>
      </c>
      <c r="D117" s="1728" t="s">
        <v>3269</v>
      </c>
      <c r="E117" s="1727" t="s">
        <v>347</v>
      </c>
      <c r="F117" s="1727">
        <v>1.35</v>
      </c>
    </row>
    <row r="118" spans="2:6" s="2" customFormat="1" ht="26.1" customHeight="1">
      <c r="B118" s="995">
        <v>43085</v>
      </c>
      <c r="C118" s="1728" t="s">
        <v>3270</v>
      </c>
      <c r="D118" s="1728" t="s">
        <v>3271</v>
      </c>
      <c r="E118" s="1727" t="s">
        <v>347</v>
      </c>
      <c r="F118" s="1727">
        <v>1.35</v>
      </c>
    </row>
    <row r="119" spans="2:6" s="2" customFormat="1" ht="26.1" customHeight="1">
      <c r="B119" s="995">
        <v>43086</v>
      </c>
      <c r="C119" s="1728" t="s">
        <v>3274</v>
      </c>
      <c r="D119" s="1728" t="s">
        <v>3275</v>
      </c>
      <c r="E119" s="1727" t="s">
        <v>347</v>
      </c>
      <c r="F119" s="1727">
        <v>2</v>
      </c>
    </row>
    <row r="120" spans="2:6" s="2" customFormat="1" ht="26.1" customHeight="1">
      <c r="B120" s="995">
        <v>43096</v>
      </c>
      <c r="C120" s="1728" t="s">
        <v>3276</v>
      </c>
      <c r="D120" s="1728" t="s">
        <v>3277</v>
      </c>
      <c r="E120" s="1727" t="s">
        <v>347</v>
      </c>
      <c r="F120" s="1727">
        <v>2</v>
      </c>
    </row>
    <row r="121" spans="2:6" s="2" customFormat="1" ht="26.1" customHeight="1">
      <c r="B121" s="995">
        <v>43096</v>
      </c>
      <c r="C121" s="1728" t="s">
        <v>3278</v>
      </c>
      <c r="D121" s="1728" t="s">
        <v>3279</v>
      </c>
      <c r="E121" s="1727" t="s">
        <v>347</v>
      </c>
      <c r="F121" s="1727">
        <v>2</v>
      </c>
    </row>
    <row r="122" spans="2:6" s="2" customFormat="1" ht="26.1" customHeight="1">
      <c r="B122" s="995">
        <v>43096</v>
      </c>
      <c r="C122" s="1728" t="s">
        <v>3282</v>
      </c>
      <c r="D122" s="1728" t="s">
        <v>3281</v>
      </c>
      <c r="E122" s="1727" t="s">
        <v>347</v>
      </c>
      <c r="F122" s="1727">
        <v>2</v>
      </c>
    </row>
    <row r="123" spans="2:6" s="2" customFormat="1" ht="26.1" customHeight="1">
      <c r="B123" s="995">
        <v>43108</v>
      </c>
      <c r="C123" s="1728" t="s">
        <v>3357</v>
      </c>
      <c r="D123" s="1728" t="s">
        <v>3358</v>
      </c>
      <c r="E123" s="1727" t="s">
        <v>347</v>
      </c>
      <c r="F123" s="1727">
        <v>2</v>
      </c>
    </row>
    <row r="124" spans="2:6" s="2" customFormat="1" ht="26.1" customHeight="1">
      <c r="B124" s="995">
        <v>43108</v>
      </c>
      <c r="C124" s="1728" t="s">
        <v>3359</v>
      </c>
      <c r="D124" s="1728" t="s">
        <v>3360</v>
      </c>
      <c r="E124" s="1727" t="s">
        <v>347</v>
      </c>
      <c r="F124" s="1727">
        <v>2</v>
      </c>
    </row>
    <row r="125" spans="2:6" s="2" customFormat="1" ht="26.1" customHeight="1">
      <c r="B125" s="995">
        <v>43108</v>
      </c>
      <c r="C125" s="1728" t="s">
        <v>3361</v>
      </c>
      <c r="D125" s="1728" t="s">
        <v>3360</v>
      </c>
      <c r="E125" s="1727" t="s">
        <v>347</v>
      </c>
      <c r="F125" s="1727">
        <v>2</v>
      </c>
    </row>
    <row r="126" spans="2:6" s="2" customFormat="1" ht="26.1" customHeight="1">
      <c r="B126" s="995">
        <v>43115</v>
      </c>
      <c r="C126" s="1728" t="s">
        <v>3363</v>
      </c>
      <c r="D126" s="1728" t="s">
        <v>3364</v>
      </c>
      <c r="E126" s="1727" t="s">
        <v>347</v>
      </c>
      <c r="F126" s="1727">
        <v>2.0099999999999998</v>
      </c>
    </row>
    <row r="127" spans="2:6" s="2" customFormat="1" ht="26.1" customHeight="1">
      <c r="B127" s="995">
        <v>43115</v>
      </c>
      <c r="C127" s="1728" t="s">
        <v>3366</v>
      </c>
      <c r="D127" s="1728" t="s">
        <v>3367</v>
      </c>
      <c r="E127" s="1727" t="s">
        <v>347</v>
      </c>
      <c r="F127" s="1727">
        <v>2.0099999999999998</v>
      </c>
    </row>
    <row r="128" spans="2:6" s="2" customFormat="1" ht="26.1" customHeight="1">
      <c r="B128" s="995">
        <v>43126</v>
      </c>
      <c r="C128" s="1728" t="s">
        <v>3368</v>
      </c>
      <c r="D128" s="1728" t="s">
        <v>3369</v>
      </c>
      <c r="E128" s="1727" t="s">
        <v>347</v>
      </c>
      <c r="F128" s="1727">
        <v>2.0099999999999998</v>
      </c>
    </row>
    <row r="129" spans="2:6" s="2" customFormat="1" ht="26.1" customHeight="1">
      <c r="B129" s="995">
        <v>43126</v>
      </c>
      <c r="C129" s="1728" t="s">
        <v>3370</v>
      </c>
      <c r="D129" s="1728" t="s">
        <v>3371</v>
      </c>
      <c r="E129" s="1727" t="s">
        <v>347</v>
      </c>
      <c r="F129" s="1727">
        <v>2.0099999999999998</v>
      </c>
    </row>
    <row r="130" spans="2:6" s="2" customFormat="1" ht="26.1" customHeight="1">
      <c r="B130" s="995">
        <v>43126</v>
      </c>
      <c r="C130" s="1728" t="s">
        <v>3372</v>
      </c>
      <c r="D130" s="1728" t="s">
        <v>3373</v>
      </c>
      <c r="E130" s="1727" t="s">
        <v>347</v>
      </c>
      <c r="F130" s="1727">
        <v>2.0099999999999998</v>
      </c>
    </row>
    <row r="131" spans="2:6" s="2" customFormat="1" ht="26.1" customHeight="1">
      <c r="B131" s="995">
        <v>43126</v>
      </c>
      <c r="C131" s="1728" t="s">
        <v>3375</v>
      </c>
      <c r="D131" s="1728" t="s">
        <v>3376</v>
      </c>
      <c r="E131" s="1727" t="s">
        <v>347</v>
      </c>
      <c r="F131" s="1727">
        <v>2.02</v>
      </c>
    </row>
    <row r="132" spans="2:6" s="2" customFormat="1" ht="26.1" customHeight="1">
      <c r="B132" s="995">
        <v>43130</v>
      </c>
      <c r="C132" s="1728" t="s">
        <v>3375</v>
      </c>
      <c r="D132" s="1728" t="s">
        <v>3377</v>
      </c>
      <c r="E132" s="1727" t="s">
        <v>347</v>
      </c>
      <c r="F132" s="1727">
        <v>2.02</v>
      </c>
    </row>
    <row r="133" spans="2:6" s="2" customFormat="1" ht="26.1" customHeight="1">
      <c r="B133" s="995">
        <v>43432</v>
      </c>
      <c r="C133" s="1728" t="s">
        <v>3527</v>
      </c>
      <c r="D133" s="1728" t="s">
        <v>3528</v>
      </c>
      <c r="E133" s="1727" t="s">
        <v>347</v>
      </c>
      <c r="F133" s="1727">
        <v>2.1</v>
      </c>
    </row>
    <row r="134" spans="2:6" s="2" customFormat="1" ht="26.1" customHeight="1">
      <c r="B134" s="995">
        <v>43432</v>
      </c>
      <c r="C134" s="1728" t="s">
        <v>3407</v>
      </c>
      <c r="D134" s="1728" t="s">
        <v>3408</v>
      </c>
      <c r="E134" s="1727" t="s">
        <v>3411</v>
      </c>
      <c r="F134" s="1727">
        <v>2.1</v>
      </c>
    </row>
    <row r="135" spans="2:6" s="2" customFormat="1" ht="26.1" customHeight="1">
      <c r="B135" s="995">
        <v>43432</v>
      </c>
      <c r="C135" s="1728" t="s">
        <v>3518</v>
      </c>
      <c r="D135" s="1728" t="s">
        <v>3519</v>
      </c>
      <c r="E135" s="1727" t="s">
        <v>3411</v>
      </c>
      <c r="F135" s="1727">
        <v>2.1</v>
      </c>
    </row>
    <row r="136" spans="2:6" s="2" customFormat="1" ht="26.1" customHeight="1">
      <c r="B136" s="995">
        <v>43432</v>
      </c>
      <c r="C136" s="1728" t="s">
        <v>3517</v>
      </c>
      <c r="D136" s="1728" t="s">
        <v>3512</v>
      </c>
      <c r="E136" s="1727" t="s">
        <v>3411</v>
      </c>
      <c r="F136" s="1727">
        <v>2.1</v>
      </c>
    </row>
    <row r="137" spans="2:6" s="2" customFormat="1" ht="26.1" customHeight="1">
      <c r="B137" s="995">
        <v>43441</v>
      </c>
      <c r="C137" s="1728" t="s">
        <v>3415</v>
      </c>
      <c r="D137" s="1728" t="s">
        <v>3416</v>
      </c>
      <c r="E137" s="1727" t="s">
        <v>347</v>
      </c>
      <c r="F137" s="1727">
        <v>2.1</v>
      </c>
    </row>
    <row r="138" spans="2:6" s="2" customFormat="1" ht="26.1" customHeight="1">
      <c r="B138" s="995">
        <v>43441</v>
      </c>
      <c r="C138" s="1728" t="s">
        <v>3417</v>
      </c>
      <c r="D138" s="1728" t="s">
        <v>3418</v>
      </c>
      <c r="E138" s="1727" t="s">
        <v>347</v>
      </c>
      <c r="F138" s="1727">
        <v>2.1</v>
      </c>
    </row>
    <row r="139" spans="2:6" s="2" customFormat="1" ht="26.1" customHeight="1">
      <c r="B139" s="995">
        <v>43441</v>
      </c>
      <c r="C139" s="1728" t="s">
        <v>3420</v>
      </c>
      <c r="D139" s="1728" t="s">
        <v>3421</v>
      </c>
      <c r="E139" s="1727" t="s">
        <v>347</v>
      </c>
      <c r="F139" s="1727">
        <v>2.1</v>
      </c>
    </row>
    <row r="140" spans="2:6" s="2" customFormat="1" ht="26.1" customHeight="1">
      <c r="B140" s="995">
        <v>43441</v>
      </c>
      <c r="C140" s="1728" t="s">
        <v>3423</v>
      </c>
      <c r="D140" s="1728" t="s">
        <v>3422</v>
      </c>
      <c r="E140" s="1727" t="s">
        <v>347</v>
      </c>
      <c r="F140" s="1727">
        <v>2.1</v>
      </c>
    </row>
    <row r="141" spans="2:6" s="2" customFormat="1" ht="26.1" customHeight="1">
      <c r="B141" s="995">
        <v>43441</v>
      </c>
      <c r="C141" s="1728" t="s">
        <v>3424</v>
      </c>
      <c r="D141" s="1728" t="s">
        <v>3422</v>
      </c>
      <c r="E141" s="1727" t="s">
        <v>347</v>
      </c>
      <c r="F141" s="1727">
        <v>2.1</v>
      </c>
    </row>
    <row r="142" spans="2:6" s="2" customFormat="1" ht="26.1" customHeight="1">
      <c r="B142" s="995">
        <v>43441</v>
      </c>
      <c r="C142" s="1728" t="s">
        <v>3425</v>
      </c>
      <c r="D142" s="1728" t="s">
        <v>3426</v>
      </c>
      <c r="E142" s="1727" t="s">
        <v>347</v>
      </c>
      <c r="F142" s="1727">
        <v>2.1</v>
      </c>
    </row>
    <row r="143" spans="2:6" s="2" customFormat="1" ht="26.1" customHeight="1">
      <c r="B143" s="995">
        <v>43441</v>
      </c>
      <c r="C143" s="1728" t="s">
        <v>3428</v>
      </c>
      <c r="D143" s="1728" t="s">
        <v>3429</v>
      </c>
      <c r="E143" s="1727" t="s">
        <v>347</v>
      </c>
      <c r="F143" s="1727">
        <v>2.1</v>
      </c>
    </row>
    <row r="144" spans="2:6" s="2" customFormat="1" ht="26.1" customHeight="1">
      <c r="B144" s="995">
        <v>43441</v>
      </c>
      <c r="C144" s="1728" t="s">
        <v>3430</v>
      </c>
      <c r="D144" s="1728" t="s">
        <v>3429</v>
      </c>
      <c r="E144" s="1727" t="s">
        <v>347</v>
      </c>
      <c r="F144" s="1727">
        <v>2.1</v>
      </c>
    </row>
    <row r="145" spans="2:6" s="2" customFormat="1" ht="26.1" customHeight="1">
      <c r="B145" s="995">
        <v>43441</v>
      </c>
      <c r="C145" s="1728" t="s">
        <v>3431</v>
      </c>
      <c r="D145" s="1728" t="s">
        <v>3432</v>
      </c>
      <c r="E145" s="1727" t="s">
        <v>347</v>
      </c>
      <c r="F145" s="1727">
        <v>2.1</v>
      </c>
    </row>
    <row r="146" spans="2:6" s="2" customFormat="1" ht="26.1" customHeight="1">
      <c r="B146" s="995">
        <v>43442</v>
      </c>
      <c r="C146" s="1728" t="s">
        <v>3520</v>
      </c>
      <c r="D146" s="1728" t="s">
        <v>3521</v>
      </c>
      <c r="E146" s="1727" t="s">
        <v>347</v>
      </c>
      <c r="F146" s="1727">
        <v>2.1</v>
      </c>
    </row>
    <row r="147" spans="2:6" s="2" customFormat="1" ht="26.1" customHeight="1">
      <c r="B147" s="995">
        <v>43442</v>
      </c>
      <c r="C147" s="1728" t="s">
        <v>3522</v>
      </c>
      <c r="D147" s="1728" t="s">
        <v>3521</v>
      </c>
      <c r="E147" s="1727" t="s">
        <v>347</v>
      </c>
      <c r="F147" s="1727">
        <v>2.1</v>
      </c>
    </row>
    <row r="148" spans="2:6" s="2" customFormat="1" ht="26.1" customHeight="1">
      <c r="B148" s="995">
        <v>43442</v>
      </c>
      <c r="C148" s="1728" t="s">
        <v>3523</v>
      </c>
      <c r="D148" s="1728" t="s">
        <v>3524</v>
      </c>
      <c r="E148" s="1727" t="s">
        <v>347</v>
      </c>
      <c r="F148" s="1727">
        <v>2.1</v>
      </c>
    </row>
    <row r="149" spans="2:6" s="2" customFormat="1" ht="26.1" customHeight="1">
      <c r="B149" s="995">
        <v>43442</v>
      </c>
      <c r="C149" s="1728" t="s">
        <v>3525</v>
      </c>
      <c r="D149" s="1728" t="s">
        <v>3526</v>
      </c>
      <c r="E149" s="1727" t="s">
        <v>347</v>
      </c>
      <c r="F149" s="1727">
        <v>2.1</v>
      </c>
    </row>
    <row r="150" spans="2:6" s="2" customFormat="1" ht="26.1" customHeight="1">
      <c r="B150" s="995">
        <v>43442</v>
      </c>
      <c r="C150" s="1728" t="s">
        <v>3549</v>
      </c>
      <c r="D150" s="1728" t="s">
        <v>3550</v>
      </c>
      <c r="E150" s="1727" t="s">
        <v>347</v>
      </c>
      <c r="F150" s="1727">
        <v>2.1</v>
      </c>
    </row>
    <row r="151" spans="2:6" s="2" customFormat="1" ht="26.1" customHeight="1">
      <c r="B151" s="995">
        <v>43442</v>
      </c>
      <c r="C151" s="1728" t="s">
        <v>3551</v>
      </c>
      <c r="D151" s="1728" t="s">
        <v>3552</v>
      </c>
      <c r="E151" s="1727" t="s">
        <v>347</v>
      </c>
      <c r="F151" s="1727">
        <v>2.1</v>
      </c>
    </row>
    <row r="152" spans="2:6" s="2" customFormat="1" ht="26.1" customHeight="1">
      <c r="B152" s="995">
        <v>43445</v>
      </c>
      <c r="C152" s="1728" t="s">
        <v>3557</v>
      </c>
      <c r="D152" s="1728" t="s">
        <v>3558</v>
      </c>
      <c r="E152" s="1727" t="s">
        <v>347</v>
      </c>
      <c r="F152" s="1727">
        <v>2.1</v>
      </c>
    </row>
    <row r="153" spans="2:6" s="2" customFormat="1" ht="26.1" customHeight="1">
      <c r="B153" s="995">
        <v>43445</v>
      </c>
      <c r="C153" s="1728" t="s">
        <v>3559</v>
      </c>
      <c r="D153" s="1728" t="s">
        <v>3560</v>
      </c>
      <c r="E153" s="1727" t="s">
        <v>347</v>
      </c>
      <c r="F153" s="1727">
        <v>2.1</v>
      </c>
    </row>
    <row r="154" spans="2:6" s="2" customFormat="1" ht="26.1" customHeight="1">
      <c r="B154" s="995">
        <v>43446</v>
      </c>
      <c r="C154" s="1728" t="s">
        <v>3570</v>
      </c>
      <c r="D154" s="1728" t="s">
        <v>3569</v>
      </c>
      <c r="E154" s="1727" t="s">
        <v>347</v>
      </c>
      <c r="F154" s="1727">
        <v>2.1</v>
      </c>
    </row>
    <row r="155" spans="2:6" s="2" customFormat="1" ht="26.1" customHeight="1">
      <c r="B155" s="995">
        <v>43446</v>
      </c>
      <c r="C155" s="1728" t="s">
        <v>3571</v>
      </c>
      <c r="D155" s="1728" t="s">
        <v>3572</v>
      </c>
      <c r="E155" s="1727" t="s">
        <v>347</v>
      </c>
      <c r="F155" s="1727">
        <v>2.1</v>
      </c>
    </row>
    <row r="156" spans="2:6" s="2" customFormat="1" ht="26.1" customHeight="1">
      <c r="B156" s="995">
        <v>43447</v>
      </c>
      <c r="C156" s="1728" t="s">
        <v>3578</v>
      </c>
      <c r="D156" s="1728" t="s">
        <v>3577</v>
      </c>
      <c r="E156" s="1727" t="s">
        <v>347</v>
      </c>
      <c r="F156" s="1727">
        <v>2.1</v>
      </c>
    </row>
    <row r="157" spans="2:6" s="2" customFormat="1" ht="26.1" customHeight="1">
      <c r="B157" s="995">
        <v>43455</v>
      </c>
      <c r="C157" s="1728" t="s">
        <v>3012</v>
      </c>
      <c r="D157" s="1728" t="s">
        <v>3657</v>
      </c>
      <c r="E157" s="1727" t="s">
        <v>347</v>
      </c>
      <c r="F157" s="1727">
        <v>2.1</v>
      </c>
    </row>
    <row r="158" spans="2:6" s="2" customFormat="1" ht="26.1" customHeight="1">
      <c r="B158" s="995">
        <v>43470</v>
      </c>
      <c r="C158" s="1728" t="s">
        <v>3658</v>
      </c>
      <c r="D158" s="1728" t="s">
        <v>3659</v>
      </c>
      <c r="E158" s="1727" t="s">
        <v>347</v>
      </c>
      <c r="F158" s="1727">
        <v>2.1</v>
      </c>
    </row>
    <row r="159" spans="2:6" s="2" customFormat="1" ht="26.1" customHeight="1">
      <c r="B159" s="995">
        <v>43476</v>
      </c>
      <c r="C159" s="1728" t="s">
        <v>3663</v>
      </c>
      <c r="D159" s="1728" t="s">
        <v>3662</v>
      </c>
      <c r="E159" s="1727" t="s">
        <v>347</v>
      </c>
      <c r="F159" s="1727">
        <v>2.1</v>
      </c>
    </row>
    <row r="160" spans="2:6" s="2" customFormat="1" ht="26.1" customHeight="1">
      <c r="B160" s="995">
        <v>43476</v>
      </c>
      <c r="C160" s="1728" t="s">
        <v>3664</v>
      </c>
      <c r="D160" s="1728" t="s">
        <v>3662</v>
      </c>
      <c r="E160" s="1727" t="s">
        <v>347</v>
      </c>
      <c r="F160" s="1727">
        <v>2.1</v>
      </c>
    </row>
    <row r="161" spans="2:6" s="2" customFormat="1" ht="26.1" customHeight="1">
      <c r="B161" s="995">
        <v>43502</v>
      </c>
      <c r="C161" s="1728" t="s">
        <v>3697</v>
      </c>
      <c r="D161" s="1728" t="s">
        <v>3702</v>
      </c>
      <c r="E161" s="1727" t="s">
        <v>347</v>
      </c>
      <c r="F161" s="1727">
        <v>2.2000000000000002</v>
      </c>
    </row>
    <row r="162" spans="2:6" s="2" customFormat="1" ht="26.1" customHeight="1">
      <c r="B162" s="995">
        <v>43502</v>
      </c>
      <c r="C162" s="1728" t="s">
        <v>3698</v>
      </c>
      <c r="D162" s="1728" t="s">
        <v>3702</v>
      </c>
      <c r="E162" s="1727" t="s">
        <v>347</v>
      </c>
      <c r="F162" s="1727">
        <v>2.2000000000000002</v>
      </c>
    </row>
    <row r="163" spans="2:6" s="2" customFormat="1" ht="26.1" customHeight="1">
      <c r="B163" s="995">
        <v>43502</v>
      </c>
      <c r="C163" s="1728" t="s">
        <v>3700</v>
      </c>
      <c r="D163" s="1728" t="s">
        <v>3701</v>
      </c>
      <c r="E163" s="1727" t="s">
        <v>347</v>
      </c>
      <c r="F163" s="1727">
        <v>2.2000000000000002</v>
      </c>
    </row>
    <row r="164" spans="2:6" s="2" customFormat="1" ht="26.1" customHeight="1">
      <c r="B164" s="995">
        <v>43537</v>
      </c>
      <c r="C164" s="1728" t="s">
        <v>3704</v>
      </c>
      <c r="D164" s="1728" t="s">
        <v>3703</v>
      </c>
      <c r="E164" s="1727" t="s">
        <v>347</v>
      </c>
      <c r="F164" s="1727">
        <v>2.2000000000000002</v>
      </c>
    </row>
    <row r="165" spans="2:6" s="2" customFormat="1" ht="26.1" customHeight="1">
      <c r="B165" s="995">
        <v>43552</v>
      </c>
      <c r="C165" s="1728" t="s">
        <v>3710</v>
      </c>
      <c r="D165" s="1728" t="s">
        <v>3709</v>
      </c>
      <c r="E165" s="1727" t="s">
        <v>347</v>
      </c>
      <c r="F165" s="1727">
        <v>2.2000000000000002</v>
      </c>
    </row>
    <row r="166" spans="2:6" s="2" customFormat="1" ht="26.1" customHeight="1">
      <c r="B166" s="995">
        <v>43589</v>
      </c>
      <c r="C166" s="1728" t="s">
        <v>3739</v>
      </c>
      <c r="D166" s="2" t="s">
        <v>3738</v>
      </c>
      <c r="E166" s="1727" t="s">
        <v>347</v>
      </c>
      <c r="F166" s="1727">
        <v>2.2999999999999998</v>
      </c>
    </row>
    <row r="167" spans="2:6" s="2" customFormat="1" ht="26.1" customHeight="1">
      <c r="B167" s="995">
        <v>43589</v>
      </c>
      <c r="C167" s="1728" t="s">
        <v>3737</v>
      </c>
      <c r="D167" s="999" t="s">
        <v>3736</v>
      </c>
      <c r="E167" s="1727" t="s">
        <v>347</v>
      </c>
      <c r="F167" s="1727">
        <v>2.2999999999999998</v>
      </c>
    </row>
    <row r="168" spans="2:6" s="2" customFormat="1" ht="26.1" customHeight="1">
      <c r="B168" s="995">
        <v>43589</v>
      </c>
      <c r="C168" s="1728" t="s">
        <v>3740</v>
      </c>
      <c r="D168" s="999" t="s">
        <v>3736</v>
      </c>
      <c r="E168" s="1727" t="s">
        <v>347</v>
      </c>
      <c r="F168" s="1727">
        <v>2.2999999999999998</v>
      </c>
    </row>
    <row r="169" spans="2:6" s="2" customFormat="1" ht="26.1" customHeight="1">
      <c r="B169" s="995">
        <v>43589</v>
      </c>
      <c r="C169" s="1728" t="s">
        <v>3741</v>
      </c>
      <c r="D169" s="999" t="s">
        <v>3736</v>
      </c>
      <c r="E169" s="1727" t="s">
        <v>347</v>
      </c>
      <c r="F169" s="1727">
        <v>2.2999999999999998</v>
      </c>
    </row>
    <row r="170" spans="2:6" s="2" customFormat="1" ht="26.1" customHeight="1">
      <c r="B170" s="995">
        <v>43589</v>
      </c>
      <c r="C170" s="1728" t="s">
        <v>3742</v>
      </c>
      <c r="D170" s="999" t="s">
        <v>3736</v>
      </c>
      <c r="E170" s="1727" t="s">
        <v>347</v>
      </c>
      <c r="F170" s="1727">
        <v>2.2999999999999998</v>
      </c>
    </row>
    <row r="171" spans="2:6" s="2" customFormat="1" ht="26.1" customHeight="1">
      <c r="B171" s="995">
        <v>43589</v>
      </c>
      <c r="C171" s="1728" t="s">
        <v>3743</v>
      </c>
      <c r="D171" s="999" t="s">
        <v>3736</v>
      </c>
      <c r="E171" s="1727" t="s">
        <v>347</v>
      </c>
      <c r="F171" s="1727">
        <v>2.2999999999999998</v>
      </c>
    </row>
    <row r="172" spans="2:6" s="2" customFormat="1" ht="26.1" customHeight="1">
      <c r="B172" s="995">
        <v>43589</v>
      </c>
      <c r="C172" s="1728" t="s">
        <v>3744</v>
      </c>
      <c r="D172" s="999" t="s">
        <v>3736</v>
      </c>
      <c r="E172" s="1727" t="s">
        <v>347</v>
      </c>
      <c r="F172" s="1727">
        <v>2.2999999999999998</v>
      </c>
    </row>
    <row r="173" spans="2:6" s="2" customFormat="1" ht="26.1" customHeight="1">
      <c r="B173" s="995">
        <v>43589</v>
      </c>
      <c r="C173" s="1728" t="s">
        <v>3745</v>
      </c>
      <c r="D173" s="999" t="s">
        <v>3736</v>
      </c>
      <c r="E173" s="1727" t="s">
        <v>347</v>
      </c>
      <c r="F173" s="1727">
        <v>2.2999999999999998</v>
      </c>
    </row>
    <row r="174" spans="2:6" s="2" customFormat="1" ht="26.1" customHeight="1">
      <c r="B174" s="995">
        <v>43598</v>
      </c>
      <c r="C174" s="1728" t="s">
        <v>3753</v>
      </c>
      <c r="D174" s="1728" t="s">
        <v>3754</v>
      </c>
      <c r="E174" s="1727" t="s">
        <v>347</v>
      </c>
      <c r="F174" s="1727">
        <v>2.2999999999999998</v>
      </c>
    </row>
    <row r="175" spans="2:6" s="2" customFormat="1" ht="26.1" customHeight="1">
      <c r="B175" s="995"/>
      <c r="E175" s="996"/>
      <c r="F175" s="996"/>
    </row>
    <row r="176" spans="2:6" s="2" customFormat="1" ht="26.1" customHeight="1">
      <c r="B176" s="995"/>
      <c r="E176" s="996"/>
      <c r="F176" s="996"/>
    </row>
    <row r="177" spans="2:6" s="2" customFormat="1" ht="26.1" customHeight="1">
      <c r="B177" s="995"/>
      <c r="E177" s="996"/>
      <c r="F177" s="996"/>
    </row>
    <row r="178" spans="2:6" s="2" customFormat="1" ht="26.1" customHeight="1">
      <c r="B178" s="995"/>
      <c r="E178" s="996"/>
      <c r="F178" s="996"/>
    </row>
    <row r="179" spans="2:6" s="2" customFormat="1" ht="26.1" customHeight="1">
      <c r="B179" s="995"/>
      <c r="E179" s="996"/>
      <c r="F179" s="996"/>
    </row>
    <row r="180" spans="2:6" s="2" customFormat="1" ht="26.1" customHeight="1">
      <c r="B180" s="995"/>
      <c r="E180" s="996"/>
      <c r="F180" s="996"/>
    </row>
    <row r="181" spans="2:6" s="2" customFormat="1" ht="26.1" customHeight="1">
      <c r="B181" s="995"/>
      <c r="E181" s="996"/>
      <c r="F181" s="996"/>
    </row>
    <row r="182" spans="2:6" s="2" customFormat="1" ht="26.1" customHeight="1">
      <c r="B182" s="995"/>
      <c r="E182" s="996"/>
      <c r="F182" s="996"/>
    </row>
    <row r="183" spans="2:6" s="2" customFormat="1" ht="26.1" customHeight="1">
      <c r="B183" s="995"/>
      <c r="E183" s="996"/>
      <c r="F183" s="996"/>
    </row>
    <row r="184" spans="2:6" s="2" customFormat="1" ht="26.1" customHeight="1">
      <c r="B184" s="995"/>
      <c r="E184" s="996"/>
      <c r="F184" s="996"/>
    </row>
    <row r="185" spans="2:6" s="2" customFormat="1" ht="26.1" customHeight="1">
      <c r="B185" s="995"/>
      <c r="E185" s="996"/>
      <c r="F185" s="996"/>
    </row>
    <row r="186" spans="2:6" s="2" customFormat="1" ht="26.1" customHeight="1">
      <c r="B186" s="995"/>
      <c r="E186" s="996"/>
      <c r="F186" s="996"/>
    </row>
    <row r="187" spans="2:6" s="2" customFormat="1" ht="26.1" customHeight="1">
      <c r="B187" s="995"/>
      <c r="E187" s="996"/>
      <c r="F187" s="996"/>
    </row>
    <row r="188" spans="2:6" s="2" customFormat="1" ht="26.1" customHeight="1">
      <c r="B188" s="995"/>
      <c r="E188" s="996"/>
      <c r="F188" s="996"/>
    </row>
    <row r="189" spans="2:6" s="2" customFormat="1" ht="26.1" customHeight="1">
      <c r="B189" s="995"/>
      <c r="E189" s="996"/>
      <c r="F189" s="996"/>
    </row>
    <row r="190" spans="2:6" s="2" customFormat="1" ht="26.1" customHeight="1">
      <c r="B190" s="995"/>
      <c r="E190" s="996"/>
      <c r="F190" s="996"/>
    </row>
    <row r="191" spans="2:6" s="2" customFormat="1" ht="26.1" customHeight="1">
      <c r="B191" s="995"/>
      <c r="E191" s="996"/>
      <c r="F191" s="996"/>
    </row>
    <row r="192" spans="2:6" s="2" customFormat="1" ht="26.1" customHeight="1">
      <c r="B192" s="995"/>
      <c r="E192" s="996"/>
      <c r="F192" s="996"/>
    </row>
    <row r="193" spans="2:6" s="2" customFormat="1" ht="26.1" customHeight="1">
      <c r="B193" s="995"/>
      <c r="E193" s="996"/>
      <c r="F193" s="996"/>
    </row>
    <row r="194" spans="2:6" s="2" customFormat="1" ht="26.1" customHeight="1">
      <c r="B194" s="995"/>
      <c r="E194" s="996"/>
      <c r="F194" s="996"/>
    </row>
    <row r="195" spans="2:6" s="2" customFormat="1" ht="26.1" customHeight="1">
      <c r="B195" s="995"/>
      <c r="E195" s="996"/>
      <c r="F195" s="996"/>
    </row>
    <row r="196" spans="2:6" s="2" customFormat="1" ht="26.1" customHeight="1">
      <c r="B196" s="995"/>
      <c r="E196" s="996"/>
      <c r="F196" s="996"/>
    </row>
    <row r="197" spans="2:6" s="2" customFormat="1" ht="26.1" customHeight="1">
      <c r="B197" s="995"/>
      <c r="E197" s="996"/>
      <c r="F197" s="996"/>
    </row>
    <row r="198" spans="2:6" s="2" customFormat="1" ht="26.1" customHeight="1">
      <c r="B198" s="995"/>
      <c r="E198" s="996"/>
      <c r="F198" s="996"/>
    </row>
    <row r="199" spans="2:6" s="2" customFormat="1" ht="26.1" customHeight="1">
      <c r="B199" s="995"/>
      <c r="E199" s="996"/>
      <c r="F199" s="996"/>
    </row>
    <row r="200" spans="2:6" s="2" customFormat="1" ht="26.1" customHeight="1">
      <c r="B200" s="995"/>
      <c r="E200" s="996"/>
      <c r="F200" s="996"/>
    </row>
    <row r="201" spans="2:6" s="2" customFormat="1" ht="26.1" customHeight="1">
      <c r="B201" s="995"/>
      <c r="E201" s="996"/>
      <c r="F201" s="996"/>
    </row>
    <row r="202" spans="2:6" s="2" customFormat="1" ht="26.1" customHeight="1">
      <c r="B202" s="995"/>
      <c r="E202" s="996"/>
      <c r="F202" s="996"/>
    </row>
    <row r="203" spans="2:6" s="2" customFormat="1" ht="26.1" customHeight="1">
      <c r="B203" s="995"/>
      <c r="E203" s="996"/>
      <c r="F203" s="996"/>
    </row>
    <row r="204" spans="2:6" s="2" customFormat="1" ht="26.1" customHeight="1">
      <c r="B204" s="995"/>
      <c r="E204" s="996"/>
      <c r="F204" s="996"/>
    </row>
    <row r="205" spans="2:6" s="2" customFormat="1" ht="26.1" customHeight="1">
      <c r="B205" s="995"/>
      <c r="E205" s="996"/>
      <c r="F205" s="996"/>
    </row>
    <row r="206" spans="2:6" s="2" customFormat="1" ht="26.1" customHeight="1">
      <c r="B206" s="995"/>
      <c r="E206" s="996"/>
      <c r="F206" s="996"/>
    </row>
    <row r="207" spans="2:6" s="2" customFormat="1" ht="26.1" customHeight="1">
      <c r="B207" s="995"/>
      <c r="E207" s="996"/>
      <c r="F207" s="996"/>
    </row>
    <row r="208" spans="2:6" s="2" customFormat="1" ht="26.1" customHeight="1">
      <c r="B208" s="995"/>
      <c r="E208" s="996"/>
      <c r="F208" s="996"/>
    </row>
    <row r="209" spans="2:6" s="2" customFormat="1" ht="26.1" customHeight="1">
      <c r="B209" s="995"/>
      <c r="E209" s="996"/>
      <c r="F209" s="996"/>
    </row>
    <row r="210" spans="2:6" s="2" customFormat="1" ht="26.1" customHeight="1">
      <c r="B210" s="995"/>
      <c r="E210" s="996"/>
      <c r="F210" s="996"/>
    </row>
    <row r="211" spans="2:6" s="2" customFormat="1" ht="26.1" customHeight="1">
      <c r="B211" s="995"/>
      <c r="E211" s="996"/>
      <c r="F211" s="996"/>
    </row>
    <row r="212" spans="2:6" s="2" customFormat="1" ht="26.1" customHeight="1">
      <c r="B212" s="995"/>
      <c r="E212" s="996"/>
      <c r="F212" s="996"/>
    </row>
    <row r="213" spans="2:6" s="2" customFormat="1" ht="26.1" customHeight="1">
      <c r="B213" s="995"/>
      <c r="E213" s="996"/>
      <c r="F213" s="996"/>
    </row>
    <row r="214" spans="2:6" s="2" customFormat="1" ht="26.1" customHeight="1">
      <c r="B214" s="995"/>
      <c r="E214" s="996"/>
      <c r="F214" s="996"/>
    </row>
    <row r="215" spans="2:6" s="2" customFormat="1" ht="26.1" customHeight="1">
      <c r="B215" s="995"/>
      <c r="E215" s="996"/>
      <c r="F215" s="996"/>
    </row>
    <row r="216" spans="2:6" s="2" customFormat="1" ht="26.1" customHeight="1">
      <c r="B216" s="995"/>
      <c r="E216" s="996"/>
      <c r="F216" s="996"/>
    </row>
    <row r="217" spans="2:6" s="2" customFormat="1" ht="26.1" customHeight="1">
      <c r="B217" s="995"/>
      <c r="E217" s="996"/>
      <c r="F217" s="996"/>
    </row>
    <row r="218" spans="2:6" s="2" customFormat="1" ht="26.1" customHeight="1">
      <c r="B218" s="995"/>
      <c r="E218" s="996"/>
      <c r="F218" s="996"/>
    </row>
    <row r="219" spans="2:6" s="2" customFormat="1" ht="26.1" customHeight="1">
      <c r="B219" s="995"/>
      <c r="E219" s="996"/>
      <c r="F219" s="996"/>
    </row>
    <row r="220" spans="2:6" s="2" customFormat="1" ht="26.1" customHeight="1">
      <c r="B220" s="995"/>
      <c r="E220" s="996"/>
      <c r="F220" s="996"/>
    </row>
    <row r="221" spans="2:6" s="2" customFormat="1" ht="26.1" customHeight="1">
      <c r="B221" s="995"/>
      <c r="E221" s="996"/>
      <c r="F221" s="996"/>
    </row>
    <row r="222" spans="2:6" s="2" customFormat="1" ht="26.1" customHeight="1">
      <c r="B222" s="995"/>
      <c r="E222" s="996"/>
      <c r="F222" s="996"/>
    </row>
    <row r="223" spans="2:6" s="2" customFormat="1" ht="26.1" customHeight="1">
      <c r="B223" s="995"/>
      <c r="E223" s="996"/>
      <c r="F223" s="996"/>
    </row>
    <row r="224" spans="2:6" s="2" customFormat="1" ht="26.1" customHeight="1">
      <c r="B224" s="995"/>
      <c r="E224" s="996"/>
      <c r="F224" s="996"/>
    </row>
    <row r="225" spans="2:6" s="2" customFormat="1" ht="26.1" customHeight="1">
      <c r="B225" s="995"/>
      <c r="E225" s="996"/>
      <c r="F225" s="996"/>
    </row>
    <row r="226" spans="2:6" s="2" customFormat="1" ht="26.1" customHeight="1">
      <c r="B226" s="995"/>
      <c r="E226" s="996"/>
      <c r="F226" s="996"/>
    </row>
    <row r="227" spans="2:6" s="2" customFormat="1" ht="26.1" customHeight="1">
      <c r="B227" s="995"/>
      <c r="E227" s="996"/>
      <c r="F227" s="996"/>
    </row>
    <row r="228" spans="2:6" s="2" customFormat="1" ht="26.1" customHeight="1">
      <c r="B228" s="995"/>
      <c r="E228" s="996"/>
      <c r="F228" s="996"/>
    </row>
    <row r="229" spans="2:6" s="2" customFormat="1" ht="26.1" customHeight="1">
      <c r="B229" s="995"/>
      <c r="E229" s="996"/>
      <c r="F229" s="996"/>
    </row>
    <row r="230" spans="2:6" s="2" customFormat="1" ht="26.1" customHeight="1">
      <c r="B230" s="995"/>
      <c r="E230" s="996"/>
      <c r="F230" s="996"/>
    </row>
    <row r="231" spans="2:6" s="2" customFormat="1" ht="26.1" customHeight="1">
      <c r="B231" s="995"/>
      <c r="E231" s="996"/>
      <c r="F231" s="996"/>
    </row>
    <row r="232" spans="2:6" s="2" customFormat="1" ht="26.1" customHeight="1">
      <c r="B232" s="995"/>
      <c r="E232" s="996"/>
      <c r="F232" s="996"/>
    </row>
    <row r="233" spans="2:6" s="2" customFormat="1" ht="26.1" customHeight="1">
      <c r="B233" s="995"/>
      <c r="E233" s="996"/>
      <c r="F233" s="996"/>
    </row>
    <row r="234" spans="2:6" s="2" customFormat="1" ht="26.1" customHeight="1">
      <c r="B234" s="995"/>
      <c r="E234" s="996"/>
      <c r="F234" s="996"/>
    </row>
    <row r="235" spans="2:6" s="2" customFormat="1" ht="26.1" customHeight="1">
      <c r="B235" s="995"/>
      <c r="E235" s="996"/>
      <c r="F235" s="996"/>
    </row>
    <row r="236" spans="2:6" s="2" customFormat="1" ht="26.1" customHeight="1">
      <c r="B236" s="995"/>
      <c r="E236" s="996"/>
      <c r="F236" s="996"/>
    </row>
    <row r="237" spans="2:6" s="2" customFormat="1" ht="26.1" customHeight="1">
      <c r="B237" s="995"/>
      <c r="E237" s="996"/>
      <c r="F237" s="996"/>
    </row>
    <row r="238" spans="2:6" s="2" customFormat="1" ht="26.1" customHeight="1">
      <c r="B238" s="995"/>
      <c r="E238" s="996"/>
      <c r="F238" s="996"/>
    </row>
    <row r="239" spans="2:6" s="2" customFormat="1" ht="26.1" customHeight="1">
      <c r="B239" s="995"/>
      <c r="E239" s="996"/>
      <c r="F239" s="996"/>
    </row>
    <row r="240" spans="2:6" s="2" customFormat="1" ht="26.1" customHeight="1">
      <c r="B240" s="995"/>
      <c r="E240" s="996"/>
      <c r="F240" s="996"/>
    </row>
    <row r="241" spans="2:6" s="2" customFormat="1" ht="26.1" customHeight="1">
      <c r="B241" s="995"/>
      <c r="E241" s="996"/>
      <c r="F241" s="996"/>
    </row>
    <row r="242" spans="2:6" s="2" customFormat="1" ht="26.1" customHeight="1">
      <c r="B242" s="995"/>
      <c r="E242" s="996"/>
      <c r="F242" s="996"/>
    </row>
    <row r="243" spans="2:6" s="2" customFormat="1" ht="26.1" customHeight="1">
      <c r="B243" s="995"/>
      <c r="E243" s="996"/>
      <c r="F243" s="996"/>
    </row>
    <row r="244" spans="2:6" s="2" customFormat="1" ht="26.1" customHeight="1">
      <c r="B244" s="995"/>
      <c r="E244" s="996"/>
      <c r="F244" s="996"/>
    </row>
    <row r="245" spans="2:6" s="2" customFormat="1" ht="26.1" customHeight="1">
      <c r="B245" s="995"/>
      <c r="E245" s="996"/>
      <c r="F245" s="996"/>
    </row>
    <row r="246" spans="2:6" s="2" customFormat="1" ht="26.1" customHeight="1">
      <c r="B246" s="995"/>
      <c r="E246" s="996"/>
      <c r="F246" s="996"/>
    </row>
    <row r="247" spans="2:6" s="2" customFormat="1" ht="26.1" customHeight="1">
      <c r="B247" s="995"/>
      <c r="E247" s="996"/>
      <c r="F247" s="996"/>
    </row>
    <row r="248" spans="2:6" s="2" customFormat="1" ht="26.1" customHeight="1">
      <c r="B248" s="995"/>
      <c r="E248" s="996"/>
      <c r="F248" s="996"/>
    </row>
    <row r="249" spans="2:6" s="2" customFormat="1" ht="26.1" customHeight="1">
      <c r="B249" s="995"/>
      <c r="E249" s="996"/>
      <c r="F249" s="996"/>
    </row>
    <row r="250" spans="2:6" s="2" customFormat="1" ht="26.1" customHeight="1">
      <c r="B250" s="995"/>
      <c r="E250" s="996"/>
      <c r="F250" s="996"/>
    </row>
    <row r="251" spans="2:6" s="2" customFormat="1" ht="26.1" customHeight="1">
      <c r="B251" s="995"/>
      <c r="E251" s="996"/>
      <c r="F251" s="996"/>
    </row>
    <row r="252" spans="2:6" s="2" customFormat="1" ht="26.1" customHeight="1">
      <c r="B252" s="995"/>
      <c r="E252" s="996"/>
      <c r="F252" s="996"/>
    </row>
    <row r="253" spans="2:6" s="2" customFormat="1" ht="26.1" customHeight="1">
      <c r="B253" s="995"/>
      <c r="E253" s="996"/>
      <c r="F253" s="996"/>
    </row>
    <row r="254" spans="2:6" s="2" customFormat="1" ht="26.1" customHeight="1">
      <c r="B254" s="995"/>
      <c r="E254" s="996"/>
      <c r="F254" s="996"/>
    </row>
    <row r="255" spans="2:6" s="2" customFormat="1" ht="26.1" customHeight="1">
      <c r="B255" s="995"/>
      <c r="E255" s="996"/>
      <c r="F255" s="996"/>
    </row>
    <row r="256" spans="2:6" s="2" customFormat="1" ht="26.1" customHeight="1">
      <c r="B256" s="995"/>
      <c r="E256" s="996"/>
      <c r="F256" s="996"/>
    </row>
    <row r="257" spans="2:6" s="2" customFormat="1" ht="26.1" customHeight="1">
      <c r="B257" s="995"/>
      <c r="E257" s="996"/>
      <c r="F257" s="996"/>
    </row>
    <row r="258" spans="2:6" s="2" customFormat="1" ht="26.1" customHeight="1">
      <c r="B258" s="995"/>
      <c r="E258" s="996"/>
      <c r="F258" s="996"/>
    </row>
    <row r="259" spans="2:6" s="2" customFormat="1" ht="26.1" customHeight="1">
      <c r="B259" s="995"/>
      <c r="E259" s="996"/>
      <c r="F259" s="996"/>
    </row>
    <row r="260" spans="2:6" s="2" customFormat="1" ht="26.1" customHeight="1">
      <c r="B260" s="995"/>
      <c r="E260" s="996"/>
      <c r="F260" s="996"/>
    </row>
    <row r="261" spans="2:6" s="2" customFormat="1" ht="26.1" customHeight="1">
      <c r="B261" s="995"/>
      <c r="E261" s="996"/>
      <c r="F261" s="996"/>
    </row>
    <row r="262" spans="2:6" s="2" customFormat="1" ht="26.1" customHeight="1">
      <c r="B262" s="995"/>
      <c r="E262" s="996"/>
      <c r="F262" s="996"/>
    </row>
    <row r="263" spans="2:6" s="2" customFormat="1" ht="26.1" customHeight="1">
      <c r="B263" s="995"/>
      <c r="E263" s="996"/>
      <c r="F263" s="996"/>
    </row>
    <row r="264" spans="2:6" s="2" customFormat="1" ht="26.1" customHeight="1">
      <c r="B264" s="995"/>
      <c r="E264" s="996"/>
      <c r="F264" s="996"/>
    </row>
    <row r="265" spans="2:6" s="2" customFormat="1" ht="26.1" customHeight="1">
      <c r="B265" s="995"/>
      <c r="E265" s="996"/>
      <c r="F265" s="996"/>
    </row>
    <row r="266" spans="2:6" s="2" customFormat="1" ht="26.1" customHeight="1">
      <c r="B266" s="995"/>
      <c r="E266" s="996"/>
      <c r="F266" s="996"/>
    </row>
    <row r="267" spans="2:6" s="2" customFormat="1" ht="26.1" customHeight="1">
      <c r="B267" s="995"/>
      <c r="E267" s="996"/>
      <c r="F267" s="996"/>
    </row>
    <row r="268" spans="2:6" s="2" customFormat="1" ht="26.1" customHeight="1">
      <c r="B268" s="995"/>
      <c r="E268" s="996"/>
      <c r="F268" s="996"/>
    </row>
    <row r="269" spans="2:6" s="2" customFormat="1" ht="26.1" customHeight="1">
      <c r="B269" s="995"/>
      <c r="E269" s="996"/>
      <c r="F269" s="996"/>
    </row>
    <row r="270" spans="2:6" s="2" customFormat="1" ht="26.1" customHeight="1">
      <c r="B270" s="995"/>
      <c r="E270" s="996"/>
      <c r="F270" s="996"/>
    </row>
    <row r="271" spans="2:6" s="2" customFormat="1" ht="26.1" customHeight="1">
      <c r="B271" s="995"/>
      <c r="E271" s="996"/>
      <c r="F271" s="996"/>
    </row>
    <row r="272" spans="2:6" s="2" customFormat="1" ht="26.1" customHeight="1">
      <c r="B272" s="995"/>
      <c r="E272" s="996"/>
      <c r="F272" s="996"/>
    </row>
    <row r="273" spans="2:6" s="2" customFormat="1" ht="26.1" customHeight="1">
      <c r="B273" s="995"/>
      <c r="E273" s="996"/>
      <c r="F273" s="996"/>
    </row>
    <row r="274" spans="2:6" s="2" customFormat="1" ht="26.1" customHeight="1">
      <c r="B274" s="995"/>
      <c r="E274" s="996"/>
      <c r="F274" s="996"/>
    </row>
    <row r="275" spans="2:6" s="2" customFormat="1" ht="26.1" customHeight="1">
      <c r="B275" s="995"/>
      <c r="E275" s="996"/>
      <c r="F275" s="996"/>
    </row>
    <row r="276" spans="2:6" s="2" customFormat="1" ht="26.1" customHeight="1">
      <c r="B276" s="995"/>
      <c r="E276" s="996"/>
      <c r="F276" s="996"/>
    </row>
    <row r="277" spans="2:6" s="2" customFormat="1" ht="26.1" customHeight="1">
      <c r="B277" s="995"/>
      <c r="E277" s="996"/>
      <c r="F277" s="996"/>
    </row>
    <row r="278" spans="2:6" s="2" customFormat="1" ht="26.1" customHeight="1">
      <c r="B278" s="995"/>
      <c r="E278" s="996"/>
      <c r="F278" s="996"/>
    </row>
    <row r="279" spans="2:6" s="2" customFormat="1" ht="26.1" customHeight="1">
      <c r="B279" s="995"/>
      <c r="E279" s="996"/>
      <c r="F279" s="996"/>
    </row>
    <row r="280" spans="2:6" s="2" customFormat="1" ht="26.1" customHeight="1">
      <c r="B280" s="995"/>
      <c r="E280" s="996"/>
      <c r="F280" s="996"/>
    </row>
    <row r="281" spans="2:6" s="2" customFormat="1" ht="26.1" customHeight="1">
      <c r="B281" s="995"/>
      <c r="E281" s="996"/>
      <c r="F281" s="996"/>
    </row>
    <row r="282" spans="2:6" s="2" customFormat="1" ht="26.1" customHeight="1">
      <c r="B282" s="997"/>
      <c r="E282" s="996"/>
      <c r="F282" s="996"/>
    </row>
    <row r="283" spans="2:6" s="2" customFormat="1" ht="26.1" customHeight="1">
      <c r="B283" s="997"/>
      <c r="E283" s="996"/>
      <c r="F283" s="996"/>
    </row>
    <row r="284" spans="2:6" s="2" customFormat="1" ht="26.1" customHeight="1">
      <c r="B284" s="997"/>
      <c r="E284" s="996"/>
      <c r="F284" s="998"/>
    </row>
    <row r="285" spans="2:6" s="2" customFormat="1" ht="26.1" customHeight="1">
      <c r="B285" s="997"/>
      <c r="E285" s="996"/>
      <c r="F285" s="998"/>
    </row>
    <row r="286" spans="2:6" s="2" customFormat="1" ht="26.1" customHeight="1">
      <c r="B286" s="997"/>
      <c r="E286" s="996"/>
      <c r="F286" s="998"/>
    </row>
    <row r="287" spans="2:6" s="2" customFormat="1" ht="26.1" customHeight="1">
      <c r="B287" s="995"/>
      <c r="E287" s="996"/>
      <c r="F287" s="998"/>
    </row>
    <row r="288" spans="2:6" s="2" customFormat="1" ht="26.1" customHeight="1">
      <c r="B288" s="995"/>
      <c r="E288" s="996"/>
      <c r="F288" s="998"/>
    </row>
    <row r="289" spans="2:6" s="2" customFormat="1" ht="26.1" customHeight="1">
      <c r="B289" s="995"/>
      <c r="E289" s="996"/>
      <c r="F289" s="998"/>
    </row>
    <row r="290" spans="2:6" s="2" customFormat="1" ht="26.1" customHeight="1">
      <c r="B290" s="995"/>
      <c r="E290" s="996"/>
      <c r="F290" s="998"/>
    </row>
    <row r="291" spans="2:6" s="2" customFormat="1" ht="26.1" customHeight="1">
      <c r="B291" s="995"/>
      <c r="E291" s="996"/>
      <c r="F291" s="998"/>
    </row>
    <row r="292" spans="2:6" s="2" customFormat="1" ht="26.1" customHeight="1">
      <c r="B292" s="995"/>
      <c r="E292" s="996"/>
      <c r="F292" s="998"/>
    </row>
    <row r="293" spans="2:6" s="2" customFormat="1" ht="26.1" customHeight="1">
      <c r="B293" s="995"/>
      <c r="E293" s="996"/>
      <c r="F293" s="998"/>
    </row>
    <row r="294" spans="2:6" s="2" customFormat="1" ht="26.1" customHeight="1">
      <c r="B294" s="995"/>
      <c r="E294" s="996"/>
      <c r="F294" s="998"/>
    </row>
    <row r="295" spans="2:6" s="2" customFormat="1" ht="26.1" customHeight="1">
      <c r="B295" s="995"/>
      <c r="E295" s="996"/>
      <c r="F295" s="998"/>
    </row>
    <row r="296" spans="2:6" s="2" customFormat="1" ht="26.1" customHeight="1">
      <c r="B296" s="995"/>
      <c r="E296" s="996"/>
      <c r="F296" s="998"/>
    </row>
    <row r="297" spans="2:6" s="2" customFormat="1" ht="26.1" customHeight="1">
      <c r="B297" s="995"/>
      <c r="E297" s="996"/>
      <c r="F297" s="998"/>
    </row>
    <row r="298" spans="2:6" s="2" customFormat="1" ht="26.1" customHeight="1">
      <c r="B298" s="995"/>
      <c r="E298" s="996"/>
      <c r="F298" s="998"/>
    </row>
    <row r="299" spans="2:6" s="2" customFormat="1" ht="26.1" customHeight="1">
      <c r="B299" s="995"/>
      <c r="E299" s="996"/>
      <c r="F299" s="998"/>
    </row>
    <row r="300" spans="2:6" s="2" customFormat="1" ht="26.1" customHeight="1">
      <c r="B300" s="995"/>
      <c r="E300" s="996"/>
      <c r="F300" s="998"/>
    </row>
    <row r="301" spans="2:6" s="2" customFormat="1" ht="26.1" customHeight="1">
      <c r="B301" s="995"/>
      <c r="E301" s="996"/>
      <c r="F301" s="998"/>
    </row>
    <row r="302" spans="2:6" s="2" customFormat="1" ht="26.1" customHeight="1">
      <c r="B302" s="995"/>
      <c r="E302" s="996"/>
      <c r="F302" s="998"/>
    </row>
    <row r="303" spans="2:6" s="2" customFormat="1" ht="26.1" customHeight="1">
      <c r="B303" s="995"/>
      <c r="E303" s="996"/>
      <c r="F303" s="998"/>
    </row>
    <row r="304" spans="2:6" s="2" customFormat="1" ht="26.1" customHeight="1">
      <c r="B304" s="995"/>
      <c r="E304" s="996"/>
      <c r="F304" s="998"/>
    </row>
    <row r="305" spans="2:6" s="2" customFormat="1" ht="26.1" customHeight="1">
      <c r="B305" s="995"/>
      <c r="E305" s="996"/>
      <c r="F305" s="998"/>
    </row>
    <row r="306" spans="2:6" s="2" customFormat="1" ht="26.1" customHeight="1">
      <c r="B306" s="995"/>
      <c r="E306" s="996"/>
      <c r="F306" s="998"/>
    </row>
    <row r="307" spans="2:6" s="2" customFormat="1" ht="26.1" customHeight="1">
      <c r="B307" s="995"/>
      <c r="E307" s="996"/>
      <c r="F307" s="998"/>
    </row>
    <row r="308" spans="2:6" s="2" customFormat="1" ht="26.1" customHeight="1">
      <c r="B308" s="995"/>
      <c r="E308" s="996"/>
      <c r="F308" s="998"/>
    </row>
    <row r="309" spans="2:6" s="2" customFormat="1" ht="26.1" customHeight="1">
      <c r="B309" s="995"/>
      <c r="E309" s="996"/>
      <c r="F309" s="998"/>
    </row>
    <row r="310" spans="2:6" s="2" customFormat="1" ht="26.1" customHeight="1">
      <c r="B310" s="995"/>
      <c r="E310" s="996"/>
      <c r="F310" s="998"/>
    </row>
    <row r="311" spans="2:6" s="2" customFormat="1" ht="26.1" customHeight="1">
      <c r="B311" s="995"/>
      <c r="E311" s="996"/>
      <c r="F311" s="998"/>
    </row>
    <row r="312" spans="2:6" s="2" customFormat="1" ht="26.1" customHeight="1">
      <c r="B312" s="995"/>
      <c r="E312" s="996"/>
      <c r="F312" s="998"/>
    </row>
    <row r="313" spans="2:6" s="2" customFormat="1" ht="26.1" customHeight="1">
      <c r="B313" s="995"/>
      <c r="E313" s="996"/>
      <c r="F313" s="998"/>
    </row>
    <row r="314" spans="2:6" s="2" customFormat="1" ht="26.1" customHeight="1">
      <c r="B314" s="995"/>
      <c r="E314" s="996"/>
      <c r="F314" s="998"/>
    </row>
    <row r="315" spans="2:6" s="2" customFormat="1" ht="26.1" customHeight="1">
      <c r="B315" s="995"/>
      <c r="E315" s="996"/>
      <c r="F315" s="998"/>
    </row>
    <row r="316" spans="2:6" s="2" customFormat="1" ht="26.1" customHeight="1">
      <c r="B316" s="995"/>
      <c r="E316" s="996"/>
      <c r="F316" s="998"/>
    </row>
    <row r="317" spans="2:6" s="2" customFormat="1" ht="26.1" customHeight="1">
      <c r="B317" s="995"/>
      <c r="E317" s="996"/>
      <c r="F317" s="998"/>
    </row>
    <row r="318" spans="2:6" s="2" customFormat="1" ht="26.1" customHeight="1">
      <c r="B318" s="995"/>
      <c r="E318" s="996"/>
      <c r="F318" s="998"/>
    </row>
    <row r="319" spans="2:6" s="2" customFormat="1" ht="26.1" customHeight="1">
      <c r="B319" s="995"/>
      <c r="E319" s="996"/>
      <c r="F319" s="998"/>
    </row>
    <row r="320" spans="2:6" s="2" customFormat="1" ht="26.1" customHeight="1">
      <c r="B320" s="995"/>
      <c r="E320" s="996"/>
      <c r="F320" s="998"/>
    </row>
    <row r="321" spans="2:6" s="2" customFormat="1" ht="26.1" customHeight="1">
      <c r="B321" s="995"/>
      <c r="E321" s="996"/>
      <c r="F321" s="998"/>
    </row>
    <row r="322" spans="2:6" s="2" customFormat="1" ht="26.1" customHeight="1">
      <c r="B322" s="995"/>
      <c r="E322" s="996"/>
      <c r="F322" s="998"/>
    </row>
    <row r="323" spans="2:6" s="2" customFormat="1" ht="26.1" customHeight="1">
      <c r="B323" s="995"/>
      <c r="E323" s="996"/>
      <c r="F323" s="998"/>
    </row>
    <row r="324" spans="2:6" s="2" customFormat="1" ht="26.1" customHeight="1">
      <c r="B324" s="995"/>
      <c r="E324" s="996"/>
      <c r="F324" s="998"/>
    </row>
    <row r="325" spans="2:6" s="2" customFormat="1" ht="26.1" customHeight="1">
      <c r="B325" s="995"/>
      <c r="E325" s="996"/>
      <c r="F325" s="998"/>
    </row>
    <row r="326" spans="2:6" s="2" customFormat="1" ht="26.1" customHeight="1">
      <c r="B326" s="995"/>
      <c r="E326" s="996"/>
      <c r="F326" s="998"/>
    </row>
    <row r="327" spans="2:6" s="2" customFormat="1" ht="26.1" customHeight="1">
      <c r="B327" s="995"/>
      <c r="E327" s="996"/>
      <c r="F327" s="998"/>
    </row>
    <row r="328" spans="2:6" s="2" customFormat="1" ht="26.1" customHeight="1">
      <c r="B328" s="995"/>
      <c r="E328" s="996"/>
      <c r="F328" s="998"/>
    </row>
    <row r="329" spans="2:6" s="2" customFormat="1" ht="26.1" customHeight="1">
      <c r="B329" s="995"/>
      <c r="E329" s="996"/>
      <c r="F329" s="998"/>
    </row>
    <row r="330" spans="2:6" s="2" customFormat="1" ht="26.1" customHeight="1">
      <c r="B330" s="995"/>
      <c r="E330" s="996"/>
      <c r="F330" s="998"/>
    </row>
    <row r="331" spans="2:6" s="2" customFormat="1" ht="26.1" customHeight="1">
      <c r="B331" s="995"/>
      <c r="E331" s="996"/>
      <c r="F331" s="998"/>
    </row>
    <row r="332" spans="2:6" s="2" customFormat="1" ht="26.1" customHeight="1">
      <c r="B332" s="995"/>
      <c r="E332" s="996"/>
      <c r="F332" s="998"/>
    </row>
    <row r="333" spans="2:6" s="2" customFormat="1" ht="26.1" customHeight="1">
      <c r="B333" s="995"/>
      <c r="E333" s="996"/>
      <c r="F333" s="998"/>
    </row>
    <row r="334" spans="2:6" s="2" customFormat="1" ht="26.1" customHeight="1">
      <c r="B334" s="995"/>
      <c r="E334" s="996"/>
      <c r="F334" s="998"/>
    </row>
    <row r="335" spans="2:6" s="2" customFormat="1" ht="26.1" customHeight="1">
      <c r="B335" s="995"/>
      <c r="E335" s="996"/>
      <c r="F335" s="998"/>
    </row>
    <row r="336" spans="2:6" s="2" customFormat="1" ht="26.1" customHeight="1">
      <c r="B336" s="995"/>
      <c r="E336" s="996"/>
      <c r="F336" s="998"/>
    </row>
    <row r="337" spans="2:6" s="2" customFormat="1" ht="26.1" customHeight="1">
      <c r="B337" s="995"/>
      <c r="E337" s="996"/>
      <c r="F337" s="998"/>
    </row>
    <row r="338" spans="2:6" s="2" customFormat="1" ht="26.1" customHeight="1">
      <c r="B338" s="995"/>
      <c r="E338" s="996"/>
      <c r="F338" s="998"/>
    </row>
    <row r="339" spans="2:6" s="2" customFormat="1" ht="26.1" customHeight="1">
      <c r="B339" s="995"/>
      <c r="E339" s="996"/>
      <c r="F339" s="998"/>
    </row>
    <row r="340" spans="2:6" s="2" customFormat="1" ht="26.1" customHeight="1">
      <c r="B340" s="995"/>
      <c r="E340" s="996"/>
      <c r="F340" s="998"/>
    </row>
    <row r="341" spans="2:6" s="2" customFormat="1" ht="26.1" customHeight="1">
      <c r="B341" s="995"/>
      <c r="E341" s="996"/>
      <c r="F341" s="998"/>
    </row>
    <row r="342" spans="2:6" s="2" customFormat="1" ht="26.1" customHeight="1">
      <c r="B342" s="995"/>
      <c r="E342" s="996"/>
      <c r="F342" s="998"/>
    </row>
    <row r="343" spans="2:6" s="2" customFormat="1" ht="26.1" customHeight="1">
      <c r="B343" s="995"/>
      <c r="E343" s="996"/>
      <c r="F343" s="996"/>
    </row>
    <row r="344" spans="2:6" s="2" customFormat="1" ht="26.1" customHeight="1">
      <c r="B344" s="995"/>
      <c r="E344" s="996"/>
      <c r="F344" s="996"/>
    </row>
    <row r="345" spans="2:6" s="2" customFormat="1" ht="26.1" customHeight="1">
      <c r="B345" s="995"/>
      <c r="E345" s="996"/>
      <c r="F345" s="996"/>
    </row>
    <row r="346" spans="2:6" s="2" customFormat="1" ht="26.1" customHeight="1">
      <c r="B346" s="995"/>
      <c r="E346" s="996"/>
      <c r="F346" s="996"/>
    </row>
    <row r="347" spans="2:6" s="2" customFormat="1" ht="26.1" customHeight="1">
      <c r="B347" s="995"/>
      <c r="E347" s="996"/>
      <c r="F347" s="996"/>
    </row>
    <row r="348" spans="2:6" s="2" customFormat="1" ht="26.1" customHeight="1">
      <c r="B348" s="995"/>
      <c r="E348" s="996"/>
      <c r="F348" s="996"/>
    </row>
    <row r="349" spans="2:6" s="2" customFormat="1" ht="26.1" customHeight="1">
      <c r="B349" s="995"/>
      <c r="E349" s="996"/>
      <c r="F349" s="996"/>
    </row>
    <row r="350" spans="2:6" s="2" customFormat="1" ht="26.1" customHeight="1">
      <c r="B350" s="995"/>
      <c r="E350" s="996"/>
      <c r="F350" s="996"/>
    </row>
    <row r="351" spans="2:6" s="2" customFormat="1" ht="26.1" customHeight="1">
      <c r="B351" s="995"/>
      <c r="E351" s="996"/>
      <c r="F351" s="996"/>
    </row>
    <row r="352" spans="2:6" s="2" customFormat="1" ht="26.1" customHeight="1">
      <c r="B352" s="995"/>
      <c r="E352" s="996"/>
      <c r="F352" s="996"/>
    </row>
    <row r="353" spans="2:6" s="2" customFormat="1" ht="26.1" customHeight="1">
      <c r="B353" s="995"/>
      <c r="E353" s="996"/>
      <c r="F353" s="996"/>
    </row>
    <row r="354" spans="2:6" s="2" customFormat="1" ht="26.1" customHeight="1">
      <c r="B354" s="995"/>
      <c r="E354" s="996"/>
      <c r="F354" s="996"/>
    </row>
    <row r="355" spans="2:6" s="2" customFormat="1" ht="26.1" customHeight="1">
      <c r="B355" s="995"/>
      <c r="E355" s="996"/>
      <c r="F355" s="996"/>
    </row>
    <row r="356" spans="2:6" s="2" customFormat="1" ht="26.1" customHeight="1">
      <c r="B356" s="995"/>
      <c r="E356" s="996"/>
      <c r="F356" s="996"/>
    </row>
    <row r="357" spans="2:6" s="2" customFormat="1" ht="26.1" customHeight="1">
      <c r="B357" s="995"/>
      <c r="E357" s="996"/>
      <c r="F357" s="996"/>
    </row>
    <row r="358" spans="2:6" s="2" customFormat="1" ht="26.1" customHeight="1">
      <c r="B358" s="995"/>
      <c r="E358" s="996"/>
      <c r="F358" s="996"/>
    </row>
    <row r="359" spans="2:6" s="2" customFormat="1" ht="26.1" customHeight="1">
      <c r="B359" s="995"/>
      <c r="E359" s="996"/>
      <c r="F359" s="996"/>
    </row>
    <row r="360" spans="2:6" s="2" customFormat="1" ht="26.1" customHeight="1">
      <c r="B360" s="995"/>
      <c r="E360" s="996"/>
      <c r="F360" s="996"/>
    </row>
    <row r="361" spans="2:6" s="2" customFormat="1" ht="26.1" customHeight="1">
      <c r="B361" s="995"/>
      <c r="E361" s="996"/>
      <c r="F361" s="996"/>
    </row>
    <row r="362" spans="2:6" s="2" customFormat="1" ht="26.1" customHeight="1">
      <c r="B362" s="995"/>
      <c r="E362" s="996"/>
      <c r="F362" s="996"/>
    </row>
    <row r="363" spans="2:6" s="2" customFormat="1" ht="26.1" customHeight="1">
      <c r="B363" s="995"/>
      <c r="E363" s="996"/>
      <c r="F363" s="996"/>
    </row>
    <row r="364" spans="2:6" s="2" customFormat="1" ht="26.1" customHeight="1">
      <c r="B364" s="995"/>
      <c r="E364" s="996"/>
      <c r="F364" s="996"/>
    </row>
    <row r="365" spans="2:6" s="2" customFormat="1" ht="26.1" customHeight="1">
      <c r="B365" s="995"/>
      <c r="E365" s="996"/>
      <c r="F365" s="996"/>
    </row>
    <row r="366" spans="2:6" s="2" customFormat="1" ht="26.1" customHeight="1">
      <c r="B366" s="995"/>
      <c r="E366" s="996"/>
      <c r="F366" s="996"/>
    </row>
    <row r="367" spans="2:6" s="2" customFormat="1" ht="26.1" customHeight="1">
      <c r="B367" s="995"/>
      <c r="E367" s="996"/>
      <c r="F367" s="996"/>
    </row>
    <row r="368" spans="2:6" s="2" customFormat="1" ht="26.1" customHeight="1">
      <c r="B368" s="995"/>
      <c r="E368" s="996"/>
      <c r="F368" s="996"/>
    </row>
    <row r="369" spans="2:6" s="2" customFormat="1" ht="26.1" customHeight="1">
      <c r="B369" s="995"/>
      <c r="E369" s="996"/>
      <c r="F369" s="996"/>
    </row>
    <row r="370" spans="2:6" s="2" customFormat="1" ht="26.1" customHeight="1">
      <c r="B370" s="995"/>
      <c r="E370" s="996"/>
      <c r="F370" s="996"/>
    </row>
    <row r="371" spans="2:6" s="2" customFormat="1" ht="26.1" customHeight="1">
      <c r="B371" s="995"/>
      <c r="E371" s="996"/>
      <c r="F371" s="996"/>
    </row>
    <row r="372" spans="2:6" s="2" customFormat="1" ht="26.1" customHeight="1">
      <c r="B372" s="995"/>
      <c r="E372" s="996"/>
      <c r="F372" s="996"/>
    </row>
    <row r="373" spans="2:6" s="2" customFormat="1" ht="26.1" customHeight="1">
      <c r="B373" s="995"/>
      <c r="E373" s="996"/>
      <c r="F373" s="996"/>
    </row>
    <row r="374" spans="2:6" s="2" customFormat="1" ht="26.1" customHeight="1">
      <c r="B374" s="995"/>
      <c r="E374" s="996"/>
      <c r="F374" s="996"/>
    </row>
    <row r="375" spans="2:6" s="2" customFormat="1" ht="26.1" customHeight="1">
      <c r="B375" s="995"/>
      <c r="E375" s="996"/>
      <c r="F375" s="996"/>
    </row>
    <row r="376" spans="2:6" s="2" customFormat="1" ht="26.1" customHeight="1">
      <c r="B376" s="995"/>
      <c r="E376" s="996"/>
      <c r="F376" s="996"/>
    </row>
    <row r="377" spans="2:6" s="2" customFormat="1" ht="26.1" customHeight="1">
      <c r="B377" s="995"/>
      <c r="E377" s="996"/>
      <c r="F377" s="996"/>
    </row>
    <row r="378" spans="2:6" s="2" customFormat="1" ht="26.1" customHeight="1">
      <c r="B378" s="997"/>
      <c r="E378" s="996"/>
      <c r="F378" s="996"/>
    </row>
    <row r="379" spans="2:6" s="2" customFormat="1" ht="26.1" customHeight="1">
      <c r="B379" s="997"/>
      <c r="E379" s="996"/>
      <c r="F379" s="996"/>
    </row>
    <row r="380" spans="2:6" s="2" customFormat="1" ht="26.1" customHeight="1">
      <c r="B380" s="997"/>
      <c r="E380" s="996"/>
      <c r="F380" s="996"/>
    </row>
    <row r="381" spans="2:6" s="2" customFormat="1" ht="26.1" customHeight="1">
      <c r="B381" s="995"/>
      <c r="E381" s="996"/>
      <c r="F381" s="998"/>
    </row>
    <row r="382" spans="2:6" s="2" customFormat="1" ht="26.1" customHeight="1">
      <c r="B382" s="995"/>
      <c r="E382" s="996"/>
      <c r="F382" s="996"/>
    </row>
    <row r="383" spans="2:6" s="2" customFormat="1" ht="26.1" customHeight="1">
      <c r="B383" s="995"/>
      <c r="E383" s="996"/>
      <c r="F383" s="996"/>
    </row>
    <row r="384" spans="2:6" s="2" customFormat="1" ht="26.1" customHeight="1">
      <c r="B384" s="995"/>
      <c r="E384" s="996"/>
      <c r="F384" s="996"/>
    </row>
    <row r="385" spans="2:6" s="2" customFormat="1" ht="26.1" customHeight="1">
      <c r="B385" s="995"/>
      <c r="E385" s="996"/>
      <c r="F385" s="996"/>
    </row>
    <row r="386" spans="2:6" s="2" customFormat="1" ht="26.1" customHeight="1">
      <c r="B386" s="995"/>
      <c r="E386" s="996"/>
      <c r="F386" s="996"/>
    </row>
    <row r="387" spans="2:6" s="2" customFormat="1" ht="26.1" customHeight="1">
      <c r="B387" s="995"/>
      <c r="E387" s="996"/>
      <c r="F387" s="996"/>
    </row>
    <row r="388" spans="2:6" s="2" customFormat="1" ht="26.1" customHeight="1">
      <c r="B388" s="995"/>
      <c r="E388" s="996"/>
      <c r="F388" s="996"/>
    </row>
    <row r="389" spans="2:6" s="2" customFormat="1" ht="26.1" customHeight="1">
      <c r="B389" s="995"/>
      <c r="E389" s="996"/>
      <c r="F389" s="996"/>
    </row>
    <row r="390" spans="2:6" s="2" customFormat="1" ht="26.1" customHeight="1">
      <c r="B390" s="995"/>
      <c r="E390" s="996"/>
      <c r="F390" s="996"/>
    </row>
    <row r="391" spans="2:6" s="2" customFormat="1" ht="26.1" customHeight="1">
      <c r="B391" s="995"/>
      <c r="E391" s="996"/>
      <c r="F391" s="996"/>
    </row>
    <row r="392" spans="2:6" s="2" customFormat="1" ht="26.1" customHeight="1">
      <c r="B392" s="995"/>
      <c r="E392" s="996"/>
      <c r="F392" s="996"/>
    </row>
    <row r="393" spans="2:6" s="2" customFormat="1" ht="26.1" customHeight="1">
      <c r="B393" s="995"/>
      <c r="E393" s="996"/>
      <c r="F393" s="996"/>
    </row>
    <row r="394" spans="2:6" s="2" customFormat="1" ht="26.1" customHeight="1">
      <c r="B394" s="995"/>
      <c r="E394" s="996"/>
      <c r="F394" s="996"/>
    </row>
    <row r="395" spans="2:6" s="2" customFormat="1" ht="26.1" customHeight="1">
      <c r="B395" s="995"/>
      <c r="E395" s="996"/>
      <c r="F395" s="996"/>
    </row>
    <row r="396" spans="2:6" s="2" customFormat="1" ht="26.1" customHeight="1">
      <c r="B396" s="995"/>
      <c r="E396" s="996"/>
      <c r="F396" s="996"/>
    </row>
    <row r="397" spans="2:6" s="2" customFormat="1" ht="26.1" customHeight="1">
      <c r="B397" s="995"/>
      <c r="E397" s="996"/>
      <c r="F397" s="996"/>
    </row>
    <row r="398" spans="2:6" s="2" customFormat="1" ht="26.1" customHeight="1">
      <c r="B398" s="995"/>
      <c r="E398" s="996"/>
      <c r="F398" s="996"/>
    </row>
    <row r="399" spans="2:6" s="2" customFormat="1" ht="26.1" customHeight="1">
      <c r="B399" s="995"/>
      <c r="E399" s="996"/>
      <c r="F399" s="996"/>
    </row>
    <row r="400" spans="2:6" s="2" customFormat="1" ht="26.1" customHeight="1">
      <c r="B400" s="995"/>
      <c r="E400" s="996"/>
      <c r="F400" s="996"/>
    </row>
    <row r="401" spans="2:6" s="2" customFormat="1" ht="26.1" customHeight="1">
      <c r="B401" s="995"/>
      <c r="E401" s="996"/>
      <c r="F401" s="996"/>
    </row>
    <row r="402" spans="2:6" s="2" customFormat="1" ht="26.1" customHeight="1">
      <c r="B402" s="995"/>
      <c r="C402" s="999"/>
      <c r="D402" s="1000"/>
      <c r="E402" s="996"/>
      <c r="F402" s="996"/>
    </row>
    <row r="403" spans="2:6" s="2" customFormat="1" ht="26.1" customHeight="1">
      <c r="B403" s="995"/>
      <c r="C403" s="1000"/>
      <c r="D403" s="1000"/>
      <c r="E403" s="1005"/>
      <c r="F403" s="996"/>
    </row>
    <row r="404" spans="2:6" s="1000" customFormat="1" ht="26.1" customHeight="1">
      <c r="B404" s="1001"/>
      <c r="E404" s="1005"/>
      <c r="F404" s="996"/>
    </row>
    <row r="405" spans="2:6" s="1000" customFormat="1" ht="26.1" customHeight="1">
      <c r="B405" s="1001"/>
      <c r="E405" s="1005"/>
      <c r="F405" s="996"/>
    </row>
    <row r="406" spans="2:6" s="1000" customFormat="1" ht="26.1" customHeight="1">
      <c r="B406" s="1001"/>
      <c r="E406" s="1005"/>
      <c r="F406" s="996"/>
    </row>
    <row r="407" spans="2:6" s="1000" customFormat="1" ht="26.1" customHeight="1">
      <c r="B407" s="1001"/>
      <c r="E407" s="1005"/>
      <c r="F407" s="996"/>
    </row>
    <row r="408" spans="2:6" s="1000" customFormat="1" ht="26.1" customHeight="1">
      <c r="B408" s="1001"/>
      <c r="E408" s="1005"/>
      <c r="F408" s="996"/>
    </row>
    <row r="409" spans="2:6" s="1000" customFormat="1" ht="26.1" customHeight="1">
      <c r="B409" s="1001"/>
      <c r="E409" s="1005"/>
      <c r="F409" s="996"/>
    </row>
    <row r="410" spans="2:6" s="1000" customFormat="1" ht="26.1" customHeight="1">
      <c r="B410" s="1001"/>
      <c r="E410" s="1005"/>
      <c r="F410" s="996"/>
    </row>
    <row r="411" spans="2:6" s="1000" customFormat="1" ht="26.1" customHeight="1">
      <c r="B411" s="1001"/>
      <c r="E411" s="1005"/>
      <c r="F411" s="996"/>
    </row>
    <row r="412" spans="2:6" s="1000" customFormat="1" ht="26.1" customHeight="1">
      <c r="B412" s="1001"/>
      <c r="E412" s="1005"/>
      <c r="F412" s="996"/>
    </row>
    <row r="413" spans="2:6" s="2" customFormat="1" ht="26.1" customHeight="1">
      <c r="B413" s="995"/>
      <c r="C413" s="1000"/>
      <c r="E413" s="1005"/>
      <c r="F413" s="996"/>
    </row>
    <row r="414" spans="2:6" s="2" customFormat="1" ht="26.1" customHeight="1">
      <c r="B414" s="995"/>
      <c r="C414" s="1000"/>
      <c r="E414" s="1005"/>
      <c r="F414" s="996"/>
    </row>
    <row r="415" spans="2:6" s="2" customFormat="1" ht="26.1" customHeight="1">
      <c r="B415" s="995"/>
      <c r="C415" s="1000"/>
      <c r="E415" s="1005"/>
      <c r="F415" s="996"/>
    </row>
    <row r="416" spans="2:6" s="2" customFormat="1" ht="26.1" customHeight="1">
      <c r="B416" s="995"/>
      <c r="C416" s="1000"/>
      <c r="E416" s="1005"/>
      <c r="F416" s="996"/>
    </row>
  </sheetData>
  <sheetProtection password="C616"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pageSetUpPr fitToPage="1"/>
  </sheetPr>
  <dimension ref="A1:AJ834"/>
  <sheetViews>
    <sheetView showZeros="0" zoomScaleNormal="100" workbookViewId="0"/>
  </sheetViews>
  <sheetFormatPr baseColWidth="10" defaultColWidth="11.42578125" defaultRowHeight="12"/>
  <cols>
    <col min="1" max="1" width="3.42578125" style="1631" customWidth="1"/>
    <col min="2" max="2" width="25.7109375" style="5" customWidth="1"/>
    <col min="3" max="3" width="13.7109375" style="5" customWidth="1"/>
    <col min="4" max="5" width="6.7109375" style="5" customWidth="1"/>
    <col min="6" max="9" width="10.42578125" style="5" customWidth="1"/>
    <col min="10" max="10" width="0.7109375" style="5" customWidth="1"/>
    <col min="11" max="11" width="8.7109375" style="5" customWidth="1"/>
    <col min="12" max="12" width="1.7109375" style="323" customWidth="1"/>
    <col min="13" max="13" width="3.140625" style="323" hidden="1" customWidth="1"/>
    <col min="14" max="14" width="28.140625" style="5" hidden="1" customWidth="1"/>
    <col min="15" max="20" width="11.42578125" style="5" hidden="1" customWidth="1"/>
    <col min="21" max="21" width="16" style="5" hidden="1" customWidth="1"/>
    <col min="22" max="36" width="11.42578125" style="5" hidden="1" customWidth="1"/>
    <col min="37" max="39" width="11.42578125" style="5" customWidth="1"/>
    <col min="40" max="16384" width="11.42578125" style="5"/>
  </cols>
  <sheetData>
    <row r="1" spans="1:35" ht="9.9499999999999993" customHeight="1">
      <c r="B1" s="1017" t="str">
        <f>Eingaben!B1</f>
        <v>2019.3</v>
      </c>
      <c r="C1" s="3"/>
      <c r="D1" s="3"/>
      <c r="E1" s="365"/>
      <c r="F1" s="3"/>
      <c r="G1" s="3"/>
      <c r="H1" s="3"/>
      <c r="I1" s="168"/>
      <c r="J1" s="3"/>
      <c r="K1" s="7" t="str">
        <f>Uebersetzung!D5</f>
        <v>Formular EN101b, v2.3, zu verwenden bis 31. Dezember 2019</v>
      </c>
    </row>
    <row r="2" spans="1:35" ht="17.100000000000001" customHeight="1">
      <c r="B2" s="36"/>
      <c r="C2" s="35"/>
      <c r="D2" s="118"/>
      <c r="E2" s="36"/>
      <c r="F2" s="118"/>
      <c r="G2" s="1956" t="str">
        <f>Uebersetzung!D375</f>
        <v>Zusatzangaben für den</v>
      </c>
      <c r="H2" s="1957"/>
      <c r="I2" s="1957"/>
      <c r="J2" s="1957"/>
      <c r="K2" s="1958"/>
      <c r="N2" s="5">
        <f>IF(OR(AND(Kategorie1=2,F25=""),AND(Kategorie2=2,G25=""),AND(Kategorie3=2,H25=""),AND(Kategorie1=4,I25="")),1,0)</f>
        <v>0</v>
      </c>
      <c r="O2" s="5">
        <f>Kategorie1</f>
        <v>1</v>
      </c>
    </row>
    <row r="3" spans="1:35" ht="17.100000000000001" customHeight="1">
      <c r="B3" s="43"/>
      <c r="C3" s="42"/>
      <c r="D3" s="53"/>
      <c r="E3" s="1959"/>
      <c r="F3" s="1960"/>
      <c r="G3" s="1961" t="str">
        <f>Uebersetzung!D376</f>
        <v>Minergie-Nachweis</v>
      </c>
      <c r="H3" s="1962"/>
      <c r="I3" s="1962"/>
      <c r="J3" s="1962"/>
      <c r="K3" s="1963"/>
      <c r="N3" s="323" t="s">
        <v>1890</v>
      </c>
      <c r="U3" s="323" t="s">
        <v>1916</v>
      </c>
      <c r="AC3" s="323" t="s">
        <v>2652</v>
      </c>
    </row>
    <row r="4" spans="1:35" ht="9.9499999999999993" customHeight="1">
      <c r="B4" s="95"/>
      <c r="C4" s="60"/>
      <c r="D4" s="119"/>
      <c r="E4" s="95"/>
      <c r="F4" s="119"/>
      <c r="G4" s="1964"/>
      <c r="H4" s="1965"/>
      <c r="I4" s="1965"/>
      <c r="J4" s="1965"/>
      <c r="K4" s="1966"/>
      <c r="U4" s="2088" t="s">
        <v>1922</v>
      </c>
      <c r="V4" s="2088"/>
      <c r="W4" s="2088"/>
      <c r="AC4" s="2083" t="s">
        <v>2601</v>
      </c>
      <c r="AD4" s="2083"/>
      <c r="AE4" s="2083"/>
      <c r="AF4" s="2083"/>
      <c r="AG4" s="2083"/>
      <c r="AH4" s="2083"/>
    </row>
    <row r="5" spans="1:35" ht="9.9499999999999993" hidden="1" customHeight="1">
      <c r="B5" s="3"/>
      <c r="C5" s="3"/>
      <c r="D5" s="3"/>
      <c r="E5" s="365"/>
      <c r="F5" s="3"/>
      <c r="G5" s="3"/>
      <c r="H5" s="3"/>
      <c r="I5" s="168"/>
      <c r="J5" s="3"/>
      <c r="K5" s="4"/>
      <c r="U5" s="2088"/>
      <c r="V5" s="2088"/>
      <c r="W5" s="2088"/>
      <c r="AC5" s="2083"/>
      <c r="AD5" s="2083"/>
      <c r="AE5" s="2083"/>
      <c r="AF5" s="2083"/>
      <c r="AG5" s="2083"/>
      <c r="AH5" s="2083"/>
    </row>
    <row r="6" spans="1:35" ht="9.9499999999999993" hidden="1" customHeight="1">
      <c r="B6" s="6"/>
      <c r="C6" s="6"/>
      <c r="D6" s="3"/>
      <c r="E6" s="3"/>
      <c r="F6" s="3"/>
      <c r="G6" s="3"/>
      <c r="H6" s="3"/>
      <c r="I6" s="3"/>
      <c r="J6" s="3"/>
      <c r="U6" s="2088"/>
      <c r="V6" s="2088"/>
      <c r="W6" s="2088"/>
      <c r="AC6" s="2083"/>
      <c r="AD6" s="2083"/>
      <c r="AE6" s="2083"/>
      <c r="AF6" s="2083"/>
      <c r="AG6" s="2083"/>
      <c r="AH6" s="2083"/>
    </row>
    <row r="7" spans="1:35" ht="20.100000000000001" hidden="1" customHeight="1">
      <c r="B7" s="813" t="str">
        <f>Eingaben!B7</f>
        <v>Projektname:</v>
      </c>
      <c r="C7" s="2076" t="str">
        <f>IF(Projekt1="","",Projekt1)</f>
        <v/>
      </c>
      <c r="D7" s="2076"/>
      <c r="E7" s="2076"/>
      <c r="F7" s="2076"/>
      <c r="G7" s="918" t="str">
        <f>Eingaben!G7</f>
        <v xml:space="preserve">Parz.-Nr.:  </v>
      </c>
      <c r="H7" s="1047" t="str">
        <f>IF(Projekt2="","",Projekt2)</f>
        <v/>
      </c>
      <c r="I7" s="918" t="str">
        <f>Eingaben!I7</f>
        <v xml:space="preserve">MOP - Nr.: </v>
      </c>
      <c r="J7" s="2077" t="str">
        <f>IF(Projekt3="","",Projekt3)</f>
        <v/>
      </c>
      <c r="K7" s="2078"/>
      <c r="U7" s="2088"/>
      <c r="V7" s="2088"/>
      <c r="W7" s="2088"/>
      <c r="AC7" s="2083"/>
      <c r="AD7" s="2083"/>
      <c r="AE7" s="2083"/>
      <c r="AF7" s="2083"/>
      <c r="AG7" s="2083"/>
      <c r="AH7" s="2083"/>
    </row>
    <row r="8" spans="1:35" ht="20.100000000000001" hidden="1" customHeight="1">
      <c r="B8" s="814" t="str">
        <f>Eingaben!B8</f>
        <v>Gebäudeadresse:</v>
      </c>
      <c r="C8" s="2084" t="str">
        <f>IF(Projekt4="","",Projekt4)</f>
        <v/>
      </c>
      <c r="D8" s="2084"/>
      <c r="E8" s="2084"/>
      <c r="F8" s="2084"/>
      <c r="G8" s="2084"/>
      <c r="H8" s="2084"/>
      <c r="I8" s="1028"/>
      <c r="J8" s="2085" t="str">
        <f>IF(Eingaben!J8="","",Eingaben!J8)</f>
        <v/>
      </c>
      <c r="K8" s="2086"/>
      <c r="U8" s="2088"/>
      <c r="V8" s="2088"/>
      <c r="W8" s="2088"/>
      <c r="AC8" s="2083"/>
      <c r="AD8" s="2083"/>
      <c r="AE8" s="2083"/>
      <c r="AF8" s="2083"/>
      <c r="AG8" s="2083"/>
      <c r="AH8" s="2083"/>
    </row>
    <row r="9" spans="1:35" ht="20.100000000000001" hidden="1" customHeight="1">
      <c r="U9" s="2088"/>
      <c r="V9" s="2088"/>
      <c r="W9" s="2088"/>
      <c r="AC9" s="2083"/>
      <c r="AD9" s="2083"/>
      <c r="AE9" s="2083"/>
      <c r="AF9" s="2083"/>
      <c r="AG9" s="2083"/>
      <c r="AH9" s="2083"/>
    </row>
    <row r="10" spans="1:35" ht="1.1499999999999999" customHeight="1">
      <c r="B10" s="8"/>
      <c r="C10" s="8"/>
      <c r="D10" s="9"/>
      <c r="E10" s="9"/>
      <c r="F10" s="9"/>
      <c r="G10" s="9"/>
      <c r="U10" s="2088"/>
      <c r="V10" s="2088"/>
      <c r="W10" s="2088"/>
      <c r="AC10" s="2083"/>
      <c r="AD10" s="2083"/>
      <c r="AE10" s="2083"/>
      <c r="AF10" s="2083"/>
      <c r="AG10" s="2083"/>
      <c r="AH10" s="2083"/>
    </row>
    <row r="11" spans="1:35" ht="6" customHeight="1">
      <c r="A11" s="1632"/>
      <c r="F11" s="9"/>
      <c r="G11" s="9"/>
      <c r="N11" s="1190"/>
      <c r="O11" s="1078"/>
      <c r="P11" s="1078">
        <v>1</v>
      </c>
      <c r="Q11" s="1190"/>
      <c r="R11" s="1078"/>
      <c r="S11" s="1192">
        <v>1</v>
      </c>
      <c r="U11" s="2089"/>
      <c r="V11" s="2089"/>
      <c r="W11" s="2089"/>
      <c r="AC11" s="2083"/>
      <c r="AD11" s="2083"/>
      <c r="AE11" s="2083"/>
      <c r="AF11" s="2083"/>
      <c r="AG11" s="2083"/>
      <c r="AH11" s="2083"/>
    </row>
    <row r="12" spans="1:35" ht="18" customHeight="1">
      <c r="A12" s="1632" t="s">
        <v>2934</v>
      </c>
      <c r="B12" s="1042" t="str">
        <f>Uebersetzung!D14</f>
        <v>Gebäudedaten</v>
      </c>
      <c r="C12" s="1049"/>
      <c r="D12" s="1050"/>
      <c r="E12" s="1051" t="str">
        <f>Uebersetzung!D15</f>
        <v xml:space="preserve">Gebäudestandort: </v>
      </c>
      <c r="F12" s="1052">
        <f>Hoehe</f>
        <v>0</v>
      </c>
      <c r="G12" s="1053" t="str">
        <f>Uebersetzung!D16</f>
        <v>m.ü.M.</v>
      </c>
      <c r="H12" s="1054" t="str">
        <f>Uebersetzung!D12</f>
        <v>Kanton:</v>
      </c>
      <c r="I12" s="1058">
        <f>Eingaben!I13</f>
        <v>0</v>
      </c>
      <c r="J12" s="1055"/>
      <c r="K12" s="1056"/>
      <c r="N12" s="1159" t="str">
        <f>Uebersetzung!D25</f>
        <v>Ja</v>
      </c>
      <c r="O12" s="147" t="str">
        <f>Uebersetzung!D26</f>
        <v>Nein</v>
      </c>
      <c r="P12" s="147">
        <v>2</v>
      </c>
      <c r="Q12" s="1159" t="str">
        <f>Uebersetzung!D23</f>
        <v>erfüllt</v>
      </c>
      <c r="R12" s="147" t="str">
        <f>Uebersetzung!D24</f>
        <v>nicht erfüllt</v>
      </c>
      <c r="S12" s="1193">
        <v>2</v>
      </c>
      <c r="U12" s="787" t="s">
        <v>1838</v>
      </c>
      <c r="V12" s="1197">
        <v>1</v>
      </c>
      <c r="W12" s="1191">
        <v>2</v>
      </c>
      <c r="X12" s="1191">
        <v>3</v>
      </c>
      <c r="Y12" s="404">
        <v>4</v>
      </c>
      <c r="Z12" s="1334" t="s">
        <v>1862</v>
      </c>
      <c r="AC12" s="1823" t="s">
        <v>650</v>
      </c>
      <c r="AD12" s="1191" t="b">
        <f>_neu1</f>
        <v>0</v>
      </c>
      <c r="AE12" s="1191" t="b">
        <f>_neu2</f>
        <v>0</v>
      </c>
      <c r="AF12" s="1191" t="b">
        <f>_neu3</f>
        <v>0</v>
      </c>
      <c r="AG12" s="1191" t="b">
        <f>_neu4</f>
        <v>0</v>
      </c>
      <c r="AH12" s="1824"/>
    </row>
    <row r="13" spans="1:35" ht="18" customHeight="1">
      <c r="A13" s="1632" t="s">
        <v>2935</v>
      </c>
      <c r="B13" s="10" t="str">
        <f>Uebersetzung!D17</f>
        <v>( aus SIA 380/1 )</v>
      </c>
      <c r="C13" s="155"/>
      <c r="D13" s="11"/>
      <c r="E13" s="909" t="str">
        <f>Uebersetzung!D18</f>
        <v xml:space="preserve">Art des Nachweises: </v>
      </c>
      <c r="F13" s="809" t="str">
        <f>Eingaben!E14</f>
        <v>Minergie mit SIA 380/1:2016</v>
      </c>
      <c r="G13" s="155"/>
      <c r="H13" s="15" t="str">
        <f>Uebersetzung!D28</f>
        <v>Klimastation:</v>
      </c>
      <c r="I13" s="1059" t="str">
        <f>Eingaben!I14</f>
        <v xml:space="preserve"> </v>
      </c>
      <c r="J13" s="1048"/>
      <c r="K13" s="1057"/>
      <c r="N13" s="945" t="str">
        <f>O12</f>
        <v>Nein</v>
      </c>
      <c r="O13" s="155"/>
      <c r="P13" s="155">
        <v>3</v>
      </c>
      <c r="Q13" s="945" t="str">
        <f>R12</f>
        <v>nicht erfüllt</v>
      </c>
      <c r="R13" s="155"/>
      <c r="S13" s="633">
        <v>3</v>
      </c>
      <c r="U13" s="1717" t="s">
        <v>3665</v>
      </c>
      <c r="V13" s="1769" t="b">
        <f>IF(OR(_neu1,Kategorie1=13),TRUE,FALSE)</f>
        <v>0</v>
      </c>
      <c r="W13" s="1876" t="b">
        <f>IF(OR(_neu2,Kategorie2=13),TRUE,FALSE)</f>
        <v>0</v>
      </c>
      <c r="X13" s="1876" t="b">
        <f>IF(OR(_neu3,Kategorie3=13),TRUE,FALSE)</f>
        <v>0</v>
      </c>
      <c r="Y13" s="1768" t="b">
        <f>IF(OR(_neu4,Kategorie4=13),TRUE,FALSE)</f>
        <v>0</v>
      </c>
      <c r="Z13" s="1877"/>
      <c r="AC13" s="1520" t="s">
        <v>493</v>
      </c>
      <c r="AD13" s="1800">
        <f>F23</f>
        <v>0</v>
      </c>
      <c r="AE13" s="1800">
        <f>IF(Zonen&gt;1,G23,0)</f>
        <v>0</v>
      </c>
      <c r="AF13" s="1800">
        <f>IF(Zonen&gt;2,H23,0)</f>
        <v>0</v>
      </c>
      <c r="AG13" s="1800">
        <f>IF(Zonen&gt;3,I23,0)</f>
        <v>0</v>
      </c>
      <c r="AH13" s="1584">
        <f>SUM(AD13:AG13)</f>
        <v>0</v>
      </c>
      <c r="AI13" s="5" t="s">
        <v>321</v>
      </c>
    </row>
    <row r="14" spans="1:35" ht="18" customHeight="1">
      <c r="A14" s="1632"/>
      <c r="B14" s="811" t="str">
        <f>Uebersetzung!D29</f>
        <v>Zone</v>
      </c>
      <c r="C14" s="11"/>
      <c r="D14" s="11"/>
      <c r="E14" s="11"/>
      <c r="F14" s="196">
        <v>1</v>
      </c>
      <c r="G14" s="196">
        <v>2</v>
      </c>
      <c r="H14" s="196">
        <v>3</v>
      </c>
      <c r="I14" s="196">
        <v>4</v>
      </c>
      <c r="J14" s="809"/>
      <c r="K14" s="810" t="str">
        <f>Uebersetzung!D30</f>
        <v>Summe</v>
      </c>
      <c r="N14" s="945" t="s">
        <v>1838</v>
      </c>
      <c r="O14" s="1372">
        <v>1</v>
      </c>
      <c r="P14" s="1202">
        <v>2</v>
      </c>
      <c r="Q14" s="1202">
        <v>3</v>
      </c>
      <c r="R14" s="1371">
        <v>4</v>
      </c>
      <c r="S14" s="1371" t="s">
        <v>1847</v>
      </c>
      <c r="U14" s="1159" t="s">
        <v>493</v>
      </c>
      <c r="V14" s="1873">
        <f>F23</f>
        <v>0</v>
      </c>
      <c r="W14" s="1875">
        <f>IF(Zonen&gt;1,G23,0)</f>
        <v>0</v>
      </c>
      <c r="X14" s="1875">
        <f>IF(Zonen&gt;2,H23,0)</f>
        <v>0</v>
      </c>
      <c r="Y14" s="1874">
        <f>IF(Zonen&gt;3,I23,0)</f>
        <v>0</v>
      </c>
      <c r="Z14" s="1874">
        <f>IF(V18&gt;0,V14,0)+IF(W18&gt;0,W14,0)+IF(X18&gt;0,X14,0)+IF(Y18&gt;0,Y14,0)</f>
        <v>0</v>
      </c>
      <c r="AA14" s="5" t="s">
        <v>321</v>
      </c>
      <c r="AC14" s="1527" t="s">
        <v>2589</v>
      </c>
      <c r="AD14" s="1800">
        <f>IF(AD12,AD13,0)</f>
        <v>0</v>
      </c>
      <c r="AE14" s="1800">
        <f>IF(Zonen&gt;1,IF(AE12,AE13,0),0)</f>
        <v>0</v>
      </c>
      <c r="AF14" s="1800">
        <f>IF(Zonen&gt;2,IF(AF12,AF13,0),0)</f>
        <v>0</v>
      </c>
      <c r="AG14" s="1800">
        <f>IF(Zonen&gt;3,IF(AG12,AG13,0),0)</f>
        <v>0</v>
      </c>
      <c r="AH14" s="1825">
        <f>SUM(AD14:AG14)</f>
        <v>0</v>
      </c>
      <c r="AI14" s="5" t="s">
        <v>321</v>
      </c>
    </row>
    <row r="15" spans="1:35" ht="24" customHeight="1">
      <c r="A15" s="1632" t="s">
        <v>2936</v>
      </c>
      <c r="B15" s="1944" t="str">
        <f>Eingaben!B16</f>
        <v>Gebäudekategorie</v>
      </c>
      <c r="C15" s="1945"/>
      <c r="D15" s="1967" t="str">
        <f>IF(minergiep,IF(AND(Standardwerte!BO55,Standardwerte!BO56,Standardwerte!BO57,Standardwerte!BO58),"","mit MINERGIE-P nicht möglich"),"")</f>
        <v/>
      </c>
      <c r="E15" s="2087"/>
      <c r="F15" s="1380">
        <f>Eingaben!F16</f>
        <v>0</v>
      </c>
      <c r="G15" s="1380">
        <f>Eingaben!G16</f>
        <v>0</v>
      </c>
      <c r="H15" s="1380">
        <f>Eingaben!H16</f>
        <v>0</v>
      </c>
      <c r="I15" s="1380">
        <f>Eingaben!I16</f>
        <v>0</v>
      </c>
      <c r="J15" s="1072"/>
      <c r="K15" s="213" t="str">
        <f>Uebersetzung!D35</f>
        <v>(Mittel)</v>
      </c>
      <c r="N15" s="1221" t="s">
        <v>1837</v>
      </c>
      <c r="O15" s="1195">
        <f>IF(Kategorie1&lt;&gt;13,Nachweis!G34*Nachweis!$N$52+(Nachweis!G39+Nachweis!G40)*2,0)</f>
        <v>0</v>
      </c>
      <c r="P15" s="1189">
        <f>IF(Kategorie2&lt;&gt;13,Nachweis!H34*Nachweis!$N$52+(Nachweis!H39+Nachweis!H40)*2,0)</f>
        <v>0</v>
      </c>
      <c r="Q15" s="1189">
        <f>IF(Kategorie3&lt;&gt;13,Nachweis!I34*Nachweis!$N$52+(Nachweis!I39+Nachweis!I40)*2,0)</f>
        <v>0</v>
      </c>
      <c r="R15" s="1196">
        <f>IF(Kategorie4&lt;&gt;13,Nachweis!J34*Nachweis!$N$52+(Nachweis!J39+Nachweis!J40)*2,0)</f>
        <v>0</v>
      </c>
      <c r="S15" s="1224">
        <f>IF(EBF=0,0,(O15*_EBF1+P15*_EBF2+Q15*_EBF3+R15*_EBF4)/(_EBF1+_EBF2+_EBF3+_EBF4))</f>
        <v>0</v>
      </c>
      <c r="T15" s="5" t="s">
        <v>524</v>
      </c>
      <c r="U15" s="1159" t="s">
        <v>1921</v>
      </c>
      <c r="V15" s="1276">
        <f>Standardwerte!J47</f>
        <v>0</v>
      </c>
      <c r="W15" s="1273">
        <f>Standardwerte!J48</f>
        <v>0</v>
      </c>
      <c r="X15" s="1273">
        <f>Standardwerte!J49</f>
        <v>0</v>
      </c>
      <c r="Y15" s="1339">
        <f>Standardwerte!J50</f>
        <v>0</v>
      </c>
      <c r="Z15" s="1193"/>
      <c r="AA15" s="5" t="s">
        <v>524</v>
      </c>
      <c r="AC15" s="1520" t="s">
        <v>1921</v>
      </c>
      <c r="AD15" s="1273">
        <f>Standardwerte!J47</f>
        <v>0</v>
      </c>
      <c r="AE15" s="1273">
        <f>Standardwerte!J48</f>
        <v>0</v>
      </c>
      <c r="AF15" s="1273">
        <f>Standardwerte!J49</f>
        <v>0</v>
      </c>
      <c r="AG15" s="1273">
        <f>Standardwerte!J50</f>
        <v>0</v>
      </c>
      <c r="AH15" s="1520"/>
      <c r="AI15" s="5" t="s">
        <v>524</v>
      </c>
    </row>
    <row r="16" spans="1:35" ht="18" hidden="1" customHeight="1">
      <c r="V16" s="1159"/>
      <c r="W16" s="147"/>
      <c r="X16" s="147"/>
      <c r="Y16" s="1193"/>
      <c r="Z16" s="1193"/>
      <c r="AC16" s="1218"/>
      <c r="AD16" s="147"/>
      <c r="AE16" s="147"/>
      <c r="AF16" s="147"/>
      <c r="AG16" s="147"/>
      <c r="AH16" s="1218"/>
    </row>
    <row r="17" spans="1:35" ht="18" customHeight="1">
      <c r="A17" s="1632" t="s">
        <v>2937</v>
      </c>
      <c r="B17" s="1946" t="str">
        <f>Uebersetzung!D467</f>
        <v>Warmwasser, Rechenwert</v>
      </c>
      <c r="C17" s="1947"/>
      <c r="D17" s="269"/>
      <c r="E17" s="201" t="s">
        <v>524</v>
      </c>
      <c r="F17" s="1540">
        <f>IF(_qw1&gt;0,IF(F18&gt;0,F18,_qw1),0)*O17*IF(AND(wohnen1,F21&gt;0.1),MAX(1-F21+0.1,0.3),1)</f>
        <v>0</v>
      </c>
      <c r="G17" s="1540">
        <f>IF(_qw2&gt;0,IF(G18&gt;0,G18,_qw2),0)*P17*IF(AND(wohnen2,G21&gt;0.1),MAX(1-G21+0.1,0.3),1)</f>
        <v>0</v>
      </c>
      <c r="H17" s="1540">
        <f>IF(_qw3&gt;0,IF(H18&gt;0,H18,_qw3),0)*Q17*IF(AND(wohnen3,H21&gt;0.1),MAX(1-H21+0.1,0.3),1)</f>
        <v>0</v>
      </c>
      <c r="I17" s="1540">
        <f>IF(_qw4&gt;0,IF(I18&gt;0,I18,_qw4),0)*R17*IF(AND(wohnen4,I21&gt;0.1),MAX(1-I21+0.1,0.3),1)</f>
        <v>0</v>
      </c>
      <c r="J17" s="200"/>
      <c r="K17" s="910"/>
      <c r="N17" s="1190" t="s">
        <v>1840</v>
      </c>
      <c r="O17" s="1458">
        <f>IF(F18&gt;0,1,IF(F19=$N$12,0.9,1))</f>
        <v>1</v>
      </c>
      <c r="P17" s="1191">
        <f>IF(G18&gt;0,1,IF(G19=$N$12,0.9,1))</f>
        <v>1</v>
      </c>
      <c r="Q17" s="1191">
        <f>IF(H18&gt;0,1,IF(H19=$N$12,0.9,1))</f>
        <v>1</v>
      </c>
      <c r="R17" s="1459">
        <f>IF(I18&gt;0,1,IF(I19=$N$12,0.9,1))</f>
        <v>1</v>
      </c>
      <c r="S17" s="1192"/>
      <c r="U17" s="1159" t="s">
        <v>3661</v>
      </c>
      <c r="V17" s="1159" t="b">
        <f>IF(AND(minergiep,Kategorie1=13),TRUE,FALSE)</f>
        <v>0</v>
      </c>
      <c r="W17" s="147" t="b">
        <f>IF(AND(minergiep,Kategorie2=13),TRUE,FALSE)</f>
        <v>0</v>
      </c>
      <c r="X17" s="147" t="b">
        <f>IF(AND(minergiep,Kategorie3=13),TRUE,FALSE)</f>
        <v>0</v>
      </c>
      <c r="Y17" s="1193" t="b">
        <f>IF(AND(minergiep,Kategorie4=13),TRUE,FALSE)</f>
        <v>0</v>
      </c>
      <c r="Z17" s="1193"/>
      <c r="AB17" s="1460" t="s">
        <v>2608</v>
      </c>
      <c r="AC17" s="1520" t="s">
        <v>2602</v>
      </c>
      <c r="AD17" s="1517">
        <f>IF($AH$14&gt;0,IF(Zonen&gt;0,IF(AD12,AD15*AD14*0.3,0),0)/$AH$14,0)</f>
        <v>0</v>
      </c>
      <c r="AE17" s="1517">
        <f>IF($AH$14&gt;0,IF(Zonen&gt;1,IF(AE12,AE15*AE14*0.3,0),0)/$AH$14,0)</f>
        <v>0</v>
      </c>
      <c r="AF17" s="1517">
        <f>IF($AH$14&gt;0,IF(Zonen&gt;2,IF(AF12,AF15*AF14*0.3,0),0)/$AH$14,0)</f>
        <v>0</v>
      </c>
      <c r="AG17" s="1517">
        <f>IF($AH$14&gt;0,IF(Zonen&gt;3,IF(AG12,AG15*AG14*0.3,0),0)/$AH$14,0)</f>
        <v>0</v>
      </c>
      <c r="AH17" s="1826">
        <f>SUM(AD17:AG17)</f>
        <v>0</v>
      </c>
      <c r="AI17" s="5" t="s">
        <v>524</v>
      </c>
    </row>
    <row r="18" spans="1:35" ht="18" customHeight="1">
      <c r="A18" s="1632" t="s">
        <v>2938</v>
      </c>
      <c r="B18" s="1946" t="str">
        <f>Uebersetzung!D468</f>
        <v>Warmwasser, SIA 385</v>
      </c>
      <c r="C18" s="1947"/>
      <c r="D18" s="269"/>
      <c r="E18" s="201" t="s">
        <v>524</v>
      </c>
      <c r="F18" s="1539"/>
      <c r="G18" s="1119"/>
      <c r="H18" s="1119"/>
      <c r="I18" s="1119"/>
      <c r="J18" s="200"/>
      <c r="K18" s="910"/>
      <c r="L18" s="324"/>
      <c r="N18" s="1222" t="s">
        <v>1839</v>
      </c>
      <c r="O18" s="1477">
        <f>F17*Nachweis!$O$52</f>
        <v>0</v>
      </c>
      <c r="P18" s="1478">
        <f>G17*Nachweis!$O$52</f>
        <v>0</v>
      </c>
      <c r="Q18" s="1478">
        <f>H17*Nachweis!$O$52</f>
        <v>0</v>
      </c>
      <c r="R18" s="1479">
        <f>I17*Nachweis!$O$52</f>
        <v>0</v>
      </c>
      <c r="S18" s="1223">
        <f>IF(EBF=0,0,(O18*_EBF1+P18*_EBF2+Q18*_EBF3+R18*_EBF4)/(_EBF1+_EBF2+_EBF3+_EBF4))</f>
        <v>0</v>
      </c>
      <c r="T18" s="5" t="s">
        <v>524</v>
      </c>
      <c r="U18" s="945" t="s">
        <v>657</v>
      </c>
      <c r="V18" s="1340">
        <f>IF(V17,Standardwerte!$AB$94,IF(V13,Standardwerte!$AB$93,Standardwerte!$AC$93))</f>
        <v>0</v>
      </c>
      <c r="W18" s="1328">
        <f>IF(W17,Standardwerte!$AB$94,IF(W13,Standardwerte!$AB$93,Standardwerte!$AC$93))</f>
        <v>0</v>
      </c>
      <c r="X18" s="1328">
        <f>IF(X17,Standardwerte!$AB$94,IF(X13,Standardwerte!$AB$93,Standardwerte!$AC$93))</f>
        <v>0</v>
      </c>
      <c r="Y18" s="1341">
        <f>IF(Y17,Standardwerte!$AB$94,IF(Y13,Standardwerte!$AB$93,Standardwerte!$AC$93))</f>
        <v>0</v>
      </c>
      <c r="Z18" s="633"/>
      <c r="AB18" s="1460"/>
      <c r="AC18" s="1520" t="s">
        <v>2603</v>
      </c>
      <c r="AD18" s="1517">
        <f>IF($AH$14&gt;0,IF(Zonen&gt;0,IF(AD12,_qw1*AD14,0),0)/$AH$14,0)</f>
        <v>0</v>
      </c>
      <c r="AE18" s="1517">
        <f>IF($AH$14&gt;0,IF(Zonen&gt;1,IF(AE12,_qw2*AE14,0),0)/$AH$14,0)</f>
        <v>0</v>
      </c>
      <c r="AF18" s="1517">
        <f>IF($AH$14&gt;0,IF(Zonen&gt;2,IF(AF12,_qw3*AF14,0),0)/$AH$14,0)</f>
        <v>0</v>
      </c>
      <c r="AG18" s="1517">
        <f>IF($AH$14&gt;0,IF(Zonen&gt;3,IF(AG12,_qw4*AG14,0),0)/$AH$14,0)</f>
        <v>0</v>
      </c>
      <c r="AH18" s="1826">
        <f>SUM(AD18:AG18)</f>
        <v>0</v>
      </c>
      <c r="AI18" s="5" t="s">
        <v>524</v>
      </c>
    </row>
    <row r="19" spans="1:35" ht="18" customHeight="1">
      <c r="A19" s="1632" t="s">
        <v>2939</v>
      </c>
      <c r="B19" s="1946" t="str">
        <f>Uebersetzung!D362</f>
        <v xml:space="preserve"> - Abminderung Armaturen</v>
      </c>
      <c r="C19" s="1947"/>
      <c r="D19" s="210" t="s">
        <v>1842</v>
      </c>
      <c r="E19" s="270"/>
      <c r="F19" s="1076"/>
      <c r="G19" s="1076"/>
      <c r="H19" s="1076"/>
      <c r="I19" s="1076"/>
      <c r="J19" s="216"/>
      <c r="K19" s="910"/>
      <c r="N19" s="787"/>
      <c r="O19" s="753"/>
      <c r="P19" s="817"/>
      <c r="Q19" s="817"/>
      <c r="R19" s="1181"/>
      <c r="S19" s="1177"/>
      <c r="U19" s="1225" t="s">
        <v>1920</v>
      </c>
      <c r="V19" s="1232">
        <f>IF(V18&lt;&gt;"",V18*V15,)</f>
        <v>0</v>
      </c>
      <c r="W19" s="1232">
        <f>IF(W18&lt;&gt;"",W18*W15,)</f>
        <v>0</v>
      </c>
      <c r="X19" s="1232">
        <f>IF(X18&lt;&gt;"",X18*X15,)</f>
        <v>0</v>
      </c>
      <c r="Y19" s="1232">
        <f>IF(Y18&lt;&gt;"",Y18*Y15,)</f>
        <v>0</v>
      </c>
      <c r="Z19" s="1226">
        <f>IF(Z14&gt;0,(V19*V14+W19*W14+X19*X14+Y19*Y14)/Z14,)</f>
        <v>0</v>
      </c>
      <c r="AA19" s="5" t="s">
        <v>524</v>
      </c>
      <c r="AB19" s="1460" t="s">
        <v>2608</v>
      </c>
      <c r="AC19" s="1520" t="s">
        <v>2606</v>
      </c>
      <c r="AD19" s="1517">
        <f>AD18*0.3</f>
        <v>0</v>
      </c>
      <c r="AE19" s="1517">
        <f>AE18*0.3</f>
        <v>0</v>
      </c>
      <c r="AF19" s="1517">
        <f>AF18*0.3</f>
        <v>0</v>
      </c>
      <c r="AG19" s="1517">
        <f>AG18*0.3</f>
        <v>0</v>
      </c>
      <c r="AH19" s="1826">
        <f>SUM(AD19:AG19)</f>
        <v>0</v>
      </c>
      <c r="AI19" s="5" t="s">
        <v>524</v>
      </c>
    </row>
    <row r="20" spans="1:35" ht="18" hidden="1" customHeight="1">
      <c r="A20" s="1632" t="s">
        <v>2940</v>
      </c>
      <c r="B20" s="1946" t="str">
        <f>Uebersetzung!D363</f>
        <v xml:space="preserve"> - Abminderung Warmhaltung</v>
      </c>
      <c r="C20" s="1947"/>
      <c r="D20" s="210" t="s">
        <v>1841</v>
      </c>
      <c r="E20" s="270"/>
      <c r="F20" s="1076"/>
      <c r="G20" s="1076"/>
      <c r="H20" s="1076"/>
      <c r="I20" s="1076"/>
      <c r="J20" s="1210"/>
      <c r="K20" s="910"/>
      <c r="AC20" s="1219"/>
      <c r="AD20" s="155"/>
      <c r="AE20" s="155"/>
      <c r="AF20" s="155"/>
      <c r="AG20" s="155"/>
      <c r="AH20" s="1219"/>
    </row>
    <row r="21" spans="1:35" ht="18" customHeight="1">
      <c r="A21" s="1632" t="s">
        <v>3150</v>
      </c>
      <c r="B21" s="2081" t="str">
        <f>Uebersetzung!D521</f>
        <v xml:space="preserve"> - Wärmerückgewinnung Abwasser in %</v>
      </c>
      <c r="C21" s="2018"/>
      <c r="D21" s="210"/>
      <c r="E21" s="210"/>
      <c r="F21" s="1723"/>
      <c r="G21" s="1723"/>
      <c r="H21" s="1723"/>
      <c r="I21" s="1723"/>
      <c r="J21" s="198"/>
      <c r="K21" s="1724">
        <f>IF(EBF&gt;0,(IF(wohnen1,F21,0)*Eingaben!F19+IF(wohnen2,G21,0)*Eingaben!G19+IF(wohnen3,H21,0)*Eingaben!H19+IF(wohnen4,I21,0)*Eingaben!I19)/EBF,0)</f>
        <v>0</v>
      </c>
      <c r="N21" s="1221" t="s">
        <v>1864</v>
      </c>
      <c r="O21" s="753">
        <v>1</v>
      </c>
      <c r="P21" s="817">
        <v>2</v>
      </c>
      <c r="Q21" s="817">
        <v>3</v>
      </c>
      <c r="R21" s="1181">
        <v>4</v>
      </c>
      <c r="S21" s="1214" t="s">
        <v>1862</v>
      </c>
      <c r="U21" s="1342" t="s">
        <v>2290</v>
      </c>
      <c r="AC21" s="1222" t="s">
        <v>2607</v>
      </c>
      <c r="AD21" s="1195">
        <f>AD19+AD17</f>
        <v>0</v>
      </c>
      <c r="AE21" s="1189">
        <f>AE19+AE17</f>
        <v>0</v>
      </c>
      <c r="AF21" s="1189">
        <f>AF19+AF17</f>
        <v>0</v>
      </c>
      <c r="AG21" s="1196">
        <f>AG19+AG17</f>
        <v>0</v>
      </c>
      <c r="AH21" s="1518">
        <f>SUM(AD21:AG21)</f>
        <v>0</v>
      </c>
      <c r="AI21" s="5" t="s">
        <v>524</v>
      </c>
    </row>
    <row r="22" spans="1:35" ht="20.100000000000001" hidden="1" customHeight="1">
      <c r="A22" s="1632" t="s">
        <v>386</v>
      </c>
      <c r="B22" s="1946" t="str">
        <f>Uebersetzung!D411</f>
        <v xml:space="preserve"> - Länge Warmhaltebänder</v>
      </c>
      <c r="C22" s="1947"/>
      <c r="D22" s="210" t="s">
        <v>1511</v>
      </c>
      <c r="E22" s="210"/>
      <c r="F22" s="1382"/>
      <c r="G22" s="1209"/>
      <c r="H22" s="1209"/>
      <c r="I22" s="1209"/>
      <c r="J22" s="208"/>
      <c r="K22" s="242"/>
      <c r="N22" s="787" t="s">
        <v>119</v>
      </c>
      <c r="O22" s="787" t="b">
        <f>IF(F24=$N$12,TRUE,FALSE)</f>
        <v>0</v>
      </c>
      <c r="P22" s="705" t="b">
        <f>IF(G24=$N$12,TRUE,FALSE)</f>
        <v>0</v>
      </c>
      <c r="Q22" s="705" t="b">
        <f>IF(H24=$N$12,TRUE,FALSE)</f>
        <v>0</v>
      </c>
      <c r="R22" s="937" t="b">
        <f>IF(I24=$N$12,TRUE,FALSE)</f>
        <v>0</v>
      </c>
      <c r="S22" s="1424"/>
      <c r="AH22" s="1519">
        <f>SUM(AD22:AG22)</f>
        <v>0</v>
      </c>
    </row>
    <row r="23" spans="1:35" ht="20.100000000000001" hidden="1" customHeight="1">
      <c r="A23" s="1632" t="s">
        <v>387</v>
      </c>
      <c r="B23" s="1701" t="str">
        <f>Eingaben!B19</f>
        <v>Energiebezugsfläche EBF</v>
      </c>
      <c r="C23" s="1702"/>
      <c r="D23" s="221" t="s">
        <v>138</v>
      </c>
      <c r="E23" s="1211" t="s">
        <v>321</v>
      </c>
      <c r="F23" s="1212">
        <f>Eingaben!F19</f>
        <v>0</v>
      </c>
      <c r="G23" s="1212">
        <f>Eingaben!G19</f>
        <v>0</v>
      </c>
      <c r="H23" s="1212">
        <f>Eingaben!H19</f>
        <v>0</v>
      </c>
      <c r="I23" s="1212">
        <f>Eingaben!I19</f>
        <v>0</v>
      </c>
      <c r="J23" s="200"/>
      <c r="K23" s="1213">
        <f>Eingaben!K19</f>
        <v>0</v>
      </c>
      <c r="AH23" s="1519">
        <f>SUM(AD23:AG23)</f>
        <v>0</v>
      </c>
    </row>
    <row r="24" spans="1:35" ht="20.100000000000001" hidden="1" customHeight="1">
      <c r="A24" s="1632" t="s">
        <v>388</v>
      </c>
      <c r="B24" s="1701" t="str">
        <f>Eingaben!B21</f>
        <v>Neubau</v>
      </c>
      <c r="C24" s="1702"/>
      <c r="D24" s="215"/>
      <c r="E24" s="216"/>
      <c r="F24" s="1073">
        <f>Eingaben!F21</f>
        <v>0</v>
      </c>
      <c r="G24" s="1073">
        <f>Eingaben!G21</f>
        <v>0</v>
      </c>
      <c r="H24" s="1073">
        <f>Eingaben!H21</f>
        <v>0</v>
      </c>
      <c r="I24" s="1073">
        <f>Eingaben!I21</f>
        <v>0</v>
      </c>
      <c r="J24" s="292"/>
      <c r="K24" s="1074"/>
      <c r="N24" s="1227" t="s">
        <v>1864</v>
      </c>
      <c r="O24" s="1228"/>
      <c r="P24" s="1228"/>
      <c r="Q24" s="1228"/>
      <c r="R24" s="1228"/>
      <c r="S24" s="1229"/>
      <c r="AH24" s="1519">
        <f>SUM(AD24:AG24)</f>
        <v>0</v>
      </c>
    </row>
    <row r="25" spans="1:35" ht="21.95" customHeight="1">
      <c r="A25" s="1632" t="s">
        <v>2941</v>
      </c>
      <c r="B25" s="1946" t="str">
        <f>Uebersetzung!D410</f>
        <v>Anzahl Wohneinheiten</v>
      </c>
      <c r="C25" s="1947"/>
      <c r="D25" s="210"/>
      <c r="E25" s="210"/>
      <c r="F25" s="1209"/>
      <c r="G25" s="1209"/>
      <c r="H25" s="1209"/>
      <c r="I25" s="1209"/>
      <c r="J25" s="1210"/>
      <c r="K25" s="1832">
        <f>IF(M25=1,Fehler1,SUM(F25:I25))</f>
        <v>0</v>
      </c>
      <c r="M25" s="323">
        <f>IF(OR(AND(Kategorie1=2,F25=""),AND(Kategorie2=2,G25=""),AND(Kategorie3=2,H25=""),AND(Kategorie4=2,I25="")),1,0)</f>
        <v>0</v>
      </c>
      <c r="N25" s="1218" t="s">
        <v>2300</v>
      </c>
      <c r="O25" s="1736">
        <f>IF(_EBF1&gt;0,IF(wohnen1,IF(OR(F25="",F25=0),ROUNDUP(Eingaben!F19/90,0),F25),0),0)</f>
        <v>0</v>
      </c>
      <c r="P25" s="1737">
        <f>IF(_EBF2&gt;0,IF(wohnen2,IF(OR(G25="",G25=0),ROUNDUP(Eingaben!G19/90,0),G25),0),0)</f>
        <v>0</v>
      </c>
      <c r="Q25" s="1737">
        <f>IF(_EBF3&gt;0,IF(wohnen3,IF(OR(H25="",H25=0),ROUNDUP(Eingaben!H19/90,0),H25),0),0)</f>
        <v>0</v>
      </c>
      <c r="R25" s="1738">
        <f>IF(_EBF4&gt;0,IF(wohnen4,IF(OR(I25="",I25=0),ROUNDUP(Eingaben!I19/90,0),I25),0),0)</f>
        <v>0</v>
      </c>
      <c r="S25" s="1588">
        <f>SUM(O25:R25)</f>
        <v>0</v>
      </c>
      <c r="U25" s="1225" t="s">
        <v>2291</v>
      </c>
      <c r="V25" s="1216">
        <f>IF(V18&gt;0,_qhs1/3.6,)</f>
        <v>0</v>
      </c>
      <c r="W25" s="1216">
        <f>IF(W18&gt;0,IF(Zonen&gt;1,_qhs2/3.6,0),)</f>
        <v>0</v>
      </c>
      <c r="X25" s="1216">
        <f>IF(X18&gt;0,IF(Zonen&gt;2,_qhs3/3.6,0),)</f>
        <v>0</v>
      </c>
      <c r="Y25" s="1216">
        <f>IF(Y18&gt;0,IF(Zonen&gt;3,_qhs4/3.6,0),)</f>
        <v>0</v>
      </c>
      <c r="Z25" s="1226">
        <f>IF(Z14&gt;0,(V25*V14+W25*W14+X25*X14+Y25*Y14)/Z14,)</f>
        <v>0</v>
      </c>
      <c r="AA25" s="5" t="s">
        <v>524</v>
      </c>
      <c r="AC25" s="1725" t="s">
        <v>3163</v>
      </c>
      <c r="AH25" s="1726">
        <v>0.3</v>
      </c>
    </row>
    <row r="26" spans="1:35" ht="20.100000000000001" customHeight="1">
      <c r="A26" s="1632" t="s">
        <v>3203</v>
      </c>
      <c r="B26" s="2024" t="str">
        <f>Uebersetzung!D522</f>
        <v>Gebäudehöhe</v>
      </c>
      <c r="C26" s="2082"/>
      <c r="D26" s="1792"/>
      <c r="E26" s="1153" t="s">
        <v>1511</v>
      </c>
      <c r="F26" s="1791">
        <f>Z36</f>
        <v>0</v>
      </c>
      <c r="G26" s="1791">
        <f>Z36</f>
        <v>0</v>
      </c>
      <c r="H26" s="1791">
        <f>Z36</f>
        <v>0</v>
      </c>
      <c r="I26" s="1791">
        <f>Z36</f>
        <v>0</v>
      </c>
      <c r="J26" s="1156"/>
      <c r="K26" s="1743"/>
      <c r="N26" s="1732" t="s">
        <v>1849</v>
      </c>
      <c r="O26" s="817">
        <f>IF(wohnen1,IF(_neu1,0.85,1),0)</f>
        <v>0</v>
      </c>
      <c r="P26" s="817">
        <f>IF(wohnen2,IF(_neu2,0.85,1),0)</f>
        <v>0</v>
      </c>
      <c r="Q26" s="817">
        <f>IF(wohnen3,IF(_neu3,0.85,1),0)</f>
        <v>0</v>
      </c>
      <c r="R26" s="1181">
        <f>IF(wohnen4,IF(_neu4,0.85,1),0)</f>
        <v>0</v>
      </c>
      <c r="S26" s="1215">
        <f>IF(S30&gt;0,(O26*O30+P26*P30+Q26*Q30+R26*R30)/S30,0)</f>
        <v>0</v>
      </c>
    </row>
    <row r="27" spans="1:35" ht="20.100000000000001" hidden="1" customHeight="1">
      <c r="A27" s="1632"/>
      <c r="B27" s="9"/>
      <c r="C27" s="9"/>
      <c r="D27" s="167"/>
      <c r="E27" s="167"/>
      <c r="F27" s="1208"/>
      <c r="G27" s="1208"/>
      <c r="H27" s="1208"/>
      <c r="I27" s="1208"/>
      <c r="J27" s="1171"/>
      <c r="K27" s="1207"/>
    </row>
    <row r="28" spans="1:35" ht="20.100000000000001" hidden="1" customHeight="1">
      <c r="A28" s="1632"/>
      <c r="B28" s="9"/>
      <c r="C28" s="9"/>
      <c r="D28" s="167"/>
      <c r="E28" s="167"/>
      <c r="F28" s="9"/>
      <c r="G28" s="9"/>
      <c r="H28" s="9"/>
      <c r="I28" s="9"/>
      <c r="J28" s="1171"/>
      <c r="K28" s="1207"/>
    </row>
    <row r="29" spans="1:35" ht="6" customHeight="1">
      <c r="A29" s="1633"/>
      <c r="B29" s="486"/>
      <c r="C29" s="486"/>
      <c r="D29" s="486"/>
      <c r="E29" s="486"/>
      <c r="F29" s="159"/>
      <c r="G29" s="159"/>
      <c r="H29" s="159"/>
      <c r="I29" s="159"/>
      <c r="J29" s="486"/>
      <c r="K29" s="486"/>
      <c r="M29" s="486"/>
    </row>
    <row r="30" spans="1:35" ht="18" customHeight="1">
      <c r="B30" s="2079" t="str">
        <f>Uebersetzung!D364</f>
        <v>Elektrizität</v>
      </c>
      <c r="C30" s="2080"/>
      <c r="D30" s="440"/>
      <c r="E30" s="440"/>
      <c r="F30" s="440"/>
      <c r="G30" s="440"/>
      <c r="H30" s="440"/>
      <c r="I30" s="440"/>
      <c r="J30" s="979"/>
      <c r="K30" s="1077"/>
      <c r="N30" s="1217" t="s">
        <v>1858</v>
      </c>
      <c r="O30" s="1191">
        <f>IF(wohnen1,F23,0)</f>
        <v>0</v>
      </c>
      <c r="P30" s="1191">
        <f>IF(wohnen2,G23,0)</f>
        <v>0</v>
      </c>
      <c r="Q30" s="1191">
        <f>IF(wohnen3,H23,0)</f>
        <v>0</v>
      </c>
      <c r="R30" s="1191">
        <f>IF(wohnen4,I23,0)</f>
        <v>0</v>
      </c>
      <c r="S30" s="1184">
        <f>SUM(O30:R30)</f>
        <v>0</v>
      </c>
      <c r="T30" s="147" t="s">
        <v>321</v>
      </c>
      <c r="U30" s="323" t="s">
        <v>1891</v>
      </c>
      <c r="W30" s="1516"/>
      <c r="AC30" s="1505" t="s">
        <v>2609</v>
      </c>
    </row>
    <row r="31" spans="1:35" ht="5.25" hidden="1" customHeight="1">
      <c r="B31" s="10"/>
      <c r="C31" s="17"/>
      <c r="D31" s="14"/>
      <c r="E31" s="14"/>
      <c r="F31" s="11"/>
      <c r="G31" s="11"/>
      <c r="H31" s="15"/>
      <c r="I31" s="16"/>
      <c r="J31" s="17"/>
      <c r="K31" s="18"/>
      <c r="N31" s="1218" t="s">
        <v>1857</v>
      </c>
      <c r="O31" s="1191" t="b">
        <f>IF(AND(Kategorie1&lt;4,Kategorie1&gt;1),TRUE,FALSE)</f>
        <v>0</v>
      </c>
      <c r="P31" s="1191" t="b">
        <f>IF(AND(Kategorie2&lt;4,Kategorie2&gt;1),TRUE,FALSE)</f>
        <v>0</v>
      </c>
      <c r="Q31" s="1191" t="b">
        <f>IF(AND(Kategorie3&lt;4,Kategorie3&gt;1),TRUE,FALSE)</f>
        <v>0</v>
      </c>
      <c r="R31" s="1191" t="b">
        <f>IF(AND(Kategorie4&lt;4,Kategorie4&gt;1),TRUE,FALSE)</f>
        <v>0</v>
      </c>
      <c r="S31" s="1020">
        <f>SUM(O31:R31)</f>
        <v>0</v>
      </c>
      <c r="T31" s="147"/>
      <c r="U31" s="147"/>
    </row>
    <row r="32" spans="1:35" ht="18" customHeight="1">
      <c r="B32" s="1043" t="str">
        <f>Uebersetzung!D365</f>
        <v>Angaben für Wohnungsnutzung:</v>
      </c>
      <c r="C32" s="805"/>
      <c r="D32" s="14"/>
      <c r="E32" s="442" t="str">
        <f>B14</f>
        <v>Zone</v>
      </c>
      <c r="F32" s="196">
        <v>1</v>
      </c>
      <c r="G32" s="196">
        <v>2</v>
      </c>
      <c r="H32" s="196">
        <v>3</v>
      </c>
      <c r="I32" s="196">
        <v>4</v>
      </c>
      <c r="J32" s="19"/>
      <c r="K32" s="20" t="str">
        <f>K15</f>
        <v>(Mittel)</v>
      </c>
      <c r="N32" s="1219" t="s">
        <v>1861</v>
      </c>
      <c r="O32" s="1202">
        <f>O30*0.8</f>
        <v>0</v>
      </c>
      <c r="P32" s="1202">
        <f>P30*0.8</f>
        <v>0</v>
      </c>
      <c r="Q32" s="1202">
        <f>Q30*0.8</f>
        <v>0</v>
      </c>
      <c r="R32" s="1202">
        <f>R30*0.8</f>
        <v>0</v>
      </c>
      <c r="S32" s="1025">
        <f>SUM(O32:R32)</f>
        <v>0</v>
      </c>
      <c r="T32" s="147" t="s">
        <v>321</v>
      </c>
      <c r="U32" s="1190" t="s">
        <v>1838</v>
      </c>
      <c r="V32" s="1197">
        <v>1</v>
      </c>
      <c r="W32" s="1191">
        <v>2</v>
      </c>
      <c r="X32" s="1191">
        <v>3</v>
      </c>
      <c r="Y32" s="404">
        <v>4</v>
      </c>
      <c r="Z32" s="404" t="s">
        <v>1847</v>
      </c>
      <c r="AC32" s="1523" t="s">
        <v>3171</v>
      </c>
      <c r="AD32" s="1534">
        <f>IF(Zonen&gt;0,IF(AD12,Nachweis!G34,0),0)</f>
        <v>0</v>
      </c>
      <c r="AE32" s="1535">
        <f>IF(Zonen&gt;1,IF(AE12,Nachweis!H34,0),0)</f>
        <v>0</v>
      </c>
      <c r="AF32" s="1535">
        <f>IF(Zonen&gt;2,IF(AF12,Nachweis!I34,0),0)</f>
        <v>0</v>
      </c>
      <c r="AG32" s="1535">
        <f>IF(Zonen&gt;3,IF(AG12,Nachweis!J34,0),0)</f>
        <v>0</v>
      </c>
      <c r="AH32" s="1533">
        <f>IF($AH$14&gt;0,(AD32*$AD$14+AE32*$AE$14+AF32*$AF$14+AG32*$AG$14)/$AH$14,)</f>
        <v>0</v>
      </c>
      <c r="AI32" s="5" t="s">
        <v>524</v>
      </c>
    </row>
    <row r="33" spans="1:36" ht="18" customHeight="1">
      <c r="A33" s="1632" t="s">
        <v>2942</v>
      </c>
      <c r="B33" s="1944" t="str">
        <f>Uebersetzung!D366</f>
        <v>Aufzugsanlage / Lift vorhanden?</v>
      </c>
      <c r="C33" s="1945"/>
      <c r="D33" s="217"/>
      <c r="E33" s="218"/>
      <c r="F33" s="1175"/>
      <c r="G33" s="1175"/>
      <c r="H33" s="1175"/>
      <c r="I33" s="1175"/>
      <c r="J33" s="197"/>
      <c r="K33" s="910"/>
      <c r="L33" s="323" t="s">
        <v>199</v>
      </c>
      <c r="N33" s="1218" t="s">
        <v>1859</v>
      </c>
      <c r="O33" s="1191">
        <f>IF(AND(wohnen1,OR(F33=$N$12,F33=$N$11)),O25*100,0)</f>
        <v>0</v>
      </c>
      <c r="P33" s="1191">
        <f>IF(AND(wohnen2,OR(G33=$N$12,G33=$N$11)),P25*100,0)</f>
        <v>0</v>
      </c>
      <c r="Q33" s="1191">
        <f>IF(AND(wohnen3,OR(H33=$N$12,H33=$N$11)),Q25*100,0)</f>
        <v>0</v>
      </c>
      <c r="R33" s="1191">
        <f>IF(AND(wohnen4,OR(I33=$N$12,I33=$N$11)),R25*100,0)</f>
        <v>0</v>
      </c>
      <c r="S33" s="1020">
        <f>SUM(O33:R33)</f>
        <v>0</v>
      </c>
      <c r="T33" s="147" t="s">
        <v>672</v>
      </c>
      <c r="U33" s="1219" t="s">
        <v>3666</v>
      </c>
      <c r="V33" s="1202">
        <f>IF(Kategorie1&lt;13,Eingaben!F19,0)</f>
        <v>0</v>
      </c>
      <c r="W33" s="1202">
        <f>IF(Kategorie2&lt;13,Eingaben!G19,0)</f>
        <v>0</v>
      </c>
      <c r="X33" s="1202">
        <f>IF(Kategorie3&lt;13,Eingaben!H19,0)</f>
        <v>0</v>
      </c>
      <c r="Y33" s="1202">
        <f>IF(Kategorie4&lt;13,Eingaben!I19,0)</f>
        <v>0</v>
      </c>
      <c r="Z33" s="1025">
        <f>SUM(V33:Y33)</f>
        <v>0</v>
      </c>
      <c r="AC33" s="1524" t="s">
        <v>3172</v>
      </c>
      <c r="AD33" s="1182">
        <f>Nachweis!$AN$43</f>
        <v>1</v>
      </c>
      <c r="AE33" s="1179">
        <f>Nachweis!$AN$43</f>
        <v>1</v>
      </c>
      <c r="AF33" s="1179">
        <f>Nachweis!$AN$43</f>
        <v>1</v>
      </c>
      <c r="AG33" s="1179">
        <f>Nachweis!$AN$43</f>
        <v>1</v>
      </c>
      <c r="AH33" s="1529">
        <f>Nachweis!$AN$43</f>
        <v>1</v>
      </c>
    </row>
    <row r="34" spans="1:36" ht="18" customHeight="1">
      <c r="A34" s="1632" t="s">
        <v>2943</v>
      </c>
      <c r="B34" s="1946" t="str">
        <f>Uebersetzung!D367</f>
        <v>Alle Geschirrspüler Klasse A+++</v>
      </c>
      <c r="C34" s="1947"/>
      <c r="D34" s="215"/>
      <c r="E34" s="210"/>
      <c r="F34" s="1175"/>
      <c r="G34" s="1175"/>
      <c r="H34" s="1175"/>
      <c r="I34" s="1175"/>
      <c r="J34" s="200"/>
      <c r="K34" s="242"/>
      <c r="L34" s="323" t="s">
        <v>199</v>
      </c>
      <c r="N34" s="1217" t="s">
        <v>1850</v>
      </c>
      <c r="O34" s="1475">
        <f>IF(F34=$N$12,IF(_neu1,Standardwerte!$X87,Standardwerte!$Y87),0)</f>
        <v>0</v>
      </c>
      <c r="P34" s="1220">
        <f>IF(G34=$N$12,IF(_neu2,Standardwerte!$X87,Standardwerte!$Y87),0)</f>
        <v>0</v>
      </c>
      <c r="Q34" s="1220">
        <f>IF(H34=$N$12,IF(_neu3,Standardwerte!$X87,Standardwerte!$Y87),0)</f>
        <v>0</v>
      </c>
      <c r="R34" s="1476">
        <f>IF(I34=$N$12,IF(_neu4,Standardwerte!$X87,Standardwerte!$Y87),0)</f>
        <v>0</v>
      </c>
      <c r="S34" s="1421"/>
      <c r="T34" s="147"/>
      <c r="U34" s="1277" t="s">
        <v>1897</v>
      </c>
      <c r="V34" s="1274">
        <f>IF(V81,V86,IF(minergiea,INDEX(Standardwerte!$AI$71:$AI$83,Kategorie1,1),IF(minergiep,IF(_neu1,INDEX(Standardwerte!$Z$71:$Z$83,Kategorie1,1),INDEX(Standardwerte!$AA$71:$AA$83,Kategorie1,1)),IF(_neu1,INDEX(Standardwerte!$X$71:$X$83,Kategorie1,1),INDEX(Standardwerte!$Y$71:$Y$83,Kategorie1,1)))))</f>
        <v>0</v>
      </c>
      <c r="W34" s="1274">
        <f>IF(W81,W86,IF(minergiea,INDEX(Standardwerte!$AI$71:$AI$83,Kategorie2,1),IF(minergiep,IF(_neu2,INDEX(Standardwerte!$Z$71:$Z$83,Kategorie2,1),INDEX(Standardwerte!$AA$71:$AA$83,Kategorie2,1)),IF(_neu2,INDEX(Standardwerte!$X$71:$X$83,Kategorie2,1),INDEX(Standardwerte!$Y$71:$Y$83,Kategorie2,1)))))</f>
        <v>0</v>
      </c>
      <c r="X34" s="1274">
        <f>IF(X81,X86,IF(minergiea,INDEX(Standardwerte!$AI$71:$AI$83,Kategorie3,1),IF(minergiep,IF(_neu3,INDEX(Standardwerte!$Z$71:$Z$83,Kategorie3,1),INDEX(Standardwerte!$AA$71:$AA$83,Kategorie3,1)),IF(_neu3,INDEX(Standardwerte!$X$71:$X$83,Kategorie3,1),INDEX(Standardwerte!$Y$71:$Y$83,Kategorie3,1)))))</f>
        <v>0</v>
      </c>
      <c r="Y34" s="1274">
        <f>IF(Y81,Y86,IF(minergiea,INDEX(Standardwerte!$AI$71:$AI$83,Kategorie4,1),IF(minergiep,IF(_neu4,INDEX(Standardwerte!$Z$71:$Z$83,Kategorie4,1),INDEX(Standardwerte!$AA$71:$AA$83,Kategorie4,1)),IF(_neu4,INDEX(Standardwerte!$X$71:$X$83,Kategorie4,1),INDEX(Standardwerte!$Y$71:$Y$83,Kategorie4,1)))))</f>
        <v>0</v>
      </c>
      <c r="Z34" s="1793">
        <f>IF(EBF=0,0,(V34*_EBF1+W34*_EBF2+X34*_EBF3+Y34*_EBF4)/(_EBF1+_EBF2+_EBF3+_EBF4))</f>
        <v>0</v>
      </c>
      <c r="AA34" s="5" t="s">
        <v>524</v>
      </c>
      <c r="AC34" s="1528" t="s">
        <v>3172</v>
      </c>
      <c r="AD34" s="1477">
        <f>IF($AH$14&gt;0,AD32*AD14*AD33/$AH$14,)</f>
        <v>0</v>
      </c>
      <c r="AE34" s="1478">
        <f>IF($AH$14&gt;0,AE32*AE14*AE33/$AH$14,)</f>
        <v>0</v>
      </c>
      <c r="AF34" s="1478">
        <f>IF($AH$14&gt;0,AF32*AF14*AF33/$AH$14,)</f>
        <v>0</v>
      </c>
      <c r="AG34" s="1478">
        <f>IF($AH$14&gt;0,AG32*AG14*AG33/$AH$14,)</f>
        <v>0</v>
      </c>
      <c r="AH34" s="1521">
        <f>SUM(AD34:AG34)</f>
        <v>0</v>
      </c>
      <c r="AI34" s="5" t="s">
        <v>524</v>
      </c>
    </row>
    <row r="35" spans="1:36" ht="18" customHeight="1">
      <c r="A35" s="1632" t="s">
        <v>2944</v>
      </c>
      <c r="B35" s="2054" t="str">
        <f>Uebersetzung!D368</f>
        <v>Alle Kühl- und Gefrierschränke A+++</v>
      </c>
      <c r="C35" s="2055"/>
      <c r="D35" s="210"/>
      <c r="E35" s="210"/>
      <c r="F35" s="1175"/>
      <c r="G35" s="1175"/>
      <c r="H35" s="1175"/>
      <c r="I35" s="1175"/>
      <c r="J35" s="198"/>
      <c r="K35" s="202"/>
      <c r="N35" s="1218" t="s">
        <v>1851</v>
      </c>
      <c r="O35" s="1182">
        <f>IF(F35=$N$12,IF(_neu1,Standardwerte!$X88,Standardwerte!$Y88),0)</f>
        <v>0</v>
      </c>
      <c r="P35" s="1179">
        <f>IF(G35=$N$12,IF(_neu2,Standardwerte!$X88,Standardwerte!$Y88),0)</f>
        <v>0</v>
      </c>
      <c r="Q35" s="1179">
        <f>IF(H35=$N$12,IF(_neu3,Standardwerte!$X88,Standardwerte!$Y88),0)</f>
        <v>0</v>
      </c>
      <c r="R35" s="1203">
        <f>IF(I35=$N$12,IF(_neu4,Standardwerte!$X88,Standardwerte!$Y88),0)</f>
        <v>0</v>
      </c>
      <c r="S35" s="1193"/>
      <c r="U35" s="1278" t="s">
        <v>1896</v>
      </c>
      <c r="V35" s="1264">
        <f>IF(V33&gt;0,IF(Klima=1,0,INDEX(Standardwerte!$D$54:$D$94,Standardwerte!$B$51,1)*(IF(_neu1,1,2))),0)</f>
        <v>0</v>
      </c>
      <c r="W35" s="1264">
        <f>IF(W33&gt;0,IF(Klima=1,0,INDEX(Standardwerte!$D$54:$D$94,Standardwerte!$B$51,1)*(IF(_neu2,1,2))),0)</f>
        <v>0</v>
      </c>
      <c r="X35" s="1264">
        <f>IF(X33&gt;0,IF(Klima=1,0,INDEX(Standardwerte!$D$54:$D$94,Standardwerte!$B$51,1)*(IF(_neu3,1,2))),0)</f>
        <v>0</v>
      </c>
      <c r="Y35" s="1264">
        <f>IF(Y33&gt;0,IF(Klima=1,0,INDEX(Standardwerte!$D$54:$D$94,Standardwerte!$B$51,1)*(IF(_neu4,1,2))),0)</f>
        <v>0</v>
      </c>
      <c r="Z35" s="1218"/>
      <c r="AA35" s="5" t="s">
        <v>524</v>
      </c>
      <c r="AC35" s="1524" t="s">
        <v>2610</v>
      </c>
      <c r="AD35" s="1182">
        <f>Nachweis!$AN$44</f>
        <v>1</v>
      </c>
      <c r="AE35" s="1179">
        <f>Nachweis!$AN$44</f>
        <v>1</v>
      </c>
      <c r="AF35" s="1179">
        <f>Nachweis!$AN$44</f>
        <v>1</v>
      </c>
      <c r="AG35" s="1179">
        <f>Nachweis!$AN$44</f>
        <v>1</v>
      </c>
      <c r="AH35" s="1529">
        <f>Nachweis!$AN$44</f>
        <v>1</v>
      </c>
    </row>
    <row r="36" spans="1:36" ht="18" customHeight="1">
      <c r="A36" s="1632" t="s">
        <v>2945</v>
      </c>
      <c r="B36" s="1040" t="str">
        <f>Uebersetzung!D369</f>
        <v>Alle Waschmaschinen Klasse A+++</v>
      </c>
      <c r="C36" s="1041"/>
      <c r="D36" s="210"/>
      <c r="E36" s="210"/>
      <c r="F36" s="1175"/>
      <c r="G36" s="1175"/>
      <c r="H36" s="1175"/>
      <c r="I36" s="1175"/>
      <c r="J36" s="198"/>
      <c r="K36" s="203"/>
      <c r="N36" s="1218" t="s">
        <v>1852</v>
      </c>
      <c r="O36" s="1182">
        <f>IF(F36=$N$12,IF(_neu1,Standardwerte!$X89,Standardwerte!$Y89),0)</f>
        <v>0</v>
      </c>
      <c r="P36" s="1179">
        <f>IF(G36=$N$12,IF(_neu2,Standardwerte!$X89,Standardwerte!$Y89),0)</f>
        <v>0</v>
      </c>
      <c r="Q36" s="1179">
        <f>IF(H36=$N$12,IF(_neu3,Standardwerte!$X89,Standardwerte!$Y89),0)</f>
        <v>0</v>
      </c>
      <c r="R36" s="1203">
        <f>IF(I36=$N$12,IF(_neu4,Standardwerte!$X89,Standardwerte!$Y89),0)</f>
        <v>0</v>
      </c>
      <c r="S36" s="1193"/>
      <c r="U36" s="1219" t="s">
        <v>3205</v>
      </c>
      <c r="V36" s="1744">
        <f>IF(AND(Kategorie1&gt;1,Kategorie1&lt;10,F26&gt;0),MAX(17-70*2.8/F26,0),0)</f>
        <v>0</v>
      </c>
      <c r="W36" s="1744">
        <f>IF(AND(Kategorie2&gt;1,Kategorie2&lt;10,G26&gt;0),MAX(17-70*2.8/G26,0),0)</f>
        <v>0</v>
      </c>
      <c r="X36" s="1744">
        <f>IF(AND(Kategorie3&gt;1,Kategorie3&lt;10,H26&gt;0),MAX(17-70*2.8/H26,0),0)</f>
        <v>0</v>
      </c>
      <c r="Y36" s="1744">
        <f>IF(AND(Kategorie4&gt;1,Kategorie4&lt;10,I26&gt;0),MAX(17-70*2.8/I26,0),0)</f>
        <v>0</v>
      </c>
      <c r="Z36" s="1794">
        <f>IF(minergiea,0,D26)</f>
        <v>0</v>
      </c>
      <c r="AA36" s="5" t="s">
        <v>3356</v>
      </c>
      <c r="AC36" s="1528" t="s">
        <v>2610</v>
      </c>
      <c r="AD36" s="1522">
        <f>AD18*Nachweis!$AN$44</f>
        <v>0</v>
      </c>
      <c r="AE36" s="1517">
        <f>AE18*Nachweis!$AN$44</f>
        <v>0</v>
      </c>
      <c r="AF36" s="1517">
        <f>AF18*Nachweis!$AN$44</f>
        <v>0</v>
      </c>
      <c r="AG36" s="1517">
        <f>AG18*Nachweis!$AN$44</f>
        <v>0</v>
      </c>
      <c r="AH36" s="1521">
        <f>SUM(AD36:AG36)</f>
        <v>0</v>
      </c>
      <c r="AI36" s="5" t="s">
        <v>524</v>
      </c>
    </row>
    <row r="37" spans="1:36" ht="18" customHeight="1">
      <c r="A37" s="1632" t="s">
        <v>2946</v>
      </c>
      <c r="B37" s="1946" t="str">
        <f>Uebersetzung!D370</f>
        <v>Alle Wäschetrockner Klasse A+++</v>
      </c>
      <c r="C37" s="1947"/>
      <c r="D37" s="223"/>
      <c r="E37" s="210"/>
      <c r="F37" s="1175"/>
      <c r="G37" s="1175"/>
      <c r="H37" s="1175"/>
      <c r="I37" s="1175"/>
      <c r="J37" s="198"/>
      <c r="K37" s="242"/>
      <c r="N37" s="1218" t="s">
        <v>1853</v>
      </c>
      <c r="O37" s="1182">
        <f>IF(F37=$N$12,IF(_neu1,Standardwerte!$X90,Standardwerte!$Y90),0)</f>
        <v>0</v>
      </c>
      <c r="P37" s="1179">
        <f>IF(G37=$N$12,IF(_neu2,Standardwerte!$X90,Standardwerte!$Y90),0)</f>
        <v>0</v>
      </c>
      <c r="Q37" s="1179">
        <f>IF(H37=$N$12,IF(_neu3,Standardwerte!$X90,Standardwerte!$Y90),0)</f>
        <v>0</v>
      </c>
      <c r="R37" s="1203">
        <f>IF(I37=$N$12,IF(_neu4,Standardwerte!$X90,Standardwerte!$Y90),0)</f>
        <v>0</v>
      </c>
      <c r="S37" s="1193"/>
      <c r="U37" s="1569" t="s">
        <v>1892</v>
      </c>
      <c r="V37" s="1274">
        <f>V34+V35+V36</f>
        <v>0</v>
      </c>
      <c r="W37" s="1274">
        <f>W34+W35+W36</f>
        <v>0</v>
      </c>
      <c r="X37" s="1274">
        <f>X34+X35+X36</f>
        <v>0</v>
      </c>
      <c r="Y37" s="1274">
        <f>Y34+Y35+Y36</f>
        <v>0</v>
      </c>
      <c r="Z37" s="1570">
        <f>IF(EBF=0,0,(V37*_EBF1+W37*_EBF2+X37*_EBF3+Y37*_EBF4)/(_EBF1+_EBF2+_EBF3+_EBF4))</f>
        <v>0</v>
      </c>
      <c r="AA37" s="5" t="s">
        <v>524</v>
      </c>
      <c r="AC37" s="1222" t="s">
        <v>2611</v>
      </c>
      <c r="AD37" s="1195">
        <f>AD36+AD34</f>
        <v>0</v>
      </c>
      <c r="AE37" s="1189">
        <f>AE36+AE34</f>
        <v>0</v>
      </c>
      <c r="AF37" s="1189">
        <f>AF36+AF34</f>
        <v>0</v>
      </c>
      <c r="AG37" s="1196">
        <f>AG36+AG34</f>
        <v>0</v>
      </c>
      <c r="AH37" s="1518">
        <f>SUM(AD37:AG37)</f>
        <v>0</v>
      </c>
      <c r="AI37" s="5" t="s">
        <v>524</v>
      </c>
    </row>
    <row r="38" spans="1:36" ht="18" customHeight="1">
      <c r="A38" s="1632" t="s">
        <v>2947</v>
      </c>
      <c r="B38" s="1040" t="str">
        <f>Uebersetzung!D371</f>
        <v>Alles Induktionskochherde</v>
      </c>
      <c r="C38" s="1041"/>
      <c r="D38" s="210"/>
      <c r="E38" s="210"/>
      <c r="F38" s="1175"/>
      <c r="G38" s="1175"/>
      <c r="H38" s="1175"/>
      <c r="I38" s="1175"/>
      <c r="J38" s="198"/>
      <c r="K38" s="203"/>
      <c r="N38" s="1218" t="s">
        <v>1854</v>
      </c>
      <c r="O38" s="1182">
        <f>IF(F38=$N$12,IF(_neu1,Standardwerte!$X91,Standardwerte!$Y91),0)</f>
        <v>0</v>
      </c>
      <c r="P38" s="1179">
        <f>IF(G38=$N$12,IF(_neu2,Standardwerte!$X91,Standardwerte!$Y91),0)</f>
        <v>0</v>
      </c>
      <c r="Q38" s="1179">
        <f>IF(H38=$N$12,IF(_neu3,Standardwerte!$X91,Standardwerte!$Y91),0)</f>
        <v>0</v>
      </c>
      <c r="R38" s="1203">
        <f>IF(I38=$N$12,IF(_neu4,Standardwerte!$X91,Standardwerte!$Y91),0)</f>
        <v>0</v>
      </c>
      <c r="S38" s="1193"/>
      <c r="U38" s="1822" t="s">
        <v>1893</v>
      </c>
      <c r="V38" s="1274">
        <f>IF(OR(AND(O81,O82=FALSE),AND(O86,O87=FALSE),O90),O95,0)</f>
        <v>0</v>
      </c>
      <c r="W38" s="1274">
        <f>IF(OR(AND(P81,P82=FALSE),AND(P86,P87=FALSE),P90),P95,0)</f>
        <v>0</v>
      </c>
      <c r="X38" s="1274">
        <f>IF(OR(AND(Q81,Q82=FALSE),AND(Q86,Q87=FALSE),Q90),Q95,0)</f>
        <v>0</v>
      </c>
      <c r="Y38" s="1274">
        <f>IF(OR(AND(R81,R82=FALSE),AND(R86,R87=FALSE),R90),R95,0)</f>
        <v>0</v>
      </c>
      <c r="Z38" s="1822"/>
      <c r="AA38" s="5" t="s">
        <v>524</v>
      </c>
      <c r="AC38" s="1725" t="s">
        <v>3163</v>
      </c>
      <c r="AH38" s="1178">
        <f>IF(AH21&gt;0,AH25/AH21*AH37,0)</f>
        <v>0</v>
      </c>
    </row>
    <row r="39" spans="1:36" ht="18" hidden="1" customHeight="1">
      <c r="A39" s="1632" t="s">
        <v>1937</v>
      </c>
      <c r="B39" s="1946" t="str">
        <f>Uebersetzung!D372</f>
        <v>Feste Wohnungsbeleuchtung LED A++</v>
      </c>
      <c r="C39" s="1947"/>
      <c r="D39" s="210"/>
      <c r="E39" s="210"/>
      <c r="F39" s="1175"/>
      <c r="G39" s="1175"/>
      <c r="H39" s="1175"/>
      <c r="I39" s="1175"/>
      <c r="J39" s="198"/>
      <c r="K39" s="203"/>
      <c r="N39" s="1218" t="s">
        <v>1855</v>
      </c>
      <c r="O39" s="1182">
        <f>IF(F39=$N$12,IF(_neu1,Standardwerte!$X92,Standardwerte!$Y92),0)</f>
        <v>0</v>
      </c>
      <c r="P39" s="1179">
        <f>IF(G39=$N$12,IF(_neu2,Standardwerte!$X92,Standardwerte!$Y92),0)</f>
        <v>0</v>
      </c>
      <c r="Q39" s="1179">
        <f>IF(H39=$N$12,IF(_neu3,Standardwerte!$X92,Standardwerte!$Y92),0)</f>
        <v>0</v>
      </c>
      <c r="R39" s="1203">
        <f>IF(I39=$N$12,IF(_neu4,Standardwerte!$X92,Standardwerte!$Y92),0)</f>
        <v>0</v>
      </c>
      <c r="S39" s="1193"/>
      <c r="U39" s="1218"/>
      <c r="Z39" s="1218"/>
    </row>
    <row r="40" spans="1:36" ht="18" customHeight="1">
      <c r="A40" s="1632" t="s">
        <v>2948</v>
      </c>
      <c r="B40" s="1946" t="str">
        <f>Uebersetzung!D373</f>
        <v>Beleuchtung LED A++ &amp; Regelung</v>
      </c>
      <c r="C40" s="2015"/>
      <c r="D40" s="438"/>
      <c r="E40" s="217"/>
      <c r="F40" s="1175"/>
      <c r="G40" s="1175"/>
      <c r="H40" s="1175"/>
      <c r="I40" s="1175"/>
      <c r="J40" s="439"/>
      <c r="K40" s="203"/>
      <c r="L40" s="159"/>
      <c r="N40" s="1218" t="s">
        <v>1856</v>
      </c>
      <c r="O40" s="1182">
        <f>IF(F40=$N$12,IF(_neu1,Standardwerte!$X93,Standardwerte!$Y93),0)</f>
        <v>0</v>
      </c>
      <c r="P40" s="1179">
        <f>IF(G40=$N$12,IF(_neu2,Standardwerte!$X93,Standardwerte!$Y93),0)</f>
        <v>0</v>
      </c>
      <c r="Q40" s="1179">
        <f>IF(H40=$N$12,IF(_neu3,Standardwerte!$X93,Standardwerte!$Y93),0)</f>
        <v>0</v>
      </c>
      <c r="R40" s="1203">
        <f>IF(I40=$N$12,IF(_neu4,Standardwerte!$X93,Standardwerte!$Y93),0)</f>
        <v>0</v>
      </c>
      <c r="S40" s="1193"/>
      <c r="U40" s="1219" t="s">
        <v>1894</v>
      </c>
      <c r="V40" s="1232">
        <f>IF(OR(AND(O81,O82=FALSE),AND(O86,O87=FALSE),O90),O92,0)</f>
        <v>0</v>
      </c>
      <c r="W40" s="1232">
        <f>IF(OR(AND(P81,P82=FALSE),AND(P86,P87=FALSE),P90),P92,0)</f>
        <v>0</v>
      </c>
      <c r="X40" s="1232">
        <f>IF(OR(AND(Q81,Q82=FALSE),AND(Q86,Q87=FALSE),Q90),Q92,0)</f>
        <v>0</v>
      </c>
      <c r="Y40" s="1232">
        <f>IF(OR(AND(R81,R82=FALSE),AND(R86,R87=FALSE),R90),R92,0)</f>
        <v>0</v>
      </c>
      <c r="Z40" s="1219"/>
      <c r="AA40" s="5" t="s">
        <v>524</v>
      </c>
    </row>
    <row r="41" spans="1:36" ht="18" customHeight="1">
      <c r="A41" s="1632" t="s">
        <v>2949</v>
      </c>
      <c r="B41" s="2024" t="str">
        <f>Uebersetzung!D391</f>
        <v>Effiziente Geräte Gebäudebetrieb/Wohnnutzung</v>
      </c>
      <c r="C41" s="2025"/>
      <c r="D41" s="438"/>
      <c r="E41" s="217"/>
      <c r="F41" s="1175"/>
      <c r="G41" s="1175"/>
      <c r="H41" s="1175"/>
      <c r="I41" s="1175"/>
      <c r="J41" s="439"/>
      <c r="K41" s="203"/>
      <c r="L41" s="159"/>
      <c r="N41" s="1219" t="s">
        <v>2302</v>
      </c>
      <c r="O41" s="1183">
        <f>IF(F41=$N$12,IF(_neu1,Standardwerte!$X94,Standardwerte!$Y94),0)</f>
        <v>0</v>
      </c>
      <c r="P41" s="1204">
        <f>IF(G41=$N$12,IF(_neu2,Standardwerte!$X94,Standardwerte!$Y94),0)</f>
        <v>0</v>
      </c>
      <c r="Q41" s="1204">
        <f>IF(H41=$N$12,IF(_neu3,Standardwerte!$X94,Standardwerte!$Y94),0)</f>
        <v>0</v>
      </c>
      <c r="R41" s="1205">
        <f>IF(I41=$N$12,IF(_neu4,Standardwerte!$X94,Standardwerte!$Y94),0)</f>
        <v>0</v>
      </c>
      <c r="S41" s="633"/>
      <c r="U41" s="1221" t="s">
        <v>1895</v>
      </c>
      <c r="V41" s="1777">
        <f>V37+(-V38+V40)*2</f>
        <v>0</v>
      </c>
      <c r="W41" s="1778">
        <f>W37+(-W38+W40)*2</f>
        <v>0</v>
      </c>
      <c r="X41" s="1778">
        <f>X37+(-X38+X40)*2</f>
        <v>0</v>
      </c>
      <c r="Y41" s="1779">
        <f>Y37+(-Y38+Y40)*2</f>
        <v>0</v>
      </c>
      <c r="Z41" s="1224">
        <f>IF(Z33&gt;0,(V41*V33+W41*W33+X41*X33+Y41*Y33)/Z33,0)</f>
        <v>0</v>
      </c>
      <c r="AA41" s="5" t="s">
        <v>524</v>
      </c>
    </row>
    <row r="42" spans="1:36" ht="20.100000000000001" hidden="1" customHeight="1">
      <c r="A42" s="1632"/>
      <c r="B42" s="1161"/>
      <c r="C42" s="14"/>
      <c r="D42" s="1169"/>
      <c r="E42" s="167"/>
      <c r="F42" s="1170"/>
      <c r="G42" s="1170"/>
      <c r="H42" s="1170"/>
      <c r="I42" s="1170"/>
      <c r="J42" s="1171"/>
      <c r="K42" s="1172"/>
      <c r="L42" s="159"/>
      <c r="N42" s="1218"/>
      <c r="O42" s="1179">
        <f>IF(F42=$N$12,IF(_neu1,Standardwerte!$X95,Standardwerte!$Y95),0)</f>
        <v>0</v>
      </c>
    </row>
    <row r="43" spans="1:36" ht="18" customHeight="1">
      <c r="A43" s="1632" t="s">
        <v>1924</v>
      </c>
      <c r="B43" s="1992" t="str">
        <f>Uebersetzung!D374</f>
        <v>Übrige Nutzungen: Angaben zur Beleuchtung</v>
      </c>
      <c r="C43" s="1993"/>
      <c r="D43" s="1993"/>
      <c r="E43" s="979" t="str">
        <f>IF(OR(F30&lt;&gt;"",G30&lt;&gt;"",H30&lt;&gt;""),Uebersetzung!D116,"")</f>
        <v/>
      </c>
      <c r="F43" s="444"/>
      <c r="G43" s="444"/>
      <c r="H43" s="444"/>
      <c r="I43" s="444"/>
      <c r="J43" s="444"/>
      <c r="K43" s="441"/>
      <c r="L43" s="159"/>
      <c r="N43" s="1218" t="s">
        <v>691</v>
      </c>
      <c r="O43" s="1206">
        <f>IF(wohnen1,MIN(SUM(O34:O42),IF(_neu1,Standardwerte!$X$95,Standardwerte!$Y$95)),0)</f>
        <v>0</v>
      </c>
      <c r="P43" s="1206">
        <f>IF(wohnen2,MIN(SUM(P34:P42),IF(_neu2,Standardwerte!$X$95,Standardwerte!$Y$95)),0)</f>
        <v>0</v>
      </c>
      <c r="Q43" s="1206">
        <f>IF(wohnen3,MIN(SUM(Q34:Q42),IF(_neu3,Standardwerte!$X$95,Standardwerte!$Y$95)),0)</f>
        <v>0</v>
      </c>
      <c r="R43" s="1206">
        <f>IF(wohnen4,MIN(SUM(R34:R42),IF(_neu4,Standardwerte!$X$95,Standardwerte!$Y$95)),0)</f>
        <v>0</v>
      </c>
      <c r="S43" s="1178">
        <f>IF(S30&gt;0,(O43*O30+P43*P30+Q43*Q30+R43*R30)/S30,0)</f>
        <v>0</v>
      </c>
      <c r="V43" s="147"/>
      <c r="W43" s="147"/>
      <c r="X43" s="147"/>
      <c r="Y43" s="147"/>
      <c r="Z43" s="147"/>
      <c r="AA43" s="147"/>
    </row>
    <row r="44" spans="1:36" ht="20.100000000000001" customHeight="1">
      <c r="A44" s="1632" t="s">
        <v>1925</v>
      </c>
      <c r="B44" s="2060" t="str">
        <f>Uebersetzung!D412</f>
        <v>Beleuchtung: Umfassende Sanierung?</v>
      </c>
      <c r="C44" s="2061"/>
      <c r="D44" s="291"/>
      <c r="E44" s="291"/>
      <c r="F44" s="1782"/>
      <c r="G44" s="1782"/>
      <c r="H44" s="1782"/>
      <c r="I44" s="1782"/>
      <c r="J44" s="292"/>
      <c r="K44" s="912"/>
      <c r="L44" s="159"/>
      <c r="N44" s="1225" t="s">
        <v>1863</v>
      </c>
      <c r="O44" s="1216">
        <f>IF(_EBF1&gt;0,IF(wohnen1,IF(V80&lt;70,V90*_EBF1/2,IF(V80&gt;125,V89*_EBF1/2,O26*(O25*800+O32*20)))*(1-O43)+O33,0)/_EBF1*2,0)</f>
        <v>0</v>
      </c>
      <c r="P44" s="1216">
        <f>IF(_EBF2&gt;0,IF(wohnen2,IF(W80&lt;70,W90*_EBF2/2,IF(W80&gt;125,W89*_EBF2/2,P26*(P25*800+P32*20)))*(1-P43)+P33,0)/_EBF2*2,0)</f>
        <v>0</v>
      </c>
      <c r="Q44" s="1216">
        <f>IF(_EBF3&gt;0,IF(wohnen3,IF(X80&lt;70,X90*_EBF3/2,IF(X80&gt;125,X89*_EBF3/2,Q26*(Q25*800+Q32*20)))*(1-Q43)+Q33,0)/_EBF3*2,0)</f>
        <v>0</v>
      </c>
      <c r="R44" s="1216">
        <f>IF(_EBF4&gt;0,IF(wohnen4,IF(Y80&lt;70,Y90*_EBF4/2,IF(Y80&gt;125,Y89*_EBF4/2,R26*(R25*800+R32*20)))*(1-R43)+R33,0)/_EBF4*2,0)</f>
        <v>0</v>
      </c>
      <c r="S44" s="1226">
        <f>IF(S30=0,0,(O44*O30+P44*P30+Q44*Q30+R44*R30)/(_EBF1+_EBF2+_EBF3+_EBF4))+IF(S30&gt;0,H56*J56*2/(_EBF1+_EBF2+_EBF3+_EBF4))</f>
        <v>0</v>
      </c>
      <c r="T44" s="5" t="s">
        <v>524</v>
      </c>
      <c r="U44" s="323" t="s">
        <v>2712</v>
      </c>
      <c r="V44" s="147"/>
      <c r="W44" s="147"/>
      <c r="X44" s="147"/>
      <c r="Y44" s="147"/>
      <c r="Z44" s="147"/>
      <c r="AA44" s="147"/>
    </row>
    <row r="45" spans="1:36" ht="18.95" customHeight="1">
      <c r="A45" s="1632" t="s">
        <v>1926</v>
      </c>
      <c r="B45" s="1946" t="str">
        <f>IF(S47,Uebersetzung!D528,"")</f>
        <v/>
      </c>
      <c r="C45" s="1947"/>
      <c r="D45" s="269"/>
      <c r="E45" s="201"/>
      <c r="F45" s="1076"/>
      <c r="G45" s="1076"/>
      <c r="H45" s="1076"/>
      <c r="I45" s="1076"/>
      <c r="J45" s="200"/>
      <c r="K45" s="910"/>
      <c r="L45" s="159"/>
      <c r="N45" s="323" t="s">
        <v>2701</v>
      </c>
      <c r="O45" s="623"/>
      <c r="P45" s="623"/>
      <c r="Q45" s="623"/>
      <c r="R45" s="623"/>
      <c r="S45" s="623"/>
      <c r="T45" s="623"/>
      <c r="U45" s="1190" t="s">
        <v>1838</v>
      </c>
      <c r="V45" s="1549">
        <v>1</v>
      </c>
      <c r="W45" s="1191">
        <v>2</v>
      </c>
      <c r="X45" s="1191">
        <v>3</v>
      </c>
      <c r="Y45" s="1550">
        <v>4</v>
      </c>
      <c r="Z45" s="1550" t="s">
        <v>1847</v>
      </c>
      <c r="AA45" s="147"/>
    </row>
    <row r="46" spans="1:36" ht="18.95" customHeight="1">
      <c r="A46" s="1632" t="s">
        <v>1927</v>
      </c>
      <c r="B46" s="2056" t="str">
        <f>Uebersetzung!D377</f>
        <v xml:space="preserve">Leuchten: Minergie-Modul/Lichtausbe. &gt;100 lm/W </v>
      </c>
      <c r="C46" s="2057"/>
      <c r="D46" s="291"/>
      <c r="E46" s="291"/>
      <c r="F46" s="1230"/>
      <c r="G46" s="1230"/>
      <c r="H46" s="1230"/>
      <c r="I46" s="1230"/>
      <c r="J46" s="292"/>
      <c r="K46" s="912"/>
      <c r="L46" s="159"/>
      <c r="N46" s="787" t="s">
        <v>1838</v>
      </c>
      <c r="O46" s="753">
        <v>1</v>
      </c>
      <c r="P46" s="817">
        <v>2</v>
      </c>
      <c r="Q46" s="817">
        <v>3</v>
      </c>
      <c r="R46" s="1181">
        <v>4</v>
      </c>
      <c r="S46" s="1181" t="s">
        <v>1847</v>
      </c>
      <c r="T46" s="623"/>
      <c r="U46" s="1184" t="s">
        <v>2713</v>
      </c>
      <c r="V46" s="1274">
        <f>Nachweis!G43</f>
        <v>0</v>
      </c>
      <c r="W46" s="1274">
        <f>Nachweis!H43</f>
        <v>0</v>
      </c>
      <c r="X46" s="1274">
        <f>Nachweis!I43</f>
        <v>0</v>
      </c>
      <c r="Y46" s="1274">
        <f>Nachweis!J43</f>
        <v>0</v>
      </c>
      <c r="Z46" s="1580">
        <f>IF(EBF&gt;0,(V46*_EBF1+W46*_EBF2+X46*_EBF3+Y46*_EBF4)/(_EBF1+_EBF2+_EBF3+_EBF4),0)</f>
        <v>0</v>
      </c>
      <c r="AA46" s="147"/>
    </row>
    <row r="47" spans="1:36" ht="21.95" customHeight="1">
      <c r="A47" s="1632" t="s">
        <v>1931</v>
      </c>
      <c r="B47" s="2058" t="str">
        <f>Uebersetzung!D378</f>
        <v>Lichtsteuerung Präsenz-/ Tageslichtsensor</v>
      </c>
      <c r="C47" s="2059"/>
      <c r="D47" s="219"/>
      <c r="E47" s="210"/>
      <c r="F47" s="1530"/>
      <c r="G47" s="1530"/>
      <c r="H47" s="1530"/>
      <c r="I47" s="1530"/>
      <c r="J47" s="439"/>
      <c r="K47" s="1060"/>
      <c r="L47" s="5"/>
      <c r="N47" s="1554" t="s">
        <v>2679</v>
      </c>
      <c r="O47" s="623" t="b">
        <f>IF(Kategorie1&gt;3,TRUE,FALSE)</f>
        <v>0</v>
      </c>
      <c r="P47" s="623" t="b">
        <f>IF(Kategorie2&gt;3,TRUE,FALSE)</f>
        <v>0</v>
      </c>
      <c r="Q47" s="623" t="b">
        <f>IF(Kategorie3&gt;3,TRUE,FALSE)</f>
        <v>0</v>
      </c>
      <c r="R47" s="623" t="b">
        <f>IF(Kategorie4&gt;3,TRUE,FALSE)</f>
        <v>0</v>
      </c>
      <c r="S47" s="1554" t="b">
        <f>OR(O47,P47,Q47,R47)</f>
        <v>0</v>
      </c>
      <c r="T47" s="623"/>
      <c r="U47" s="1584" t="s">
        <v>1863</v>
      </c>
      <c r="V47" s="1273">
        <f>IF(_EBF1&gt;0,IF(wohnen1,O44,0),0)</f>
        <v>0</v>
      </c>
      <c r="W47" s="1273">
        <f>IF(_EBF2&gt;0,IF(wohnen2,P44,0),0)</f>
        <v>0</v>
      </c>
      <c r="X47" s="1273">
        <f>IF(_EBF3&gt;0,IF(wohnen3,Q44,0),0)</f>
        <v>0</v>
      </c>
      <c r="Y47" s="1273">
        <f>IF(_EBF4&gt;0,IF(wohnen4,R44,0),0)</f>
        <v>0</v>
      </c>
      <c r="Z47" s="1581">
        <f>IF(S32&gt;0,(V47*O32+W47*P32+X47*Q32+Y47*R32)/(S32),0)</f>
        <v>0</v>
      </c>
    </row>
    <row r="48" spans="1:36" ht="18" customHeight="1">
      <c r="A48" s="1632" t="s">
        <v>2950</v>
      </c>
      <c r="B48" s="1252" t="str">
        <f>Uebersetzung!D408</f>
        <v>Beleuchtung: Mittelwert SIA 387/4 (ungew.)</v>
      </c>
      <c r="C48" s="1253"/>
      <c r="D48" s="1275" t="s">
        <v>3436</v>
      </c>
      <c r="E48" s="210" t="s">
        <v>524</v>
      </c>
      <c r="F48" s="1790"/>
      <c r="G48" s="1790"/>
      <c r="H48" s="1790"/>
      <c r="I48" s="1790"/>
      <c r="J48" s="199"/>
      <c r="K48" s="1362">
        <f>S92</f>
        <v>0</v>
      </c>
      <c r="L48" s="5"/>
      <c r="M48" s="486"/>
      <c r="N48" s="1218" t="s">
        <v>2700</v>
      </c>
      <c r="O48" s="1500">
        <f>IF(Kategorie1&gt;3,Eingaben!F19,0)</f>
        <v>0</v>
      </c>
      <c r="P48" s="1551">
        <f>IF(Kategorie2&gt;3,Eingaben!G19,0)</f>
        <v>0</v>
      </c>
      <c r="Q48" s="1551">
        <f>IF(Kategorie3&gt;3,Eingaben!H19,0)</f>
        <v>0</v>
      </c>
      <c r="R48" s="1551">
        <f>IF(Kategorie4&gt;3,Eingaben!I19,0)</f>
        <v>0</v>
      </c>
      <c r="S48" s="1020">
        <f>SUM(O48:R48)</f>
        <v>0</v>
      </c>
      <c r="T48" s="5" t="s">
        <v>321</v>
      </c>
      <c r="U48" s="1584" t="s">
        <v>1876</v>
      </c>
      <c r="V48" s="1273">
        <f>INDEX(Standardwerte!$AD$71:$AD$83,Kategorie1,1)</f>
        <v>0</v>
      </c>
      <c r="W48" s="1273">
        <f>INDEX(Standardwerte!$AD$71:$AD$83,Kategorie2,1)</f>
        <v>0</v>
      </c>
      <c r="X48" s="1273">
        <f>INDEX(Standardwerte!$AD$71:$AD$83,Kategorie3,1)</f>
        <v>0</v>
      </c>
      <c r="Y48" s="1273">
        <f>INDEX(Standardwerte!$AD$71:$AD$83,Kategorie4,1)</f>
        <v>0</v>
      </c>
      <c r="Z48" s="1581">
        <f>IF(EBF&gt;0,(V48*_EBF1+W48*_EBF2+X48*_EBF3+Y48*_EBF4)/(_EBF1+_EBF2+_EBF3+_EBF4),0)</f>
        <v>0</v>
      </c>
      <c r="AJ48" s="1659"/>
    </row>
    <row r="49" spans="1:36" ht="18" customHeight="1">
      <c r="A49" s="1632" t="s">
        <v>1929</v>
      </c>
      <c r="B49" s="1173" t="str">
        <f>Uebersetzung!D407</f>
        <v>Beleuchtung: Projektwert SIA 387/4 (ungew.)</v>
      </c>
      <c r="C49" s="1174"/>
      <c r="D49" s="1275" t="s">
        <v>3437</v>
      </c>
      <c r="E49" s="210" t="s">
        <v>524</v>
      </c>
      <c r="F49" s="1790"/>
      <c r="G49" s="1790"/>
      <c r="H49" s="1790"/>
      <c r="I49" s="1790"/>
      <c r="J49" s="199"/>
      <c r="K49" s="1362">
        <f>S93</f>
        <v>0</v>
      </c>
      <c r="L49" s="5"/>
      <c r="M49" s="486"/>
      <c r="N49" s="1780" t="s">
        <v>177</v>
      </c>
      <c r="O49" s="1781" t="str">
        <f>IF(O47,Uebersetzung!D25,Uebersetzung!D26)</f>
        <v>Nein</v>
      </c>
      <c r="P49" s="891" t="str">
        <f>IF(P47,Uebersetzung!D25,Uebersetzung!D26)</f>
        <v>Nein</v>
      </c>
      <c r="Q49" s="891" t="str">
        <f>IF(Q47,Uebersetzung!D25,Uebersetzung!D26)</f>
        <v>Nein</v>
      </c>
      <c r="R49" s="891" t="str">
        <f>IF(R47,Uebersetzung!D25,Uebersetzung!D26)</f>
        <v>Nein</v>
      </c>
      <c r="S49" s="1775"/>
      <c r="T49" s="623"/>
      <c r="U49" s="1585" t="s">
        <v>1879</v>
      </c>
      <c r="V49" s="1273">
        <f>O59</f>
        <v>0</v>
      </c>
      <c r="W49" s="1273">
        <f>P59</f>
        <v>0</v>
      </c>
      <c r="X49" s="1273">
        <f>Q59</f>
        <v>0</v>
      </c>
      <c r="Y49" s="1273">
        <f>R59</f>
        <v>0</v>
      </c>
      <c r="Z49" s="1587">
        <f>S59</f>
        <v>0</v>
      </c>
      <c r="AJ49" s="1659"/>
    </row>
    <row r="50" spans="1:36" ht="18" customHeight="1">
      <c r="A50" s="1632" t="s">
        <v>1930</v>
      </c>
      <c r="B50" s="1938" t="str">
        <f>Uebersetzung!D409</f>
        <v>Anforderung Beleuchtung eingehalten?</v>
      </c>
      <c r="C50" s="1939"/>
      <c r="D50" s="2052" t="str">
        <f>IF(S63=FALSE,$R$12,IF(AND(K48&gt;0,K49&gt;0),IF(ROUND(K49,1)&gt;ROUND(K48,1),$R$12,$Q$12),""))</f>
        <v/>
      </c>
      <c r="E50" s="2053"/>
      <c r="F50" s="1614">
        <f>(O100+O94+O56)/2</f>
        <v>0</v>
      </c>
      <c r="G50" s="1614">
        <f>(P100+P94+P56)/2</f>
        <v>0</v>
      </c>
      <c r="H50" s="1614">
        <f>(Q100+Q94+Q56)/2</f>
        <v>0</v>
      </c>
      <c r="I50" s="1614">
        <f>(R100+R94+R56)/2</f>
        <v>0</v>
      </c>
      <c r="J50" s="1612"/>
      <c r="K50" s="1658" t="str">
        <f>I54</f>
        <v>Rechenwert</v>
      </c>
      <c r="L50" s="5"/>
      <c r="M50" s="486"/>
      <c r="N50" s="1666"/>
      <c r="O50" s="1559" t="str">
        <f>Uebersetzung!D26</f>
        <v>Nein</v>
      </c>
      <c r="P50" s="1390" t="str">
        <f>Uebersetzung!D26</f>
        <v>Nein</v>
      </c>
      <c r="Q50" s="1390" t="str">
        <f>Uebersetzung!D26</f>
        <v>Nein</v>
      </c>
      <c r="R50" s="1390" t="str">
        <f>Uebersetzung!D26</f>
        <v>Nein</v>
      </c>
      <c r="S50" s="1555"/>
      <c r="T50" s="623"/>
      <c r="U50" s="1586" t="s">
        <v>1881</v>
      </c>
      <c r="V50" s="1232">
        <f>O68</f>
        <v>0</v>
      </c>
      <c r="W50" s="1232">
        <f>P68</f>
        <v>0</v>
      </c>
      <c r="X50" s="1232">
        <f>Q68</f>
        <v>0</v>
      </c>
      <c r="Y50" s="1232">
        <f>R68</f>
        <v>0</v>
      </c>
      <c r="Z50" s="1346">
        <f>S68</f>
        <v>0</v>
      </c>
    </row>
    <row r="51" spans="1:36" ht="6" customHeight="1">
      <c r="A51" s="1632"/>
      <c r="B51" s="9"/>
      <c r="C51" s="9"/>
      <c r="D51" s="1169"/>
      <c r="E51" s="9"/>
      <c r="F51" s="9"/>
      <c r="G51" s="9"/>
      <c r="H51" s="9"/>
      <c r="I51" s="9"/>
      <c r="J51" s="9"/>
      <c r="K51" s="9"/>
      <c r="L51" s="5"/>
      <c r="M51" s="486"/>
      <c r="N51" s="787" t="s">
        <v>3267</v>
      </c>
      <c r="O51" s="787" t="b">
        <f>AND(Mieter1,F49&gt;0)</f>
        <v>0</v>
      </c>
      <c r="P51" s="705" t="b">
        <f>AND(Mieter2,G49&gt;0)</f>
        <v>0</v>
      </c>
      <c r="Q51" s="705" t="b">
        <f>AND(Mieter3,H49&gt;0)</f>
        <v>0</v>
      </c>
      <c r="R51" s="937" t="b">
        <f>AND(Mieter4,I49&gt;0)</f>
        <v>0</v>
      </c>
      <c r="S51" s="937"/>
    </row>
    <row r="52" spans="1:36" ht="20.100000000000001" hidden="1" customHeight="1">
      <c r="A52" s="1632"/>
      <c r="B52" s="9"/>
      <c r="C52" s="9"/>
      <c r="D52" s="1169"/>
      <c r="E52" s="9"/>
      <c r="F52" s="9"/>
      <c r="G52" s="9"/>
      <c r="H52" s="9"/>
      <c r="I52" s="9"/>
      <c r="J52" s="9"/>
      <c r="K52" s="9"/>
      <c r="L52" s="5"/>
      <c r="M52" s="486"/>
    </row>
    <row r="53" spans="1:36" ht="22.15" customHeight="1">
      <c r="A53" s="1634"/>
      <c r="B53" s="2037" t="str">
        <f>Uebersetzung!D463</f>
        <v>Eigenstromerzeugung</v>
      </c>
      <c r="C53" s="2038"/>
      <c r="D53" s="2038"/>
      <c r="E53" s="2038"/>
      <c r="F53" s="2039"/>
      <c r="G53" s="2032" t="str">
        <f>Uebersetzung!D413</f>
        <v>spezifischer Jahresertrag [kWh/kWp]</v>
      </c>
      <c r="H53" s="2033"/>
      <c r="I53" s="2034" t="str">
        <f>Uebersetzung!D381</f>
        <v>Eigenverbrauchsrate [%]</v>
      </c>
      <c r="J53" s="2035"/>
      <c r="K53" s="2036"/>
      <c r="L53" s="5"/>
      <c r="M53" s="486"/>
      <c r="N53" s="1250" t="s">
        <v>3247</v>
      </c>
      <c r="O53" s="1571" t="b">
        <f>IF(F45=Uebersetzung!$D$25,TRUE,FALSE)</f>
        <v>0</v>
      </c>
      <c r="P53" s="1572" t="b">
        <f>IF(G45=Uebersetzung!$D$25,TRUE,FALSE)</f>
        <v>0</v>
      </c>
      <c r="Q53" s="1572" t="b">
        <f>IF(H45=Uebersetzung!$D$25,TRUE,FALSE)</f>
        <v>0</v>
      </c>
      <c r="R53" s="1572" t="b">
        <f>IF(I45=Uebersetzung!$D$25,TRUE,FALSE)</f>
        <v>0</v>
      </c>
      <c r="S53" s="1573"/>
      <c r="T53" s="1373" t="s">
        <v>2677</v>
      </c>
    </row>
    <row r="54" spans="1:36" ht="13.9" customHeight="1">
      <c r="A54" s="1639"/>
      <c r="G54" s="1606" t="str">
        <f>Nachweis!I7</f>
        <v>Rechenwert</v>
      </c>
      <c r="H54" s="1608" t="str">
        <f>Nachweis!H7</f>
        <v>Eingabe</v>
      </c>
      <c r="I54" s="1610" t="str">
        <f>G54</f>
        <v>Rechenwert</v>
      </c>
      <c r="J54" s="2048" t="str">
        <f>H54</f>
        <v>Eingabe</v>
      </c>
      <c r="K54" s="2049"/>
      <c r="L54" s="5"/>
      <c r="M54" s="124"/>
      <c r="N54" s="1392" t="s">
        <v>2699</v>
      </c>
      <c r="O54" s="890">
        <f>IF(Mieter1=FALSE,IF(O97=FALSE,INDEX(Standardwerte!$AD$71:$AD$83,Kategorie1,1)/2*IF($S$88,1.2,1),0),)</f>
        <v>0</v>
      </c>
      <c r="P54" s="891">
        <f>IF(Mieter2=FALSE,IF(P97=FALSE,INDEX(Standardwerte!$AD$71:$AD$83,Kategorie2,1)/2*IF($S$88,1.2,1),0),0)</f>
        <v>0</v>
      </c>
      <c r="Q54" s="891">
        <f>IF(Mieter3=FALSE,IF(Q97=FALSE,INDEX(Standardwerte!$AD$71:$AD$83,Kategorie3,1)/2*IF($S$88,1.2,1),0),0)</f>
        <v>0</v>
      </c>
      <c r="R54" s="1552">
        <f>IF(Mieter4=FALSE,IF(R97=FALSE,INDEX(Standardwerte!$AD$71:$AD$83,Kategorie4,1)/2*IF($S$88,1.2,1),0),0)</f>
        <v>0</v>
      </c>
      <c r="S54" s="1554"/>
      <c r="T54" s="623" t="s">
        <v>524</v>
      </c>
    </row>
    <row r="55" spans="1:36" ht="18.95" customHeight="1">
      <c r="A55" s="1652" t="s">
        <v>1934</v>
      </c>
      <c r="B55" s="1601" t="str">
        <f>Uebersetzung!D382</f>
        <v>Installierte Leistung (ohne WKK)  [kWp]</v>
      </c>
      <c r="C55" s="1602"/>
      <c r="D55" s="1602"/>
      <c r="E55" s="1603"/>
      <c r="F55" s="1548" t="s">
        <v>1886</v>
      </c>
      <c r="G55" s="1607">
        <f>IF(OR(H55="",H55=0),800,H55)</f>
        <v>800</v>
      </c>
      <c r="H55" s="1609"/>
      <c r="I55" s="1611">
        <f>AI71</f>
        <v>0.2</v>
      </c>
      <c r="J55" s="2050"/>
      <c r="K55" s="2051"/>
      <c r="L55" s="5"/>
      <c r="M55" s="508"/>
      <c r="N55" s="1555" t="s">
        <v>493</v>
      </c>
      <c r="O55" s="1559">
        <f>IF(Mieter1=FALSE,_EBF1,0)</f>
        <v>0</v>
      </c>
      <c r="P55" s="1390">
        <f>IF(Mieter2=FALSE,_EBF2,0)</f>
        <v>0</v>
      </c>
      <c r="Q55" s="1390">
        <f>IF(Mieter3=FALSE,_EBF3,0)</f>
        <v>0</v>
      </c>
      <c r="R55" s="1560">
        <f>IF(Mieter4=FALSE,_EBF4,0)</f>
        <v>0</v>
      </c>
      <c r="S55" s="1555"/>
      <c r="T55" s="623" t="s">
        <v>321</v>
      </c>
    </row>
    <row r="56" spans="1:36" ht="24" customHeight="1">
      <c r="A56" s="1643" t="s">
        <v>2717</v>
      </c>
      <c r="B56" s="1596" t="str">
        <f>Uebersetzung!D414</f>
        <v>spezifische, installierte Leistung pro m2 EBF:</v>
      </c>
      <c r="C56" s="1597"/>
      <c r="D56" s="1597"/>
      <c r="E56" s="1598">
        <f>IF(EBF&gt;0,E55*1000/EBF,0)</f>
        <v>0</v>
      </c>
      <c r="F56" s="1599" t="s">
        <v>1887</v>
      </c>
      <c r="G56" s="1616" t="str">
        <f>Uebersetzung!D475</f>
        <v>Grösse Batterie [kWh]</v>
      </c>
      <c r="H56" s="1600"/>
      <c r="I56" s="1615" t="str">
        <f>Uebersetzung!D476</f>
        <v>Batterie-verluste [%]:</v>
      </c>
      <c r="J56" s="2046"/>
      <c r="K56" s="2047"/>
      <c r="L56" s="5"/>
      <c r="M56" s="124"/>
      <c r="N56" s="1221" t="s">
        <v>2691</v>
      </c>
      <c r="O56" s="1566">
        <f>IF(O97=FALSE,O54*2,0)</f>
        <v>0</v>
      </c>
      <c r="P56" s="1216">
        <f>IF(P97=FALSE,P54*2,0)</f>
        <v>0</v>
      </c>
      <c r="Q56" s="1216">
        <f>IF(Q97=FALSE,Q54*2,0)</f>
        <v>0</v>
      </c>
      <c r="R56" s="1424">
        <f>IF(R97=FALSE,R54*2,0)</f>
        <v>0</v>
      </c>
      <c r="S56" s="1224">
        <f>IF(EBF&gt;0,(O54*O55+P54*P55+Q54*Q55+R54*R55)*2/(_EBF1+_EBF2+_EBF3+_EBF4),0)</f>
        <v>0</v>
      </c>
      <c r="T56" s="5" t="s">
        <v>524</v>
      </c>
      <c r="U56" s="323" t="s">
        <v>1961</v>
      </c>
      <c r="V56" s="27"/>
      <c r="W56" s="27"/>
      <c r="X56" s="27"/>
      <c r="Y56" s="27"/>
      <c r="Z56" s="27"/>
      <c r="AC56" s="323" t="s">
        <v>3126</v>
      </c>
    </row>
    <row r="57" spans="1:36" ht="20.100000000000001" customHeight="1">
      <c r="A57" s="1653" t="s">
        <v>1935</v>
      </c>
      <c r="B57" s="2043" t="str">
        <f>Uebersetzung!D452</f>
        <v>Minimale Grösse der Eigenstromerzeugung:</v>
      </c>
      <c r="C57" s="2044"/>
      <c r="D57" s="2045"/>
      <c r="E57" s="1604">
        <f>IF(Z73,"0",MIN(30,MAX(Z67*0.01+Nachweis!Q28*EBF/G55,0)))</f>
        <v>0</v>
      </c>
      <c r="F57" s="1605" t="s">
        <v>1886</v>
      </c>
      <c r="G57" s="1422"/>
      <c r="H57" s="1423" t="str">
        <f>Uebersetzung!D386</f>
        <v xml:space="preserve">Anforderung erfüllt?    </v>
      </c>
      <c r="I57" s="2026" t="str">
        <f>IF(wkk,Uebersetzung!D25,IF(EBF=0,"",IF(E57="0",Uebersetzung!$D$25,IF(ROUND(E55,2)&gt;=ROUND(E57,2),Uebersetzung!$D$25,Uebersetzung!$D$26))))</f>
        <v/>
      </c>
      <c r="J57" s="2027"/>
      <c r="K57" s="2028"/>
      <c r="M57" s="124"/>
      <c r="N57" s="323" t="s">
        <v>1878</v>
      </c>
      <c r="U57" s="1190" t="s">
        <v>1838</v>
      </c>
      <c r="V57" s="1197">
        <v>1</v>
      </c>
      <c r="W57" s="1191">
        <v>2</v>
      </c>
      <c r="X57" s="1191">
        <v>3</v>
      </c>
      <c r="Y57" s="404">
        <v>4</v>
      </c>
      <c r="Z57" s="1345" t="s">
        <v>1862</v>
      </c>
      <c r="AC57" s="787"/>
      <c r="AD57" s="817" t="s">
        <v>3129</v>
      </c>
      <c r="AE57" s="817" t="s">
        <v>3130</v>
      </c>
      <c r="AF57" s="817" t="s">
        <v>3131</v>
      </c>
      <c r="AG57" s="817" t="s">
        <v>3132</v>
      </c>
      <c r="AH57" s="817" t="s">
        <v>3133</v>
      </c>
      <c r="AI57" s="1181" t="s">
        <v>490</v>
      </c>
    </row>
    <row r="58" spans="1:36" ht="24" customHeight="1">
      <c r="A58" s="1639"/>
      <c r="B58" s="1481" t="s">
        <v>2307</v>
      </c>
      <c r="C58" s="1457"/>
      <c r="D58" s="1457"/>
      <c r="E58" s="1457"/>
      <c r="F58" s="1480"/>
      <c r="G58" s="1484" t="str">
        <f>Uebersetzung!D456</f>
        <v>Teilkennzahl
Bedarf</v>
      </c>
      <c r="H58" s="1485" t="str">
        <f>Uebersetzung!D457</f>
        <v>Produktion
(gewichtet)</v>
      </c>
      <c r="I58" s="1486"/>
      <c r="J58" s="1486"/>
      <c r="K58" s="1487"/>
      <c r="M58" s="5"/>
      <c r="N58" s="1235" t="s">
        <v>1878</v>
      </c>
      <c r="O58" s="1236"/>
      <c r="P58" s="1236"/>
      <c r="Q58" s="1237"/>
      <c r="R58" s="1237"/>
      <c r="S58" s="1238"/>
      <c r="U58" s="1392" t="s">
        <v>1950</v>
      </c>
      <c r="V58" s="850">
        <f>IF(_neu1,Eingaben!F19,0)</f>
        <v>0</v>
      </c>
      <c r="W58" s="850">
        <f>IF(_neu2,Eingaben!G19,0)</f>
        <v>0</v>
      </c>
      <c r="X58" s="850">
        <f>IF(_neu3,Eingaben!H19,0)</f>
        <v>0</v>
      </c>
      <c r="Y58" s="850">
        <f>IF(_neu4,Eingaben!I19,0)</f>
        <v>0</v>
      </c>
      <c r="Z58" s="1394">
        <f>SUM(V58:Y58)</f>
        <v>0</v>
      </c>
      <c r="AA58" s="1373" t="s">
        <v>321</v>
      </c>
      <c r="AC58" s="1717" t="s">
        <v>3128</v>
      </c>
      <c r="AD58" s="1719">
        <f>WaermebedarfA</f>
        <v>0</v>
      </c>
      <c r="AE58" s="1274">
        <f>WaermebedarfB</f>
        <v>0</v>
      </c>
      <c r="AF58" s="1274">
        <f>WaermebedarfC</f>
        <v>0</v>
      </c>
      <c r="AG58" s="1274">
        <f>WaermebedarfD</f>
        <v>0</v>
      </c>
      <c r="AH58" s="1568">
        <f>WaermebedarfE</f>
        <v>0</v>
      </c>
      <c r="AI58" s="1568">
        <f>SUM(AD58:AH58)</f>
        <v>0</v>
      </c>
      <c r="AJ58" s="5" t="s">
        <v>524</v>
      </c>
    </row>
    <row r="59" spans="1:36" ht="18.95" customHeight="1">
      <c r="A59" s="1641" t="s">
        <v>1939</v>
      </c>
      <c r="B59" s="2040" t="str">
        <f>Uebersetzung!D455</f>
        <v>Stromproduktion deckt Bedarf:</v>
      </c>
      <c r="C59" s="2041"/>
      <c r="D59" s="2041"/>
      <c r="E59" s="2042"/>
      <c r="F59" s="1425" t="s">
        <v>524</v>
      </c>
      <c r="G59" s="1482">
        <f>S15+S18+S44+S56+S59+S68+S94+S100</f>
        <v>0</v>
      </c>
      <c r="H59" s="1483">
        <f>IF(EBF&gt;0,G55*E55/EBF-Nachweis!Q28,0)*2</f>
        <v>0</v>
      </c>
      <c r="I59" s="2029" t="str">
        <f>IF(EBF=0,"",IF(H59="0",Uebersetzung!$D$25,IF(ROUND(H59,1)&gt;=ROUND(G59,1),Uebersetzung!$D$25,Uebersetzung!$D$26)))</f>
        <v/>
      </c>
      <c r="J59" s="2030"/>
      <c r="K59" s="2031"/>
      <c r="M59" s="924"/>
      <c r="N59" s="1235" t="s">
        <v>1879</v>
      </c>
      <c r="O59" s="1241">
        <f>INDEX(Standardwerte!$AE$71:$AE$83,Kategorie1,1)</f>
        <v>0</v>
      </c>
      <c r="P59" s="1239">
        <f>INDEX(Standardwerte!$AE$71:$AE$83,Kategorie2,1)</f>
        <v>0</v>
      </c>
      <c r="Q59" s="1239">
        <f>INDEX(Standardwerte!$AE$71:$AE$83,Kategorie3,1)</f>
        <v>0</v>
      </c>
      <c r="R59" s="1240">
        <f>INDEX(Standardwerte!$AE$71:$AE$83,Kategorie4,1)</f>
        <v>0</v>
      </c>
      <c r="S59" s="1224">
        <f>IF(EBF&gt;0,(O59*_EBF1+P59*_EBF2+Q59*_EBF3+R59*_EBF4)/(_EBF1+_EBF2+_EBF3+_EBF4),0)</f>
        <v>0</v>
      </c>
      <c r="T59" s="5" t="s">
        <v>524</v>
      </c>
      <c r="U59" s="1393" t="s">
        <v>1951</v>
      </c>
      <c r="V59" s="85">
        <f>Eingaben!F19-V67</f>
        <v>0</v>
      </c>
      <c r="W59" s="85">
        <f>Eingaben!G19-W67</f>
        <v>0</v>
      </c>
      <c r="X59" s="85">
        <f>Eingaben!H19-X67</f>
        <v>0</v>
      </c>
      <c r="Y59" s="85">
        <f>Eingaben!I19-Y67</f>
        <v>0</v>
      </c>
      <c r="Z59" s="852">
        <f>SUM(V59:Y59)</f>
        <v>0</v>
      </c>
      <c r="AA59" s="1373" t="s">
        <v>321</v>
      </c>
      <c r="AC59" s="1159" t="s">
        <v>3134</v>
      </c>
      <c r="AD59" s="1159">
        <f>INDEX(Standardwerte!$AU$108:$AU$155,Nachweis!M8,1)</f>
        <v>0</v>
      </c>
      <c r="AE59" s="147">
        <f>INDEX(Standardwerte!$AU$108:$AU$155,Nachweis!M12,1)</f>
        <v>0</v>
      </c>
      <c r="AF59" s="147">
        <f>INDEX(Standardwerte!$AU$108:$AU$155,Nachweis!M16,1)</f>
        <v>0</v>
      </c>
      <c r="AG59" s="147">
        <f>INDEX(Standardwerte!$AU$108:$AU$155,Nachweis!M20,1)</f>
        <v>0</v>
      </c>
      <c r="AH59" s="1193" t="b">
        <v>0</v>
      </c>
      <c r="AI59" s="1193"/>
    </row>
    <row r="60" spans="1:36" ht="18" hidden="1" customHeight="1">
      <c r="A60" s="1632"/>
      <c r="M60" s="924"/>
      <c r="U60" s="1219"/>
      <c r="V60" s="155"/>
      <c r="W60" s="155"/>
      <c r="X60" s="155"/>
      <c r="Y60" s="155"/>
      <c r="Z60" s="1219"/>
      <c r="AC60" s="1159"/>
      <c r="AD60" s="1159"/>
      <c r="AE60" s="147"/>
      <c r="AF60" s="147"/>
      <c r="AG60" s="147"/>
      <c r="AH60" s="1193"/>
      <c r="AI60" s="1193"/>
    </row>
    <row r="61" spans="1:36" ht="6" customHeight="1">
      <c r="D61" s="99"/>
      <c r="E61" s="99"/>
      <c r="F61" s="195"/>
      <c r="G61" s="195"/>
      <c r="H61" s="195"/>
      <c r="I61" s="70"/>
      <c r="J61" s="9"/>
      <c r="K61" s="8"/>
      <c r="M61" s="486"/>
      <c r="N61" s="1574"/>
      <c r="U61" s="1217"/>
      <c r="V61" s="1190"/>
      <c r="W61" s="1078"/>
      <c r="X61" s="1078"/>
      <c r="Y61" s="1421"/>
      <c r="Z61" s="1217"/>
      <c r="AC61" s="1159"/>
      <c r="AD61" s="1159"/>
      <c r="AE61" s="147"/>
      <c r="AF61" s="147"/>
      <c r="AG61" s="147"/>
      <c r="AH61" s="1193"/>
      <c r="AI61" s="1193"/>
    </row>
    <row r="62" spans="1:36" ht="21.95" customHeight="1">
      <c r="B62" s="394" t="str">
        <f>Uebersetzung!D384</f>
        <v>Weitere Anforderungen</v>
      </c>
      <c r="C62" s="806"/>
      <c r="D62" s="396" t="str">
        <f>Uebersetzung!D385</f>
        <v>Selbstdeklaration/Bestätigung</v>
      </c>
      <c r="E62" s="396"/>
      <c r="F62" s="395"/>
      <c r="G62" s="1398"/>
      <c r="H62" s="705"/>
      <c r="I62" s="2065" t="str">
        <f>Uebersetzung!D386</f>
        <v xml:space="preserve">Anforderung erfüllt?    </v>
      </c>
      <c r="J62" s="2065"/>
      <c r="K62" s="2066"/>
      <c r="N62" s="323" t="s">
        <v>3272</v>
      </c>
      <c r="U62" s="1347" t="s">
        <v>1964</v>
      </c>
      <c r="V62" s="945"/>
      <c r="W62" s="155"/>
      <c r="X62" s="155"/>
      <c r="Y62" s="633"/>
      <c r="Z62" s="1347" t="b">
        <f>IF(OR(minergiea,Z58&gt;2000,AND(EBF&gt;2000,I70=N12)),TRUE,FALSE)</f>
        <v>0</v>
      </c>
      <c r="AA62" s="27"/>
      <c r="AC62" s="945" t="s">
        <v>3135</v>
      </c>
      <c r="AD62" s="1183">
        <f>IF(AND(AD59,$AI$58&gt;0),AD58/$AI$58,0)</f>
        <v>0</v>
      </c>
      <c r="AE62" s="1204">
        <f>IF(AND(AE59,$AI$58),AE58/$AI$58,0)</f>
        <v>0</v>
      </c>
      <c r="AF62" s="1204">
        <f>IF(AND(AF59,$AI$58&gt;0),AF58/$AI$58,0)</f>
        <v>0</v>
      </c>
      <c r="AG62" s="1204">
        <f>IF(AND(AG59,$AI$58&gt;0),AG58/$AI$58,0)</f>
        <v>0</v>
      </c>
      <c r="AH62" s="1205">
        <f>IF(AH59,AH58/$AI$58,0)</f>
        <v>0</v>
      </c>
      <c r="AI62" s="1718">
        <f>SUM(AD62:AH62)</f>
        <v>0</v>
      </c>
    </row>
    <row r="63" spans="1:36" ht="18" customHeight="1">
      <c r="A63" s="1632" t="s">
        <v>2715</v>
      </c>
      <c r="B63" s="1944" t="str">
        <f>IF(auswahl1&gt;0,INDEX(Standardwerte!$AF$5:$AF$13,2),"")</f>
        <v/>
      </c>
      <c r="C63" s="1945"/>
      <c r="D63" s="2073" t="str">
        <f>IF(auswahl1&gt;0,INDEX(Standardwerte!$BA$5:$BA$13,2),"")</f>
        <v/>
      </c>
      <c r="E63" s="2074"/>
      <c r="F63" s="2074"/>
      <c r="G63" s="2074"/>
      <c r="H63" s="2075"/>
      <c r="I63" s="1664"/>
      <c r="J63" s="2067">
        <f>IF(AND(B63&lt;&gt;"",I63=$N$13),$R$12,IF(OR(I63="",B63=""),,$Q$12))</f>
        <v>0</v>
      </c>
      <c r="K63" s="2068"/>
      <c r="M63" s="159"/>
      <c r="N63" s="1732" t="s">
        <v>3273</v>
      </c>
      <c r="O63" s="705" t="b">
        <f>IF(AND(O51=FALSE,Mieter1),FALSE,TRUE)</f>
        <v>1</v>
      </c>
      <c r="P63" s="705" t="b">
        <f>IF(AND(P51=FALSE,Mieter2),FALSE,TRUE)</f>
        <v>1</v>
      </c>
      <c r="Q63" s="705" t="b">
        <f>IF(AND(Q51=FALSE,Mieter3),FALSE,TRUE)</f>
        <v>1</v>
      </c>
      <c r="R63" s="705" t="b">
        <f>IF(AND(R51=FALSE,Mieter4),FALSE,TRUE)</f>
        <v>1</v>
      </c>
      <c r="S63" s="1732" t="b">
        <f>AND(O63,P63,Q63,R63)</f>
        <v>1</v>
      </c>
      <c r="U63" s="323" t="s">
        <v>1949</v>
      </c>
      <c r="AA63" s="27"/>
      <c r="AC63" s="1722" t="s">
        <v>3144</v>
      </c>
      <c r="AD63" s="1078"/>
      <c r="AE63" s="1078"/>
      <c r="AF63" s="1078"/>
      <c r="AG63" s="1078"/>
      <c r="AH63" s="1078"/>
      <c r="AI63" s="1720">
        <f>(Uebersicht!K52+Uebersicht!K54+Uebersicht!K56+Uebersicht!K58+S106+Nachweis!I47+Nachweis!I48+Nachweis!I49+Nachweis!I50+Nachweis!I51)/2</f>
        <v>0</v>
      </c>
      <c r="AJ63" s="5" t="s">
        <v>524</v>
      </c>
    </row>
    <row r="64" spans="1:36" ht="18" hidden="1" customHeight="1">
      <c r="A64" s="1632" t="s">
        <v>398</v>
      </c>
      <c r="B64" s="1946" t="str">
        <f>IF(auswahl2&gt;0,INDEX(Standardwerte!$AF$5:$AF$13,3),"")</f>
        <v/>
      </c>
      <c r="C64" s="1947"/>
      <c r="D64" s="2062" t="str">
        <f>IF(auswahl2&gt;0,INDEX(Standardwerte!$BA$5:$BA$13,3),"")</f>
        <v/>
      </c>
      <c r="E64" s="2063"/>
      <c r="F64" s="2063"/>
      <c r="G64" s="2064"/>
      <c r="H64" s="1665"/>
      <c r="I64" s="1389"/>
      <c r="J64" s="1627"/>
      <c r="K64" s="1662" t="str">
        <f>"1.6 m3/hm2"</f>
        <v>1.6 m3/hm2</v>
      </c>
      <c r="M64" s="159"/>
      <c r="N64" s="323" t="s">
        <v>1882</v>
      </c>
      <c r="AC64" s="1218"/>
      <c r="AD64" s="147"/>
      <c r="AE64" s="147"/>
      <c r="AF64" s="147"/>
      <c r="AG64" s="147"/>
      <c r="AH64" s="147"/>
      <c r="AI64" s="1218"/>
    </row>
    <row r="65" spans="1:36" ht="18" customHeight="1">
      <c r="A65" s="1632" t="s">
        <v>2716</v>
      </c>
      <c r="B65" s="1946" t="str">
        <f>IF(auswahl3&gt;0,INDEX(Standardwerte!$AF$5:$AF$13,4),"")</f>
        <v/>
      </c>
      <c r="C65" s="1947"/>
      <c r="D65" s="2062" t="str">
        <f>IF(auswahl3&gt;0,INDEX(Standardwerte!$BA$5:$BA$13,4),"")</f>
        <v/>
      </c>
      <c r="E65" s="2063"/>
      <c r="F65" s="2063"/>
      <c r="G65" s="2063"/>
      <c r="H65" s="2064"/>
      <c r="I65" s="1389"/>
      <c r="J65" s="2071">
        <f>IF(AND(B65&lt;&gt;"",I65=$N$13),$R$12,IF(OR(I65="",B65=""),,$Q$12))</f>
        <v>0</v>
      </c>
      <c r="K65" s="2072"/>
      <c r="M65" s="159"/>
      <c r="N65" s="1574" t="s">
        <v>2702</v>
      </c>
      <c r="U65" s="1190" t="s">
        <v>1838</v>
      </c>
      <c r="V65" s="753">
        <v>1</v>
      </c>
      <c r="W65" s="817">
        <v>2</v>
      </c>
      <c r="X65" s="817">
        <v>3</v>
      </c>
      <c r="Y65" s="1181">
        <v>4</v>
      </c>
      <c r="Z65" s="1345" t="s">
        <v>1862</v>
      </c>
      <c r="AC65" s="1218" t="s">
        <v>3145</v>
      </c>
      <c r="AD65" s="147"/>
      <c r="AE65" s="147"/>
      <c r="AF65" s="147"/>
      <c r="AG65" s="147"/>
      <c r="AH65" s="147"/>
      <c r="AI65" s="1587">
        <f>IF(EBF&gt;0,E55*G55/EBF,0)</f>
        <v>0</v>
      </c>
      <c r="AJ65" s="5" t="s">
        <v>524</v>
      </c>
    </row>
    <row r="66" spans="1:36" ht="18" hidden="1" customHeight="1">
      <c r="A66" s="1632" t="s">
        <v>2951</v>
      </c>
      <c r="B66" s="1946" t="str">
        <f>IF(auswahl4&gt;0,INDEX(Standardwerte!$AF$5:$AF$13,5),"")</f>
        <v/>
      </c>
      <c r="C66" s="1947"/>
      <c r="D66" s="2062" t="str">
        <f>IF(auswahl4&gt;0,INDEX(Standardwerte!$BA$5:$BA$13,5),"")</f>
        <v/>
      </c>
      <c r="E66" s="2063"/>
      <c r="F66" s="2063"/>
      <c r="G66" s="2064"/>
      <c r="H66" s="1665"/>
      <c r="I66" s="1399"/>
      <c r="J66" s="1626"/>
      <c r="K66" s="1663">
        <f>IF(AND(B66&lt;&gt;"",I66=$N$13),$R$12,IF(OR(I66="",B66=""),,$Q$12))</f>
        <v>0</v>
      </c>
      <c r="M66" s="159" t="b">
        <v>0</v>
      </c>
      <c r="U66" s="1392"/>
      <c r="V66" s="623"/>
      <c r="W66" s="623"/>
      <c r="X66" s="623"/>
      <c r="Y66" s="623"/>
      <c r="Z66" s="1661"/>
      <c r="AC66" s="1218"/>
      <c r="AD66" s="147"/>
      <c r="AE66" s="147"/>
      <c r="AF66" s="147"/>
      <c r="AG66" s="147"/>
      <c r="AH66" s="147"/>
      <c r="AI66" s="1218"/>
    </row>
    <row r="67" spans="1:36" ht="18" customHeight="1">
      <c r="A67" s="1632" t="s">
        <v>2815</v>
      </c>
      <c r="B67" s="1946" t="str">
        <f>IF(auswahl5&gt;0,INDEX(Standardwerte!$AF$5:$AF$13,6),"")</f>
        <v/>
      </c>
      <c r="C67" s="1947"/>
      <c r="D67" s="2062" t="str">
        <f>IF(auswahl5&gt;0,INDEX(Standardwerte!$BA$5:$BA$13,6),"")</f>
        <v/>
      </c>
      <c r="E67" s="2063"/>
      <c r="F67" s="2063"/>
      <c r="G67" s="2063"/>
      <c r="H67" s="2064"/>
      <c r="I67" s="1389"/>
      <c r="J67" s="2069"/>
      <c r="K67" s="2070"/>
      <c r="M67" s="159" t="b">
        <v>0</v>
      </c>
      <c r="N67" s="1235" t="s">
        <v>1880</v>
      </c>
      <c r="O67" s="1243"/>
      <c r="P67" s="1243"/>
      <c r="Q67" s="1244"/>
      <c r="R67" s="1244"/>
      <c r="S67" s="1238"/>
      <c r="U67" s="1393" t="s">
        <v>1950</v>
      </c>
      <c r="V67" s="890">
        <f>IF(_neu1,Eingaben!F19,0)</f>
        <v>0</v>
      </c>
      <c r="W67" s="891">
        <f>IF(_neu2,Eingaben!G19,0)</f>
        <v>0</v>
      </c>
      <c r="X67" s="891">
        <f>IF(_neu3,Eingaben!H19,0)</f>
        <v>0</v>
      </c>
      <c r="Y67" s="1552">
        <f>IF(_neu4,Eingaben!I19,0)</f>
        <v>0</v>
      </c>
      <c r="Z67" s="852">
        <f>SUM(V67:Y67)</f>
        <v>0</v>
      </c>
      <c r="AA67" s="1373" t="s">
        <v>321</v>
      </c>
      <c r="AC67" s="1218" t="s">
        <v>3143</v>
      </c>
      <c r="AD67" s="147"/>
      <c r="AE67" s="147"/>
      <c r="AF67" s="147"/>
      <c r="AG67" s="147"/>
      <c r="AH67" s="147"/>
      <c r="AI67" s="1721">
        <f>IF(AI63&gt;0,AI65/AI63,0)</f>
        <v>0</v>
      </c>
    </row>
    <row r="68" spans="1:36" ht="18" customHeight="1">
      <c r="A68" s="1632" t="s">
        <v>2952</v>
      </c>
      <c r="B68" s="1946" t="str">
        <f>IF(auswahl6&gt;0,INDEX(Standardwerte!$AF$5:$AF$13,7),"")</f>
        <v/>
      </c>
      <c r="C68" s="1947"/>
      <c r="D68" s="2062" t="str">
        <f>IF(auswahl6&gt;0,INDEX(Standardwerte!$BA$5:$BA$13,7),"")</f>
        <v/>
      </c>
      <c r="E68" s="2063"/>
      <c r="F68" s="2063"/>
      <c r="G68" s="2063"/>
      <c r="H68" s="2064"/>
      <c r="I68" s="1400"/>
      <c r="J68" s="2069"/>
      <c r="K68" s="2070"/>
      <c r="M68" s="159" t="b">
        <v>1</v>
      </c>
      <c r="N68" s="1235" t="s">
        <v>1881</v>
      </c>
      <c r="O68" s="1241">
        <f>INDEX(Standardwerte!$AF$71:$AF$83,Kategorie1,1)</f>
        <v>0</v>
      </c>
      <c r="P68" s="1239">
        <f>INDEX(Standardwerte!$AF$71:$AF$83,Kategorie2,1)</f>
        <v>0</v>
      </c>
      <c r="Q68" s="1239">
        <f>INDEX(Standardwerte!$AF$71:$AF$83,Kategorie3,1)</f>
        <v>0</v>
      </c>
      <c r="R68" s="1240">
        <f>INDEX(Standardwerte!$AF$71:$AF$83,Kategorie4,1)</f>
        <v>0</v>
      </c>
      <c r="S68" s="1224">
        <f>IF(EBF&gt;0,(O68*_EBF1+P68*_EBF2+Q68*_EBF3+R68*_EBF4)/(_EBF1+_EBF2+_EBF3+_EBF4)+IF(S30=0,H56*J56*2/(_EBF1+_EBF2+_EBF3+_EBF4)),0)</f>
        <v>0</v>
      </c>
      <c r="T68" s="5" t="s">
        <v>524</v>
      </c>
      <c r="U68" s="1393" t="s">
        <v>1951</v>
      </c>
      <c r="V68" s="1559">
        <f>Eingaben!F19-V67</f>
        <v>0</v>
      </c>
      <c r="W68" s="1390">
        <f>Eingaben!G19-W67</f>
        <v>0</v>
      </c>
      <c r="X68" s="1390">
        <f>Eingaben!H19-X67</f>
        <v>0</v>
      </c>
      <c r="Y68" s="1560">
        <f>Eingaben!I19-Y67</f>
        <v>0</v>
      </c>
      <c r="Z68" s="852">
        <f>SUM(V68:Y68)</f>
        <v>0</v>
      </c>
      <c r="AA68" s="1373" t="s">
        <v>321</v>
      </c>
      <c r="AC68" s="1219" t="s">
        <v>3146</v>
      </c>
      <c r="AD68" s="155"/>
      <c r="AE68" s="155"/>
      <c r="AF68" s="155"/>
      <c r="AG68" s="155"/>
      <c r="AH68" s="155"/>
      <c r="AI68" s="1025">
        <f>IF(H56&gt;0,H56,0)</f>
        <v>0</v>
      </c>
      <c r="AJ68" s="5" t="s">
        <v>672</v>
      </c>
    </row>
    <row r="69" spans="1:36" ht="18" customHeight="1">
      <c r="A69" s="1632" t="s">
        <v>2955</v>
      </c>
      <c r="B69" s="1946" t="str">
        <f>IF(auswahl7&gt;0,INDEX(Standardwerte!$AF$5:$AF$13,8),"")</f>
        <v/>
      </c>
      <c r="C69" s="1947"/>
      <c r="D69" s="2090" t="str">
        <f>IF(auswahl7&gt;0,INDEX(Standardwerte!$BA$5:$BA$13,8),"")</f>
        <v/>
      </c>
      <c r="E69" s="2091"/>
      <c r="F69" s="2091"/>
      <c r="G69" s="2091"/>
      <c r="H69" s="2092"/>
      <c r="I69" s="1389"/>
      <c r="J69" s="2071">
        <f>IF(AND(B69&lt;&gt;"",I69=$N$13),$R$12,IF(OR(I69="",B69=""),,$Q$12))</f>
        <v>0</v>
      </c>
      <c r="K69" s="2072"/>
      <c r="M69" s="159"/>
      <c r="U69" s="1218"/>
      <c r="V69" s="1159"/>
      <c r="W69" s="147"/>
      <c r="X69" s="147"/>
      <c r="Y69" s="1193"/>
      <c r="Z69" s="1218"/>
      <c r="AC69" s="1717" t="s">
        <v>3160</v>
      </c>
      <c r="AD69" s="1078"/>
      <c r="AE69" s="1078"/>
      <c r="AF69" s="1078"/>
      <c r="AG69" s="1078"/>
      <c r="AH69" s="1078"/>
      <c r="AI69" s="1735">
        <f>IF(f_fr_PV=0,0,MIN(IF(OR(H56="",H56&lt;=5),(f_fr_PV^_x0*_a0+_b0+C_Bat*((f_fr_PV^_x5*_a5+_b5)-(f_fr_PV^_x0*_a0+_b0))/5)/100,(f_fr_PV^_x5*_a5+_b5+(C_Bat-5)*((f_fr_PV^_x10*_a10+_b10)-(f_fr_PV^_x5*_a5+_b5))/5)/100),0.8))</f>
        <v>0</v>
      </c>
    </row>
    <row r="70" spans="1:36" ht="18" customHeight="1">
      <c r="A70" s="1632" t="s">
        <v>2953</v>
      </c>
      <c r="B70" s="1946" t="str">
        <f>IF(auswahl8&gt;0,INDEX(Standardwerte!$AF$5:$AF$14,9),"")</f>
        <v/>
      </c>
      <c r="C70" s="1947"/>
      <c r="D70" s="2062" t="str">
        <f>IF(auswahl8&gt;0,INDEX(Standardwerte!$BA$5:$BA$14,9),"")</f>
        <v/>
      </c>
      <c r="E70" s="2063"/>
      <c r="F70" s="2063"/>
      <c r="G70" s="2063"/>
      <c r="H70" s="2064"/>
      <c r="I70" s="1389"/>
      <c r="J70" s="2069"/>
      <c r="K70" s="2070"/>
      <c r="M70" s="159"/>
      <c r="N70" s="1235" t="s">
        <v>1882</v>
      </c>
      <c r="O70" s="1236"/>
      <c r="P70" s="1236"/>
      <c r="Q70" s="1237"/>
      <c r="R70" s="1237"/>
      <c r="S70" s="1238"/>
      <c r="U70" s="1393" t="s">
        <v>1953</v>
      </c>
      <c r="V70" s="1558"/>
      <c r="W70" s="1556"/>
      <c r="X70" s="1556"/>
      <c r="Y70" s="1562"/>
      <c r="Z70" s="1395">
        <f>Nachweis!G59</f>
        <v>0</v>
      </c>
      <c r="AA70" s="5" t="s">
        <v>524</v>
      </c>
      <c r="AC70" s="1159" t="s">
        <v>3161</v>
      </c>
      <c r="AD70" s="147"/>
      <c r="AE70" s="147"/>
      <c r="AF70" s="147"/>
      <c r="AG70" s="147"/>
      <c r="AH70" s="147"/>
      <c r="AI70" s="1721">
        <f>IF(f_fr_PV=0,0,MIN(IF(OR(H56="",H56&lt;=5),(f_fr_PV^_x0WP*_a0WP+_b0WP+C_Bat*((f_fr_PV^_x5WP*_a5WP+_b5WP)-(f_fr_PV^_x0WP*_a0WP+_b0WP))/5)/100,(f_fr_PV^_x5WP*_a5WP+_b5WP+(C_Bat-5)*((f_fr_PV^_x10WP*_a10WP+_b10WP)-(f_fr_PV^_x5WP*_a5WP+_b5WP))/5)/100),0.8))</f>
        <v>0</v>
      </c>
    </row>
    <row r="71" spans="1:36" ht="18" customHeight="1">
      <c r="A71" s="1632" t="s">
        <v>2954</v>
      </c>
      <c r="B71" s="1946" t="str">
        <f>IF(auswahl9&gt;0,INDEX(Standardwerte!$AF$5:$AF$14,10),"")</f>
        <v/>
      </c>
      <c r="C71" s="1947"/>
      <c r="D71" s="2062" t="str">
        <f>IF(auswahl9&gt;0,INDEX(Standardwerte!$BA$5:$BA$14,10),"")</f>
        <v/>
      </c>
      <c r="E71" s="2063"/>
      <c r="F71" s="2063"/>
      <c r="G71" s="2063"/>
      <c r="H71" s="2064"/>
      <c r="I71" s="1842"/>
      <c r="J71" s="2071">
        <f>IF(AND(B71&lt;&gt;"",I71=$N$13),$R$12,IF(OR(I71="",B71=""),,$Q$12))</f>
        <v>0</v>
      </c>
      <c r="K71" s="2072"/>
      <c r="M71" s="159" t="b">
        <v>0</v>
      </c>
      <c r="N71" s="1245" t="s">
        <v>1884</v>
      </c>
      <c r="O71" s="27"/>
      <c r="P71" s="27"/>
      <c r="Q71" s="27"/>
      <c r="R71" s="27"/>
      <c r="S71" s="90">
        <f>IF(EBF&gt;0,G55*E55/EBF-Nachweis!Q28,0)*2*I55</f>
        <v>0</v>
      </c>
      <c r="T71" s="5" t="s">
        <v>524</v>
      </c>
      <c r="U71" s="1218" t="s">
        <v>99</v>
      </c>
      <c r="V71" s="1742" t="s">
        <v>3219</v>
      </c>
      <c r="W71" s="1756">
        <f>IF(EBF&gt;0,G55*E55/EBF,0)*2*I55</f>
        <v>0</v>
      </c>
      <c r="X71" s="1757" t="s">
        <v>3220</v>
      </c>
      <c r="Y71" s="1756">
        <f>IF(EBF&gt;0,G55*E55/EBF,0)*2*(1-I55)*0.4</f>
        <v>0</v>
      </c>
      <c r="Z71" s="1587">
        <f>W71+Y71</f>
        <v>0</v>
      </c>
      <c r="AA71" s="5" t="s">
        <v>524</v>
      </c>
      <c r="AC71" s="945" t="s">
        <v>3162</v>
      </c>
      <c r="AD71" s="155"/>
      <c r="AE71" s="155"/>
      <c r="AF71" s="155"/>
      <c r="AG71" s="155"/>
      <c r="AH71" s="1202"/>
      <c r="AI71" s="1734">
        <f>IF(OR(J55="",J55=0),IF(AI75,ROUND((AI70*Anteil_WP+AI69*(1-Anteil_WP))*20,0)/20,0.2),MIN(J55,1))</f>
        <v>0.2</v>
      </c>
    </row>
    <row r="72" spans="1:36" s="27" customFormat="1" ht="18" customHeight="1">
      <c r="A72" s="1632" t="s">
        <v>3499</v>
      </c>
      <c r="B72" s="1938" t="str">
        <f>IF(auswahl10&gt;0,INDEX(Standardwerte!$AF$5:$AF$15,11),"")</f>
        <v/>
      </c>
      <c r="C72" s="1939"/>
      <c r="D72" s="2019" t="str">
        <f>IF(auswahl10&gt;0,INDEX(Standardwerte!$BA$5:$BA$15,11),"")</f>
        <v/>
      </c>
      <c r="E72" s="2020"/>
      <c r="F72" s="2020"/>
      <c r="G72" s="2020"/>
      <c r="H72" s="2021"/>
      <c r="I72" s="1833"/>
      <c r="J72" s="2022">
        <f>IF(AND(B72&lt;&gt;"",I72=$N$13),$R$12,IF(OR(I72="",B72=""),,$Q$12))</f>
        <v>0</v>
      </c>
      <c r="K72" s="2023"/>
      <c r="L72" s="325"/>
      <c r="M72" s="325"/>
      <c r="N72" s="585" t="s">
        <v>1885</v>
      </c>
      <c r="S72" s="1246">
        <f>IF(EBF&gt;0,G55*E55/EBF-Nachweis!Q28,0)*2*(1-I55)*0.4</f>
        <v>0</v>
      </c>
      <c r="T72" s="5" t="s">
        <v>524</v>
      </c>
      <c r="U72" s="1393" t="s">
        <v>3221</v>
      </c>
      <c r="V72" s="1558"/>
      <c r="W72" s="1556"/>
      <c r="X72" s="1556"/>
      <c r="Y72" s="1562"/>
      <c r="Z72" s="1395">
        <f>S75+Z71</f>
        <v>0</v>
      </c>
      <c r="AA72" s="5" t="s">
        <v>524</v>
      </c>
      <c r="AC72" s="1733"/>
      <c r="AD72" s="1026" t="s">
        <v>555</v>
      </c>
      <c r="AE72" s="1027" t="s">
        <v>556</v>
      </c>
      <c r="AF72" s="1027" t="s">
        <v>234</v>
      </c>
      <c r="AG72" s="1027" t="s">
        <v>235</v>
      </c>
      <c r="AH72" s="342"/>
      <c r="AI72" s="1733"/>
    </row>
    <row r="73" spans="1:36" s="27" customFormat="1" ht="12" customHeight="1">
      <c r="A73" s="1636"/>
      <c r="B73" s="1044">
        <f ca="1">NOW()</f>
        <v>43696.566528009258</v>
      </c>
      <c r="C73" s="5"/>
      <c r="D73" s="5"/>
      <c r="E73" s="5"/>
      <c r="F73" s="5"/>
      <c r="G73" s="5"/>
      <c r="H73" s="5"/>
      <c r="I73" s="5"/>
      <c r="J73" s="5"/>
      <c r="K73" s="815" t="str">
        <f>Eingaben!C8&amp;" / "&amp;Eingaben!C7&amp;" / "&amp;Eingaben!H7&amp;" / "&amp;Eingaben!J7&amp;" / "&amp;Eingaben!J8&amp;" / "&amp;Eingaben!G55&amp;" / "&amp;Eingaben!G57</f>
        <v xml:space="preserve"> /  /  /  /  /  / </v>
      </c>
      <c r="L73" s="325"/>
      <c r="M73" s="325"/>
      <c r="N73" s="1235" t="s">
        <v>1883</v>
      </c>
      <c r="O73" s="1241"/>
      <c r="P73" s="1239"/>
      <c r="Q73" s="1239"/>
      <c r="R73" s="1240"/>
      <c r="S73" s="1242">
        <f>SUM(S71:S72)</f>
        <v>0</v>
      </c>
      <c r="T73" s="5" t="s">
        <v>524</v>
      </c>
      <c r="U73" s="1396" t="s">
        <v>1952</v>
      </c>
      <c r="V73" s="1666"/>
      <c r="W73" s="1391"/>
      <c r="X73" s="1391"/>
      <c r="Y73" s="1667"/>
      <c r="Z73" s="1397" t="b">
        <f>IF(EBF=0,FALSE,IF((Z70-Z72)&gt;=5,TRUE,IF(AND(Z67&gt;0,Z68=0),FALSE,IF(OR(Z67&lt;50,AND(Z67&lt;=1000,Z67/Z68&lt;0.2)),TRUE,FALSE))))</f>
        <v>0</v>
      </c>
      <c r="AC73" s="123" t="s">
        <v>333</v>
      </c>
      <c r="AD73" s="42" t="b">
        <f>IF(AND(Kategorie1 = 3,Eingaben!F19&gt;0), TRUE,FALSE)</f>
        <v>0</v>
      </c>
      <c r="AE73" s="42" t="b">
        <f>IF(AND(Kategorie2 = 3,Eingaben!G19&gt;0), TRUE,FALSE)</f>
        <v>0</v>
      </c>
      <c r="AF73" s="42" t="b">
        <f>IF(AND(Kategorie3 = 3,Eingaben!H19&gt;0), TRUE,FALSE)</f>
        <v>0</v>
      </c>
      <c r="AG73" s="42" t="b">
        <f>IF(AND(Kategorie4 = 3,Eingaben!I19&gt;0), TRUE,FALSE)</f>
        <v>0</v>
      </c>
      <c r="AH73" s="42"/>
      <c r="AI73" s="123" t="b">
        <f>OR(AD73,AE73,AF73,AG73)</f>
        <v>0</v>
      </c>
    </row>
    <row r="74" spans="1:36" s="27" customFormat="1" ht="18" customHeight="1">
      <c r="A74" s="1636"/>
      <c r="F74" s="33"/>
      <c r="G74" s="33"/>
      <c r="H74" s="33"/>
      <c r="I74" s="33"/>
      <c r="L74" s="325"/>
      <c r="M74" s="325"/>
      <c r="N74" s="323" t="s">
        <v>2703</v>
      </c>
      <c r="O74" s="5"/>
      <c r="P74" s="5"/>
      <c r="Q74" s="5"/>
      <c r="R74" s="5"/>
      <c r="S74" s="5"/>
      <c r="T74" s="5"/>
      <c r="V74" s="1556"/>
      <c r="W74" s="1556"/>
      <c r="X74" s="1556"/>
      <c r="Y74" s="1556"/>
      <c r="AC74" s="123" t="s">
        <v>3197</v>
      </c>
      <c r="AD74" s="42" t="b">
        <f>IF(AND(OR(Kategorie1 = 2,Kategorie1&gt;3),Eingaben!F19&gt;0,Kategorie1&lt;13), TRUE,FALSE)</f>
        <v>0</v>
      </c>
      <c r="AE74" s="42" t="b">
        <f>IF(AND(OR(Kategorie2 = 2,Kategorie2&gt;3),Eingaben!G19&gt;0,Kategorie2&lt;13), TRUE,FALSE)</f>
        <v>0</v>
      </c>
      <c r="AF74" s="42" t="b">
        <f>IF(AND(OR(Kategorie3 = 2,Kategorie3&gt;3),Eingaben!H19&gt;0,Kategorie3&lt;13), TRUE,FALSE)</f>
        <v>0</v>
      </c>
      <c r="AG74" s="42" t="b">
        <f>IF(AND(OR(Kategorie4 = 2,Kategorie4&gt;3),Eingaben!I19&gt;0,Kategorie4&lt;13), TRUE,FALSE)</f>
        <v>0</v>
      </c>
      <c r="AH74" s="42"/>
      <c r="AI74" s="123" t="b">
        <f>OR(AD74,AE74,AF74,AG74)</f>
        <v>0</v>
      </c>
    </row>
    <row r="75" spans="1:36" s="27" customFormat="1" ht="18" customHeight="1">
      <c r="A75" s="1636"/>
      <c r="F75" s="33"/>
      <c r="G75" s="33"/>
      <c r="H75" s="33"/>
      <c r="I75" s="33"/>
      <c r="L75" s="325"/>
      <c r="M75" s="325"/>
      <c r="N75" s="1250" t="s">
        <v>1889</v>
      </c>
      <c r="O75" s="1248"/>
      <c r="P75" s="1247"/>
      <c r="Q75" s="1247"/>
      <c r="R75" s="1249"/>
      <c r="S75" s="1251">
        <f>S15+S18+S44+S59+S68-S73+S56+S94+S100+Nachweis!N44</f>
        <v>0</v>
      </c>
      <c r="T75" s="5" t="s">
        <v>524</v>
      </c>
      <c r="U75" s="623"/>
      <c r="V75" s="623"/>
      <c r="W75" s="623"/>
      <c r="X75" s="623"/>
      <c r="Y75" s="623"/>
      <c r="Z75" s="623"/>
      <c r="AC75" s="146" t="s">
        <v>3198</v>
      </c>
      <c r="AD75" s="60"/>
      <c r="AE75" s="60"/>
      <c r="AF75" s="60"/>
      <c r="AG75" s="60"/>
      <c r="AH75" s="60"/>
      <c r="AI75" s="1397" t="b">
        <f>IF(AND(AI73,AI74=FALSE),TRUE,FALSE)</f>
        <v>0</v>
      </c>
    </row>
    <row r="76" spans="1:36" s="27" customFormat="1" ht="18" customHeight="1">
      <c r="A76" s="1636"/>
      <c r="B76" s="629"/>
      <c r="C76" s="629"/>
      <c r="D76" s="629"/>
      <c r="E76" s="629"/>
      <c r="F76" s="629"/>
      <c r="G76" s="629"/>
      <c r="H76" s="629"/>
      <c r="I76" s="629"/>
      <c r="J76" s="629"/>
      <c r="K76" s="629"/>
      <c r="L76" s="325"/>
      <c r="M76" s="325"/>
      <c r="N76" s="323" t="s">
        <v>2690</v>
      </c>
      <c r="O76" s="623"/>
      <c r="P76" s="623"/>
      <c r="Q76" s="623"/>
      <c r="R76" s="623"/>
      <c r="S76" s="623"/>
      <c r="T76" s="623"/>
      <c r="U76" s="323" t="s">
        <v>3234</v>
      </c>
      <c r="Z76" s="623"/>
    </row>
    <row r="77" spans="1:36" s="27" customFormat="1" ht="18" customHeight="1">
      <c r="A77" s="1636"/>
      <c r="L77" s="325"/>
      <c r="M77" s="325"/>
      <c r="N77" s="787" t="s">
        <v>1838</v>
      </c>
      <c r="O77" s="753">
        <v>1</v>
      </c>
      <c r="P77" s="817">
        <v>2</v>
      </c>
      <c r="Q77" s="817">
        <v>3</v>
      </c>
      <c r="R77" s="1181">
        <v>4</v>
      </c>
      <c r="S77" s="1181" t="s">
        <v>2682</v>
      </c>
      <c r="T77" s="623"/>
      <c r="U77" s="787" t="s">
        <v>1838</v>
      </c>
      <c r="V77" s="1769">
        <v>1</v>
      </c>
      <c r="W77" s="1191">
        <v>2</v>
      </c>
      <c r="X77" s="1191">
        <v>3</v>
      </c>
      <c r="Y77" s="1768">
        <v>4</v>
      </c>
      <c r="Z77" s="1334" t="s">
        <v>1862</v>
      </c>
    </row>
    <row r="78" spans="1:36" s="27" customFormat="1" ht="18" customHeight="1">
      <c r="A78" s="1636"/>
      <c r="B78" s="629"/>
      <c r="C78" s="629"/>
      <c r="D78" s="629"/>
      <c r="E78" s="629"/>
      <c r="F78" s="629"/>
      <c r="G78" s="629"/>
      <c r="H78" s="629"/>
      <c r="I78" s="629"/>
      <c r="J78" s="629"/>
      <c r="K78" s="629"/>
      <c r="L78" s="325"/>
      <c r="M78" s="325"/>
      <c r="N78" s="1774" t="s">
        <v>2679</v>
      </c>
      <c r="O78" s="1561" t="b">
        <f>IF(Kategorie1&gt;3,TRUE,FALSE)</f>
        <v>0</v>
      </c>
      <c r="P78" s="1561" t="b">
        <f>IF(Kategorie2&gt;3,TRUE,FALSE)</f>
        <v>0</v>
      </c>
      <c r="Q78" s="1561" t="b">
        <f>IF(Kategorie3&gt;3,TRUE,FALSE)</f>
        <v>0</v>
      </c>
      <c r="R78" s="1561" t="b">
        <f>IF(Kategorie4&gt;3,TRUE,FALSE)</f>
        <v>0</v>
      </c>
      <c r="S78" s="1775"/>
      <c r="T78" s="623"/>
      <c r="U78" s="1717" t="s">
        <v>1858</v>
      </c>
      <c r="V78" s="1769">
        <f>IF(wohnen1,F23,0)</f>
        <v>0</v>
      </c>
      <c r="W78" s="1191">
        <f>IF(wohnen2,G23,0)</f>
        <v>0</v>
      </c>
      <c r="X78" s="1191">
        <f>IF(wohnen3,H23,0)</f>
        <v>0</v>
      </c>
      <c r="Y78" s="1768">
        <f>IF(wohnen4,I23,0)</f>
        <v>0</v>
      </c>
      <c r="Z78" s="1768">
        <f>SUM(V78:Y78)</f>
        <v>0</v>
      </c>
      <c r="AA78" s="147" t="s">
        <v>321</v>
      </c>
    </row>
    <row r="79" spans="1:36" s="623" customFormat="1" ht="18" customHeight="1">
      <c r="A79" s="1637"/>
      <c r="B79" s="629"/>
      <c r="C79" s="629"/>
      <c r="D79" s="629"/>
      <c r="E79" s="629"/>
      <c r="F79" s="629"/>
      <c r="G79" s="629"/>
      <c r="H79" s="629"/>
      <c r="I79" s="629"/>
      <c r="J79" s="629"/>
      <c r="K79" s="629"/>
      <c r="L79" s="630"/>
      <c r="M79" s="630"/>
      <c r="N79" s="1557" t="s">
        <v>2681</v>
      </c>
      <c r="O79" s="1556" t="b">
        <f>AND(_neu1,O78)</f>
        <v>0</v>
      </c>
      <c r="P79" s="1556" t="b">
        <f>AND(_neu2,P78)</f>
        <v>0</v>
      </c>
      <c r="Q79" s="1556" t="b">
        <f>AND(_neu3,Q78)</f>
        <v>0</v>
      </c>
      <c r="R79" s="1556" t="b">
        <f>AND(_neu4,R78)</f>
        <v>0</v>
      </c>
      <c r="S79" s="1557"/>
      <c r="U79" s="1767" t="s">
        <v>3235</v>
      </c>
      <c r="V79" s="1783">
        <f>IF(wohnen1,O25,0)</f>
        <v>0</v>
      </c>
      <c r="W79" s="1785">
        <f>IF(wohnen2,P25,0)</f>
        <v>0</v>
      </c>
      <c r="X79" s="1785">
        <f>IF(wohnen3,Q25,0)</f>
        <v>0</v>
      </c>
      <c r="Y79" s="1784">
        <f>IF(wohnen4,R25,0)</f>
        <v>0</v>
      </c>
      <c r="Z79" s="1770">
        <f>SUM(V79:Y79)</f>
        <v>0</v>
      </c>
    </row>
    <row r="80" spans="1:36" s="623" customFormat="1" ht="18" customHeight="1">
      <c r="A80" s="1637"/>
      <c r="B80" s="629"/>
      <c r="C80" s="629"/>
      <c r="D80" s="629"/>
      <c r="E80" s="629"/>
      <c r="F80" s="629"/>
      <c r="G80" s="629"/>
      <c r="H80" s="629"/>
      <c r="I80" s="629"/>
      <c r="J80" s="629"/>
      <c r="K80" s="629"/>
      <c r="L80" s="630"/>
      <c r="M80" s="630"/>
      <c r="N80" s="1557" t="s">
        <v>2686</v>
      </c>
      <c r="O80" s="1390">
        <f>IF(AND(_neu1,Kategorie1&gt;3),Eingaben!F19,0)</f>
        <v>0</v>
      </c>
      <c r="P80" s="1390">
        <f>IF(AND(_neu2,Kategorie2&gt;3),Eingaben!G19,0)</f>
        <v>0</v>
      </c>
      <c r="Q80" s="1390">
        <f>IF(AND(_neu3,Kategorie3&gt;3),Eingaben!H19,0)</f>
        <v>0</v>
      </c>
      <c r="R80" s="1390">
        <f>IF(AND(_neu4,Kategorie4&gt;3),Eingaben!I19,0)</f>
        <v>0</v>
      </c>
      <c r="S80" s="852">
        <f>SUM(O80:R80)</f>
        <v>0</v>
      </c>
      <c r="T80" s="623" t="s">
        <v>321</v>
      </c>
      <c r="U80" s="1767" t="s">
        <v>3427</v>
      </c>
      <c r="V80" s="1786">
        <f>IF(V79&gt;0,V78/V79,V78)</f>
        <v>0</v>
      </c>
      <c r="W80" s="1787">
        <f>IF(W79&gt;0,W78/W79,W78)</f>
        <v>0</v>
      </c>
      <c r="X80" s="1787">
        <f>IF(X79&gt;0,X78/X79,X78)</f>
        <v>0</v>
      </c>
      <c r="Y80" s="1770">
        <f>IF(Y79&gt;0,Y78/Y79,Y78)</f>
        <v>0</v>
      </c>
      <c r="Z80" s="1827">
        <f>IF(Z79&gt;0,Z78/Z79,0)</f>
        <v>0</v>
      </c>
      <c r="AA80" s="1373" t="s">
        <v>3236</v>
      </c>
    </row>
    <row r="81" spans="1:27" s="623" customFormat="1" ht="18" customHeight="1">
      <c r="A81" s="1637"/>
      <c r="B81" s="629"/>
      <c r="C81" s="629"/>
      <c r="D81" s="629"/>
      <c r="E81" s="629"/>
      <c r="F81" s="629"/>
      <c r="G81" s="629"/>
      <c r="H81" s="629"/>
      <c r="I81" s="629"/>
      <c r="J81" s="629"/>
      <c r="K81" s="629"/>
      <c r="L81" s="630"/>
      <c r="M81" s="630"/>
      <c r="N81" s="1557" t="s">
        <v>2680</v>
      </c>
      <c r="O81" s="623" t="b">
        <f>AND($S$80&gt;250,O79)</f>
        <v>0</v>
      </c>
      <c r="P81" s="623" t="b">
        <f>AND($S$80&gt;250,P79)</f>
        <v>0</v>
      </c>
      <c r="Q81" s="623" t="b">
        <f>AND($S$80&gt;250,Q79)</f>
        <v>0</v>
      </c>
      <c r="R81" s="623" t="b">
        <f>AND($S$80&gt;250,R79)</f>
        <v>0</v>
      </c>
      <c r="S81" s="1557"/>
      <c r="T81" s="1373" t="s">
        <v>2692</v>
      </c>
      <c r="U81" s="1771" t="s">
        <v>3234</v>
      </c>
      <c r="V81" s="1783" t="b">
        <f>wohnen1</f>
        <v>0</v>
      </c>
      <c r="W81" s="1785" t="b">
        <f>wohnen2</f>
        <v>0</v>
      </c>
      <c r="X81" s="1785" t="b">
        <f>wohnen3</f>
        <v>0</v>
      </c>
      <c r="Y81" s="1784" t="b">
        <f>wohnen4</f>
        <v>0</v>
      </c>
      <c r="Z81" s="1565" t="b">
        <f>IF(AND(Z80&gt;=69,Z80&lt;=125),TRUE,FALSE)</f>
        <v>0</v>
      </c>
    </row>
    <row r="82" spans="1:27" s="623" customFormat="1" ht="18" customHeight="1">
      <c r="A82" s="1637"/>
      <c r="F82" s="629"/>
      <c r="G82" s="629"/>
      <c r="H82" s="629"/>
      <c r="I82" s="629"/>
      <c r="L82" s="630"/>
      <c r="M82" s="630"/>
      <c r="N82" s="1563" t="s">
        <v>3262</v>
      </c>
      <c r="O82" s="1564" t="b">
        <f>AND(O81,Mieter1=FALSE)</f>
        <v>0</v>
      </c>
      <c r="P82" s="1564" t="b">
        <f>AND(P81,Mieter2=FALSE)</f>
        <v>0</v>
      </c>
      <c r="Q82" s="1564" t="b">
        <f>AND(Q81,Mieter3=FALSE)</f>
        <v>0</v>
      </c>
      <c r="R82" s="1564" t="b">
        <f>AND(R81,Mieter4=FALSE)</f>
        <v>0</v>
      </c>
      <c r="S82" s="1563" t="b">
        <f>OR(O82,P82,Q82,R82)</f>
        <v>0</v>
      </c>
      <c r="U82" s="1774" t="s">
        <v>3238</v>
      </c>
      <c r="V82" s="1191">
        <f>IF(wohnen1,Standardwerte!AE65,0)</f>
        <v>0</v>
      </c>
      <c r="W82" s="1191">
        <f>IF(wohnen2,Standardwerte!AE66,0)</f>
        <v>0</v>
      </c>
      <c r="X82" s="1191">
        <f>IF(wohnen3,Standardwerte!AE67,0)</f>
        <v>0</v>
      </c>
      <c r="Y82" s="1191">
        <f>IF(wohnen4,Standardwerte!AE68,0)</f>
        <v>0</v>
      </c>
      <c r="Z82" s="1775"/>
      <c r="AA82" s="5" t="s">
        <v>524</v>
      </c>
    </row>
    <row r="83" spans="1:27" s="623" customFormat="1" ht="18" customHeight="1">
      <c r="A83" s="1637"/>
      <c r="F83" s="629"/>
      <c r="G83" s="629"/>
      <c r="H83" s="629"/>
      <c r="I83" s="629"/>
      <c r="L83" s="630"/>
      <c r="M83" s="630"/>
      <c r="N83" s="1557" t="s">
        <v>2685</v>
      </c>
      <c r="O83" s="1556" t="b">
        <f>AND(Kategorie1&gt;3,_neu1=FALSE)</f>
        <v>0</v>
      </c>
      <c r="P83" s="1556" t="b">
        <f>AND(Kategorie2&gt;3,_neu2=FALSE)</f>
        <v>0</v>
      </c>
      <c r="Q83" s="1556" t="b">
        <f>AND(Kategorie3&gt;3,_neu3=FALSE)</f>
        <v>0</v>
      </c>
      <c r="R83" s="1556" t="b">
        <f>AND(Kategorie4&gt;3,_neu4=FALSE)</f>
        <v>0</v>
      </c>
      <c r="S83" s="1557"/>
      <c r="U83" s="1393" t="s">
        <v>3239</v>
      </c>
      <c r="V83" s="1772">
        <f>IF(_EBF1&gt;0,IF(wohnen1,O26*(O25*800+O32*20)+O25*100,0)/_EBF1*2,0)</f>
        <v>0</v>
      </c>
      <c r="W83" s="1772">
        <f>IF(_EBF2&gt;0,IF(wohnen2,P26*(P25*800+P32*20)+P25*100,0)/_EBF2*2,0)</f>
        <v>0</v>
      </c>
      <c r="X83" s="1772">
        <f>IF(_EBF3&gt;0,IF(wohnen3,Q26*(Q25*800+Q32*20)+Q25*100,0)/_EBF3*2,0)</f>
        <v>0</v>
      </c>
      <c r="Y83" s="1772">
        <f>IF(_EBF4&gt;0,IF(wohnen4,R26*(R25*800+R32*20)+R25*100,0)/_EBF4*2,0)</f>
        <v>0</v>
      </c>
      <c r="Z83" s="1557"/>
      <c r="AA83" s="5" t="s">
        <v>524</v>
      </c>
    </row>
    <row r="84" spans="1:27" s="623" customFormat="1" ht="18" customHeight="1">
      <c r="A84" s="1637"/>
      <c r="F84" s="629"/>
      <c r="G84" s="629"/>
      <c r="H84" s="629"/>
      <c r="I84" s="629"/>
      <c r="L84" s="630"/>
      <c r="M84" s="630"/>
      <c r="N84" s="1557" t="s">
        <v>3259</v>
      </c>
      <c r="O84" s="1390">
        <f>IF(AND(_neu1=FALSE,Kategorie1&gt;3),Eingaben!F19,0)</f>
        <v>0</v>
      </c>
      <c r="P84" s="1390">
        <f>IF(AND(_neu2=FALSE,Kategorie2&gt;3),Eingaben!G19,0)</f>
        <v>0</v>
      </c>
      <c r="Q84" s="1390">
        <f>IF(AND(_neu3=FALSE,Kategorie3&gt;3),Eingaben!H19,0)</f>
        <v>0</v>
      </c>
      <c r="R84" s="1390">
        <f>IF(AND(_neu4=FALSE,Kategorie4&gt;3),Eingaben!I19,0)</f>
        <v>0</v>
      </c>
      <c r="S84" s="852">
        <f>SUM(O84:R84)</f>
        <v>0</v>
      </c>
      <c r="T84" s="623" t="s">
        <v>321</v>
      </c>
      <c r="U84" s="1520" t="s">
        <v>3374</v>
      </c>
      <c r="V84" s="1795">
        <f>IF(minergiea,INDEX(Standardwerte!$AI$71:$AI$83,Kategorie1,1),IF(minergiep,IF(_neu1,INDEX(Standardwerte!$Z$71:$Z$83,Kategorie1,1),INDEX(Standardwerte!$AA$71:$AA$83,Kategorie1,1)),IF(_neu1,INDEX(Standardwerte!$X$71:$X$83,Kategorie1,1),INDEX(Standardwerte!$Y$71:$Y$83,Kategorie1,1))))</f>
        <v>0</v>
      </c>
      <c r="W84" s="1795">
        <f>IF(minergiea,INDEX(Standardwerte!$AI$71:$AI$83,Kategorie2,1),IF(minergiep,IF(_neu2,INDEX(Standardwerte!$Z$71:$Z$83,Kategorie2,1),INDEX(Standardwerte!$AA$71:$AA$83,Kategorie2,1)),IF(_neu2,INDEX(Standardwerte!$X$71:$X$83,Kategorie2,1),INDEX(Standardwerte!$Y$71:$Y$83,Kategorie2,1))))</f>
        <v>0</v>
      </c>
      <c r="X84" s="1795">
        <f>IF(minergiea,INDEX(Standardwerte!$AI$71:$AI$83,Kategorie3,1),IF(minergiep,IF(_neu3,INDEX(Standardwerte!$Z$71:$Z$83,Kategorie3,1),INDEX(Standardwerte!$AA$71:$AA$83,Kategorie3,1)),IF(_neu3,INDEX(Standardwerte!$X$71:$X$83,Kategorie3,1),INDEX(Standardwerte!$Y$71:$Y$83,Kategorie3,1))))</f>
        <v>0</v>
      </c>
      <c r="Y84" s="1795">
        <f>IF(minergiea,INDEX(Standardwerte!$AI$71:$AI$83,Kategorie4,1),IF(minergiep,IF(_neu4,INDEX(Standardwerte!$Z$71:$Z$83,Kategorie4,1),INDEX(Standardwerte!$AA$71:$AA$83,Kategorie4,1)),IF(_neu4,INDEX(Standardwerte!$X$71:$X$83,Kategorie4,1),INDEX(Standardwerte!$Y$71:$Y$83,Kategorie4,1))))</f>
        <v>0</v>
      </c>
      <c r="Z84" s="1557"/>
      <c r="AA84" s="5" t="s">
        <v>3365</v>
      </c>
    </row>
    <row r="85" spans="1:27" s="623" customFormat="1" ht="18" customHeight="1">
      <c r="A85" s="1637"/>
      <c r="F85" s="629"/>
      <c r="G85" s="629"/>
      <c r="H85" s="629"/>
      <c r="I85" s="629"/>
      <c r="L85" s="630"/>
      <c r="M85" s="630"/>
      <c r="N85" s="1557" t="s">
        <v>3260</v>
      </c>
      <c r="O85" s="623" t="b">
        <f>AND($S$84&gt;250,O83)</f>
        <v>0</v>
      </c>
      <c r="P85" s="623" t="b">
        <f>AND($S$84&gt;250,P83)</f>
        <v>0</v>
      </c>
      <c r="Q85" s="623" t="b">
        <f>AND($S$84&gt;250,Q83)</f>
        <v>0</v>
      </c>
      <c r="R85" s="623" t="b">
        <f>AND($S$84&gt;250,R83)</f>
        <v>0</v>
      </c>
      <c r="S85" s="1557" t="b">
        <f>OR(O85,P85,Q85,R85)</f>
        <v>0</v>
      </c>
      <c r="U85" s="1520" t="s">
        <v>3553</v>
      </c>
      <c r="V85" s="1772">
        <f>IF(_EBF1&gt;0,IF(wohnen1,O26*(800/70+16)+100/70,0)*2+V82,0)</f>
        <v>0</v>
      </c>
      <c r="W85" s="1772">
        <f>IF(_EBF2&gt;0,IF(wohnen2,P26*(800/70+16)+100/70,0)*2+W82,0)</f>
        <v>0</v>
      </c>
      <c r="X85" s="1772">
        <f>IF(_EBF3&gt;0,IF(wohnen3,Q26*(800/70+16)+100/70,0)*2+X82,0)</f>
        <v>0</v>
      </c>
      <c r="Y85" s="1772">
        <f>IF(_EBF4&gt;0,IF(wohnen4,R26*(800/70+16)+100/70,0)*2+Y82,0)</f>
        <v>0</v>
      </c>
      <c r="Z85" s="1557"/>
      <c r="AA85" s="1373"/>
    </row>
    <row r="86" spans="1:27" s="623" customFormat="1" ht="18" customHeight="1">
      <c r="A86" s="1637"/>
      <c r="F86" s="629"/>
      <c r="G86" s="629"/>
      <c r="H86" s="629"/>
      <c r="I86" s="629"/>
      <c r="L86" s="630"/>
      <c r="M86" s="630"/>
      <c r="N86" s="1563" t="s">
        <v>2687</v>
      </c>
      <c r="O86" s="1564" t="b">
        <f>AND(O83=TRUE,F44=$N$12)</f>
        <v>0</v>
      </c>
      <c r="P86" s="1564" t="b">
        <f>AND(P83=TRUE,G44=$N$12)</f>
        <v>0</v>
      </c>
      <c r="Q86" s="1564" t="b">
        <f>AND(Q83=TRUE,H44=$N$12)</f>
        <v>0</v>
      </c>
      <c r="R86" s="1564" t="b">
        <f>AND(R83=TRUE,I44=$N$12)</f>
        <v>0</v>
      </c>
      <c r="S86" s="1563" t="b">
        <f>OR(O86,P86,Q86,R86)</f>
        <v>0</v>
      </c>
      <c r="T86" s="1373" t="s">
        <v>2693</v>
      </c>
      <c r="U86" s="1859" t="s">
        <v>3240</v>
      </c>
      <c r="V86" s="1788">
        <f>IF(V80&lt;70,V85,IF(V80&gt;125,V84,MAX(V84,V83+V82)))</f>
        <v>0</v>
      </c>
      <c r="W86" s="1788">
        <f>IF(W80&lt;70,W85,IF(W80&gt;125,W84,MAX(W84,W83+W82)))</f>
        <v>0</v>
      </c>
      <c r="X86" s="1788">
        <f>IF(X80&lt;70,X85,IF(X80&gt;125,X84,MAX(X84,X83+X82)))</f>
        <v>0</v>
      </c>
      <c r="Y86" s="1788">
        <f>IF(Y80&lt;70,Y85,IF(Y80&gt;125,Y84,MAX(Y84,Y83+Y82)))</f>
        <v>0</v>
      </c>
      <c r="Z86" s="1789"/>
      <c r="AA86" s="5" t="s">
        <v>524</v>
      </c>
    </row>
    <row r="87" spans="1:27" s="623" customFormat="1" ht="18" customHeight="1">
      <c r="A87" s="1637"/>
      <c r="F87" s="629"/>
      <c r="G87" s="629"/>
      <c r="H87" s="629"/>
      <c r="I87" s="629"/>
      <c r="L87" s="630"/>
      <c r="M87" s="630"/>
      <c r="N87" s="1557" t="s">
        <v>3262</v>
      </c>
      <c r="O87" s="623" t="b">
        <f>AND(O86,O97)</f>
        <v>0</v>
      </c>
      <c r="P87" s="623" t="b">
        <f>AND(P86,P97)</f>
        <v>0</v>
      </c>
      <c r="Q87" s="623" t="b">
        <f>AND(Q86,Q97)</f>
        <v>0</v>
      </c>
      <c r="R87" s="623" t="b">
        <f>AND(R86,R97)</f>
        <v>0</v>
      </c>
      <c r="S87" s="1557"/>
      <c r="U87" s="1858" t="s">
        <v>3555</v>
      </c>
      <c r="V87" s="1829">
        <f>IF(AND(wohnen1,_EBF1&gt;0),100/125*2,0)</f>
        <v>0</v>
      </c>
      <c r="W87" s="1829">
        <f>IF(AND(wohnen2,_EBF2&gt;0),100/125*2,0)</f>
        <v>0</v>
      </c>
      <c r="X87" s="1829">
        <f>IF(AND(wohnen3,_EBF3&gt;0),100/125*2,0)</f>
        <v>0</v>
      </c>
      <c r="Y87" s="1829">
        <f>IF(AND(wohnen4,_EBF4&gt;0),100/125*2,0)</f>
        <v>0</v>
      </c>
      <c r="Z87" s="1775"/>
      <c r="AA87" s="1373" t="s">
        <v>524</v>
      </c>
    </row>
    <row r="88" spans="1:27" s="623" customFormat="1" ht="18" customHeight="1">
      <c r="A88" s="1637"/>
      <c r="F88" s="629"/>
      <c r="G88" s="629"/>
      <c r="H88" s="629"/>
      <c r="I88" s="629"/>
      <c r="L88" s="630"/>
      <c r="M88" s="630"/>
      <c r="N88" s="1557" t="s">
        <v>3261</v>
      </c>
      <c r="O88" s="623" t="b">
        <f>OR(O82,O86)</f>
        <v>0</v>
      </c>
      <c r="P88" s="623" t="b">
        <f>OR(P82,P86)</f>
        <v>0</v>
      </c>
      <c r="Q88" s="623" t="b">
        <f>OR(Q82,Q86)</f>
        <v>0</v>
      </c>
      <c r="R88" s="623" t="b">
        <f>OR(R82,R86)</f>
        <v>0</v>
      </c>
      <c r="S88" s="1557" t="b">
        <f>OR(O88,P88,Q88,R88)</f>
        <v>0</v>
      </c>
      <c r="U88" s="1860" t="s">
        <v>3556</v>
      </c>
      <c r="V88" s="1772">
        <f>IF(AND(wohnen1,_EBF1&gt;0),100/70*2,0)</f>
        <v>0</v>
      </c>
      <c r="W88" s="1772">
        <f>IF(AND(wohnen2,_EBF2&gt;0),100/70*2,0)</f>
        <v>0</v>
      </c>
      <c r="X88" s="1772">
        <f>IF(AND(wohnen3,_EBF3&gt;0),100/70*2,0)</f>
        <v>0</v>
      </c>
      <c r="Y88" s="1772">
        <f>IF(AND(wohnen4,_EBF4&gt;0),100/70*2,0)</f>
        <v>0</v>
      </c>
      <c r="Z88" s="1557"/>
    </row>
    <row r="89" spans="1:27" s="623" customFormat="1" ht="18" customHeight="1">
      <c r="A89" s="1637"/>
      <c r="F89" s="629"/>
      <c r="G89" s="629"/>
      <c r="H89" s="629"/>
      <c r="I89" s="629"/>
      <c r="L89" s="630"/>
      <c r="M89" s="630"/>
      <c r="N89" s="1557" t="s">
        <v>2683</v>
      </c>
      <c r="O89" s="1556" t="b">
        <f>AND(O78,O82=FALSE,O86=FALSE,O53=TRUE)</f>
        <v>0</v>
      </c>
      <c r="P89" s="1556" t="b">
        <f>AND(P78,P82=FALSE,P86=FALSE,P53=TRUE)</f>
        <v>0</v>
      </c>
      <c r="Q89" s="1556" t="b">
        <f>AND(Q78,Q82=FALSE,Q86=FALSE,Q53=TRUE)</f>
        <v>0</v>
      </c>
      <c r="R89" s="1556" t="b">
        <f>AND(R78,R82=FALSE,R86=FALSE,R53=TRUE)</f>
        <v>0</v>
      </c>
      <c r="S89" s="1557"/>
      <c r="U89" s="1520" t="s">
        <v>3374</v>
      </c>
      <c r="V89" s="1772">
        <f>V84-V87-V82</f>
        <v>0</v>
      </c>
      <c r="W89" s="1772">
        <f>W84-W87-W82</f>
        <v>0</v>
      </c>
      <c r="X89" s="1772">
        <f>X84-X87-X82</f>
        <v>0</v>
      </c>
      <c r="Y89" s="1772">
        <f>Y84-Y87-Y82</f>
        <v>0</v>
      </c>
      <c r="Z89" s="1557"/>
      <c r="AA89" s="623" t="s">
        <v>3554</v>
      </c>
    </row>
    <row r="90" spans="1:27" s="623" customFormat="1" ht="18" customHeight="1">
      <c r="A90" s="1637"/>
      <c r="L90" s="630"/>
      <c r="M90" s="630"/>
      <c r="N90" s="1563" t="s">
        <v>2684</v>
      </c>
      <c r="O90" s="1564" t="b">
        <f>AND(O89,F48&gt;0,F49&gt;0)</f>
        <v>0</v>
      </c>
      <c r="P90" s="1564" t="b">
        <f>AND(P89,G48&gt;0,G49&gt;0)</f>
        <v>0</v>
      </c>
      <c r="Q90" s="1564" t="b">
        <f>AND(Q89,H48&gt;0,H49&gt;0)</f>
        <v>0</v>
      </c>
      <c r="R90" s="1564" t="b">
        <f>AND(R89,I48&gt;0,I49&gt;0)</f>
        <v>0</v>
      </c>
      <c r="S90" s="1563" t="b">
        <f>OR(O90,P90,Q90,R90)</f>
        <v>0</v>
      </c>
      <c r="T90" s="1373" t="s">
        <v>2694</v>
      </c>
      <c r="U90" s="1526" t="s">
        <v>3553</v>
      </c>
      <c r="V90" s="1828">
        <f>V85-V88-V82</f>
        <v>0</v>
      </c>
      <c r="W90" s="1828">
        <f>W85-W88-W82</f>
        <v>0</v>
      </c>
      <c r="X90" s="1828">
        <f>X85-X88-X82</f>
        <v>0</v>
      </c>
      <c r="Y90" s="1828">
        <f>Y85-Y88-Y82</f>
        <v>0</v>
      </c>
      <c r="Z90" s="1555"/>
      <c r="AA90" s="623" t="s">
        <v>3554</v>
      </c>
    </row>
    <row r="91" spans="1:27" s="623" customFormat="1" ht="18" customHeight="1">
      <c r="A91" s="1637"/>
      <c r="L91" s="630"/>
      <c r="M91" s="630"/>
      <c r="N91" s="1557" t="s">
        <v>2688</v>
      </c>
      <c r="O91" s="1390">
        <f>IF(OR(O82,O86,O90),Eingaben!F19,0)</f>
        <v>0</v>
      </c>
      <c r="P91" s="1390">
        <f>IF(OR(P82,P86,P90),Eingaben!G19,0)</f>
        <v>0</v>
      </c>
      <c r="Q91" s="1390">
        <f>IF(OR(Q82,Q86,Q90),Eingaben!H19,0)</f>
        <v>0</v>
      </c>
      <c r="R91" s="1390">
        <f>IF(OR(R82,R86,R90),Eingaben!I19,0)</f>
        <v>0</v>
      </c>
      <c r="S91" s="852">
        <f>SUM(O91:R91)</f>
        <v>0</v>
      </c>
      <c r="T91" s="623" t="s">
        <v>321</v>
      </c>
    </row>
    <row r="92" spans="1:27" s="623" customFormat="1" ht="18" customHeight="1">
      <c r="A92" s="1637"/>
      <c r="L92" s="630"/>
      <c r="M92" s="630"/>
      <c r="N92" s="1393" t="s">
        <v>2697</v>
      </c>
      <c r="O92" s="1390">
        <f>IF(O91&gt;0,F48,0)</f>
        <v>0</v>
      </c>
      <c r="P92" s="1390">
        <f>IF(P91&gt;0,G48,0)</f>
        <v>0</v>
      </c>
      <c r="Q92" s="1390">
        <f>IF(Q91&gt;0,H48,0)</f>
        <v>0</v>
      </c>
      <c r="R92" s="1390">
        <f>IF(R91&gt;0,I48,0)</f>
        <v>0</v>
      </c>
      <c r="S92" s="852">
        <f>IF(S91&gt;0,(O91*O92+P91*P92+Q91*Q92+R91*R92)/S91,0)</f>
        <v>0</v>
      </c>
      <c r="T92" s="623" t="s">
        <v>524</v>
      </c>
    </row>
    <row r="93" spans="1:27" s="623" customFormat="1" ht="18" customHeight="1">
      <c r="A93" s="1637"/>
      <c r="L93" s="630"/>
      <c r="M93" s="630"/>
      <c r="N93" s="1567" t="s">
        <v>2698</v>
      </c>
      <c r="O93" s="1553">
        <f>IF(O91&gt;0,F49,0)</f>
        <v>0</v>
      </c>
      <c r="P93" s="1553">
        <f>IF(P91&gt;0,G49,0)</f>
        <v>0</v>
      </c>
      <c r="Q93" s="1553">
        <f>IF(Q91&gt;0,H49,0)</f>
        <v>0</v>
      </c>
      <c r="R93" s="1553">
        <f>IF(R91&gt;0,I49,0)</f>
        <v>0</v>
      </c>
      <c r="S93" s="853">
        <f>IF(S91&gt;0,(O91*O93+P91*P93+Q91*Q93+R91*R93)/S91,0)</f>
        <v>0</v>
      </c>
      <c r="T93" s="623" t="s">
        <v>524</v>
      </c>
    </row>
    <row r="94" spans="1:27" s="623" customFormat="1" ht="18" customHeight="1">
      <c r="A94" s="1637"/>
      <c r="F94" s="629"/>
      <c r="G94" s="629"/>
      <c r="H94" s="629"/>
      <c r="I94" s="629"/>
      <c r="L94" s="630"/>
      <c r="M94" s="630"/>
      <c r="N94" s="1225" t="s">
        <v>1874</v>
      </c>
      <c r="O94" s="1274">
        <f>IF(Kategorie1&lt;&gt;13,IF(OR(O82,O86,O90),O93*2,0),0)</f>
        <v>0</v>
      </c>
      <c r="P94" s="1274">
        <f>IF(Kategorie2&lt;&gt;13,IF(OR(P82,P86,P90),P93*2,0),0)</f>
        <v>0</v>
      </c>
      <c r="Q94" s="1274">
        <f>IF(Kategorie3&lt;&gt;13,IF(OR(Q82,Q86,Q90),Q93*2,0),0)</f>
        <v>0</v>
      </c>
      <c r="R94" s="1274">
        <f>IF(Kategorie4&lt;&gt;13,IF(OR(R82,R86,R90),R93*2,0),0)</f>
        <v>0</v>
      </c>
      <c r="S94" s="1226">
        <f>IF(SUM(O94:R94)&gt;0,IF(EBF&gt;0,(IF(Kategorie1&lt;&gt;13,O91*O93,0)+IF(Kategorie2&lt;&gt;13,P91*P93,0)+IF(Kategorie3&lt;&gt;13,Q91*Q93,0)+IF(Kategorie4&lt;&gt;13,R91*R93,0))*2/(IF(Kategorie1&lt;&gt;13,_EBF1,0)+IF(Kategorie2&lt;&gt;13,_EBF2,0)+IF(Kategorie3&lt;&gt;13,_EBF3,0)+IF(Kategorie4&lt;&gt;13,_EBF4,0)),0),0)</f>
        <v>0</v>
      </c>
      <c r="T94" s="5" t="s">
        <v>524</v>
      </c>
    </row>
    <row r="95" spans="1:27" s="623" customFormat="1" ht="18" customHeight="1">
      <c r="A95" s="1637"/>
      <c r="F95" s="629"/>
      <c r="G95" s="629"/>
      <c r="H95" s="629"/>
      <c r="I95" s="629"/>
      <c r="L95" s="630"/>
      <c r="M95" s="630"/>
      <c r="N95" s="1774" t="s">
        <v>2696</v>
      </c>
      <c r="O95" s="891">
        <f>INDEX(Standardwerte!$AD$71:$AD$83,Kategorie1,1)/2</f>
        <v>0</v>
      </c>
      <c r="P95" s="891">
        <f>INDEX(Standardwerte!$AD$71:$AD$83,Kategorie2,1)/2</f>
        <v>0</v>
      </c>
      <c r="Q95" s="891">
        <f>INDEX(Standardwerte!$AD$71:$AD$83,Kategorie3,1)/2</f>
        <v>0</v>
      </c>
      <c r="R95" s="891">
        <f>INDEX(Standardwerte!$AD$71:$AD$83,Kategorie4,1)/2</f>
        <v>0</v>
      </c>
      <c r="S95" s="1775"/>
      <c r="T95" s="5" t="s">
        <v>524</v>
      </c>
    </row>
    <row r="96" spans="1:27" s="623" customFormat="1" ht="18" customHeight="1">
      <c r="A96" s="1637"/>
      <c r="F96" s="629"/>
      <c r="G96" s="629"/>
      <c r="H96" s="629"/>
      <c r="I96" s="629"/>
      <c r="L96" s="630"/>
      <c r="M96" s="630"/>
      <c r="N96" s="1557"/>
      <c r="S96" s="1557"/>
    </row>
    <row r="97" spans="1:20" s="623" customFormat="1" ht="18" customHeight="1">
      <c r="A97" s="1637"/>
      <c r="F97" s="629"/>
      <c r="G97" s="629"/>
      <c r="H97" s="629"/>
      <c r="I97" s="629"/>
      <c r="L97" s="630"/>
      <c r="M97" s="630"/>
      <c r="N97" s="1776" t="s">
        <v>3263</v>
      </c>
      <c r="O97" s="1564" t="b">
        <f>IF(Mieter1,FALSE,AND(O78,O82=FALSE,O86=FALSE,O90=FALSE))</f>
        <v>0</v>
      </c>
      <c r="P97" s="1564" t="b">
        <f>IF(Mieter2,FALSE,AND(P78,P82=FALSE,P86=FALSE,P90=FALSE))</f>
        <v>0</v>
      </c>
      <c r="Q97" s="1564" t="b">
        <f>IF(Mieter3,FALSE,AND(Q78,Q82=FALSE,Q86=FALSE,Q90=FALSE))</f>
        <v>0</v>
      </c>
      <c r="R97" s="1564" t="b">
        <f>IF(Mieter4,FALSE,AND(R78,R82=FALSE,R86=FALSE,R90=FALSE))</f>
        <v>0</v>
      </c>
      <c r="S97" s="1563"/>
      <c r="T97" s="1373" t="s">
        <v>2695</v>
      </c>
    </row>
    <row r="98" spans="1:20" s="623" customFormat="1" ht="18" customHeight="1">
      <c r="A98" s="1637"/>
      <c r="F98" s="629"/>
      <c r="G98" s="629"/>
      <c r="H98" s="629"/>
      <c r="I98" s="629"/>
      <c r="L98" s="630"/>
      <c r="M98" s="630"/>
      <c r="N98" s="1557" t="s">
        <v>2689</v>
      </c>
      <c r="O98" s="1390">
        <f>IF(OR(O97,AND(O51=FALSE,O56=0)),Eingaben!F19,0)</f>
        <v>0</v>
      </c>
      <c r="P98" s="1390">
        <f>IF(OR(P97,AND(P51=FALSE,P56=0)),Eingaben!G19,0)</f>
        <v>0</v>
      </c>
      <c r="Q98" s="1390">
        <f>IF(OR(Q97,AND(Q51=FALSE,Q56=0)),Eingaben!H19,0)</f>
        <v>0</v>
      </c>
      <c r="R98" s="1390">
        <f>IF(OR(R97,AND(R51=FALSE,R56=0)),Eingaben!I19,0)</f>
        <v>0</v>
      </c>
      <c r="S98" s="852">
        <f>SUM(O98:R98)</f>
        <v>0</v>
      </c>
    </row>
    <row r="99" spans="1:20" s="623" customFormat="1" ht="18" customHeight="1">
      <c r="A99" s="1637"/>
      <c r="F99" s="629"/>
      <c r="G99" s="629"/>
      <c r="H99" s="629"/>
      <c r="I99" s="629"/>
      <c r="L99" s="630"/>
      <c r="M99" s="630"/>
      <c r="N99" s="1219" t="s">
        <v>1875</v>
      </c>
      <c r="O99" s="1202">
        <f>IF(O97,IF(F46=$N$12,0.8,1)*IF(F47=$N$12,0.8,1),1)</f>
        <v>1</v>
      </c>
      <c r="P99" s="1202">
        <f>IF(P97,IF(G46=$N$12,0.8,1)*IF(G47=$N$12,0.8,1),1)</f>
        <v>1</v>
      </c>
      <c r="Q99" s="1202">
        <f>IF(Q97,IF(H46=$N$12,0.8,1)*IF(H47=$N$12,0.8,1),1)</f>
        <v>1</v>
      </c>
      <c r="R99" s="1202">
        <f>IF(R97,IF(I46=$N$12,0.8,1)*IF(I47=$N$12,0.8,1),1)</f>
        <v>1</v>
      </c>
      <c r="S99" s="1219"/>
    </row>
    <row r="100" spans="1:20" s="623" customFormat="1" ht="18" customHeight="1">
      <c r="A100" s="1637"/>
      <c r="F100" s="629"/>
      <c r="G100" s="629"/>
      <c r="H100" s="629"/>
      <c r="I100" s="629"/>
      <c r="L100" s="630"/>
      <c r="M100" s="630"/>
      <c r="N100" s="1221" t="s">
        <v>1876</v>
      </c>
      <c r="O100" s="1231">
        <f>IF(O97,O99*O95,0)*2</f>
        <v>0</v>
      </c>
      <c r="P100" s="1232">
        <f>IF(P97,P99*P95,0)*2</f>
        <v>0</v>
      </c>
      <c r="Q100" s="1232">
        <f>IF(Q97,Q99*Q95,0)*2</f>
        <v>0</v>
      </c>
      <c r="R100" s="1194">
        <f>IF(R97,R99*R95,0)*2</f>
        <v>0</v>
      </c>
      <c r="S100" s="1224">
        <f>IF(EBF&gt;0,(IF(O97,O95*O98*O99,0)+IF(P97,P95*P98*P99,0)+IF(Q97,Q95*Q98*Q99,0)+IF(R97,R95*R98*R99,0))*2/(_EBF1+_EBF2+_EBF3+_EBF4),0)</f>
        <v>0</v>
      </c>
      <c r="T100" s="5" t="s">
        <v>524</v>
      </c>
    </row>
    <row r="101" spans="1:20" s="623" customFormat="1" ht="18" customHeight="1">
      <c r="A101" s="1637"/>
      <c r="F101" s="629"/>
      <c r="G101" s="629"/>
      <c r="H101" s="629"/>
      <c r="I101" s="629"/>
      <c r="L101" s="630"/>
      <c r="M101" s="630"/>
      <c r="N101" s="1575" t="s">
        <v>2704</v>
      </c>
    </row>
    <row r="102" spans="1:20" s="623" customFormat="1" ht="18" customHeight="1">
      <c r="A102" s="1637"/>
      <c r="F102" s="629"/>
      <c r="G102" s="629"/>
      <c r="H102" s="629"/>
      <c r="I102" s="629"/>
      <c r="L102" s="630"/>
      <c r="M102" s="630"/>
      <c r="N102" s="1190" t="s">
        <v>1838</v>
      </c>
      <c r="O102" s="753">
        <v>1</v>
      </c>
      <c r="P102" s="817">
        <v>2</v>
      </c>
      <c r="Q102" s="817">
        <v>3</v>
      </c>
      <c r="R102" s="1181">
        <v>4</v>
      </c>
      <c r="S102" s="1550" t="s">
        <v>2682</v>
      </c>
    </row>
    <row r="103" spans="1:20" s="623" customFormat="1" ht="18" customHeight="1">
      <c r="A103" s="1637"/>
      <c r="F103" s="629"/>
      <c r="G103" s="629"/>
      <c r="H103" s="629"/>
      <c r="I103" s="629"/>
      <c r="L103" s="630"/>
      <c r="M103" s="630"/>
      <c r="N103" s="1525" t="s">
        <v>2705</v>
      </c>
      <c r="O103" s="1576">
        <f>IF(Kategorie1&lt;&gt;13,Nachweis!G34*Nachweis!$N$52,0)</f>
        <v>0</v>
      </c>
      <c r="P103" s="1579">
        <f>IF(Kategorie2&lt;&gt;13,Nachweis!H34*Nachweis!$N$52,0)</f>
        <v>0</v>
      </c>
      <c r="Q103" s="1579">
        <f>IF(Kategorie3&lt;&gt;13,Nachweis!I34*Nachweis!$N$52,)</f>
        <v>0</v>
      </c>
      <c r="R103" s="1579">
        <f>IF(Kategorie4&lt;&gt;13,Nachweis!J34*Nachweis!$N$52,0)</f>
        <v>0</v>
      </c>
      <c r="S103" s="1580">
        <f>IF(EBF=0,0,(O103*_EBF1+P103*_EBF2+Q103*_EBF3+R103*_EBF4)/(_EBF1+_EBF2+_EBF3+_EBF4))</f>
        <v>0</v>
      </c>
    </row>
    <row r="104" spans="1:20" s="623" customFormat="1" ht="18" customHeight="1">
      <c r="A104" s="1637"/>
      <c r="F104" s="629"/>
      <c r="G104" s="629"/>
      <c r="H104" s="629"/>
      <c r="I104" s="629"/>
      <c r="L104" s="630"/>
      <c r="M104" s="630"/>
      <c r="N104" s="1520" t="s">
        <v>2706</v>
      </c>
      <c r="O104" s="883">
        <f>IF(Kategorie1&lt;&gt;13,(Nachweis!G39+Nachweis!G40)*2,0)</f>
        <v>0</v>
      </c>
      <c r="P104" s="889">
        <f>IF(Kategorie2&lt;&gt;13,(Nachweis!H39+Nachweis!H40)*2,0)</f>
        <v>0</v>
      </c>
      <c r="Q104" s="889">
        <f>IF(Kategorie3&lt;&gt;13,(Nachweis!I39+Nachweis!I40)*2,0)</f>
        <v>0</v>
      </c>
      <c r="R104" s="889">
        <f>IF(Kategorie4&lt;&gt;13,(Nachweis!J39+Nachweis!J40)*2,0)</f>
        <v>0</v>
      </c>
      <c r="S104" s="1581">
        <f>IF(EBF=0,0,(O104*_EBF1+P104*_EBF2+Q104*_EBF3+R104*_EBF4)/(_EBF1+_EBF2+_EBF3+_EBF4))</f>
        <v>0</v>
      </c>
    </row>
    <row r="105" spans="1:20" s="623" customFormat="1" ht="18" customHeight="1">
      <c r="A105" s="1637"/>
      <c r="F105" s="629"/>
      <c r="G105" s="629"/>
      <c r="H105" s="629"/>
      <c r="I105" s="629"/>
      <c r="L105" s="630"/>
      <c r="M105" s="630"/>
      <c r="N105" s="1526" t="s">
        <v>1837</v>
      </c>
      <c r="O105" s="1577">
        <f>O103+O104</f>
        <v>0</v>
      </c>
      <c r="P105" s="1578">
        <f>P103+P104</f>
        <v>0</v>
      </c>
      <c r="Q105" s="1578">
        <f>Q103+Q104</f>
        <v>0</v>
      </c>
      <c r="R105" s="1578">
        <f>R103+R104</f>
        <v>0</v>
      </c>
      <c r="S105" s="1582">
        <f>IF(EBF=0,0,(O105*_EBF1+P105*_EBF2+Q105*_EBF3+R105*_EBF4)/(_EBF1+_EBF2+_EBF3+_EBF4))</f>
        <v>0</v>
      </c>
    </row>
    <row r="106" spans="1:20" s="623" customFormat="1" ht="18" customHeight="1">
      <c r="A106" s="1637"/>
      <c r="F106" s="629"/>
      <c r="G106" s="629"/>
      <c r="H106" s="629"/>
      <c r="I106" s="629"/>
      <c r="L106" s="630"/>
      <c r="M106" s="630"/>
      <c r="N106" s="1711" t="s">
        <v>3142</v>
      </c>
      <c r="O106" s="1712">
        <f>IF(Kategorie1&lt;&gt;13,(Nachweis!G39)*2,0)</f>
        <v>0</v>
      </c>
      <c r="P106" s="1713">
        <f>IF(Kategorie2&lt;&gt;13,(Nachweis!H39)*2,0)</f>
        <v>0</v>
      </c>
      <c r="Q106" s="1713">
        <f>IF(Kategorie3&lt;&gt;13,(Nachweis!I39)*2,0)</f>
        <v>0</v>
      </c>
      <c r="R106" s="1713">
        <f>IF(Kategorie4&lt;&gt;13,(Nachweis!J39)*2,0)</f>
        <v>0</v>
      </c>
      <c r="S106" s="1570">
        <f>IF(EBF=0,0,(O106*_EBF1+P106*_EBF2+Q106*_EBF3+R106*_EBF4)/(_EBF1+_EBF2+_EBF3+_EBF4))</f>
        <v>0</v>
      </c>
    </row>
    <row r="107" spans="1:20" s="623" customFormat="1" ht="18" customHeight="1">
      <c r="A107" s="1637"/>
      <c r="F107" s="629"/>
      <c r="G107" s="629"/>
      <c r="H107" s="629"/>
      <c r="I107" s="629"/>
      <c r="L107" s="630"/>
      <c r="M107" s="630"/>
    </row>
    <row r="108" spans="1:20" s="623" customFormat="1" ht="18" customHeight="1">
      <c r="A108" s="1637"/>
      <c r="F108" s="629"/>
      <c r="G108" s="629"/>
      <c r="H108" s="629"/>
      <c r="I108" s="629"/>
      <c r="L108" s="630"/>
      <c r="M108" s="630"/>
    </row>
    <row r="109" spans="1:20" s="623" customFormat="1" ht="18" customHeight="1">
      <c r="A109" s="1637"/>
      <c r="F109" s="629"/>
      <c r="G109" s="629"/>
      <c r="H109" s="629"/>
      <c r="I109" s="629"/>
      <c r="L109" s="630"/>
      <c r="M109" s="630"/>
    </row>
    <row r="110" spans="1:20" s="623" customFormat="1" ht="18" customHeight="1">
      <c r="A110" s="1637"/>
      <c r="F110" s="629"/>
      <c r="G110" s="629"/>
      <c r="H110" s="629"/>
      <c r="I110" s="629"/>
      <c r="L110" s="630"/>
      <c r="M110" s="630"/>
    </row>
    <row r="111" spans="1:20" s="623" customFormat="1" ht="18" customHeight="1">
      <c r="A111" s="1637"/>
      <c r="F111" s="629"/>
      <c r="G111" s="629"/>
      <c r="H111" s="629"/>
      <c r="I111" s="629"/>
      <c r="L111" s="630"/>
      <c r="M111" s="630"/>
    </row>
    <row r="112" spans="1:20" s="623" customFormat="1" ht="18" customHeight="1">
      <c r="A112" s="1637"/>
      <c r="F112" s="629"/>
      <c r="G112" s="629"/>
      <c r="H112" s="629"/>
      <c r="I112" s="629"/>
      <c r="L112" s="630"/>
      <c r="M112" s="630"/>
    </row>
    <row r="113" spans="1:13" s="623" customFormat="1" ht="18" customHeight="1">
      <c r="A113" s="1637"/>
      <c r="F113" s="629"/>
      <c r="G113" s="629"/>
      <c r="H113" s="629"/>
      <c r="I113" s="629"/>
      <c r="L113" s="630"/>
      <c r="M113" s="630"/>
    </row>
    <row r="114" spans="1:13" s="623" customFormat="1" ht="18" customHeight="1">
      <c r="A114" s="1637"/>
      <c r="F114" s="629"/>
      <c r="G114" s="629"/>
      <c r="H114" s="629"/>
      <c r="I114" s="629"/>
      <c r="L114" s="630"/>
      <c r="M114" s="630"/>
    </row>
    <row r="115" spans="1:13" s="623" customFormat="1" ht="18" customHeight="1">
      <c r="A115" s="1637"/>
      <c r="F115" s="629"/>
      <c r="G115" s="629"/>
      <c r="H115" s="629"/>
      <c r="I115" s="629"/>
      <c r="L115" s="630"/>
      <c r="M115" s="630"/>
    </row>
    <row r="116" spans="1:13" s="623" customFormat="1" ht="18" customHeight="1">
      <c r="A116" s="1637"/>
      <c r="F116" s="629"/>
      <c r="G116" s="629"/>
      <c r="H116" s="629"/>
      <c r="I116" s="629"/>
      <c r="L116" s="630"/>
      <c r="M116" s="630"/>
    </row>
    <row r="117" spans="1:13" s="623" customFormat="1" ht="18" customHeight="1">
      <c r="A117" s="1637"/>
      <c r="F117" s="629"/>
      <c r="G117" s="629"/>
      <c r="H117" s="629"/>
      <c r="I117" s="629"/>
      <c r="L117" s="630"/>
      <c r="M117" s="630"/>
    </row>
    <row r="118" spans="1:13" s="623" customFormat="1" ht="18" customHeight="1">
      <c r="A118" s="1637"/>
      <c r="F118" s="629"/>
      <c r="G118" s="629"/>
      <c r="H118" s="629"/>
      <c r="I118" s="629"/>
      <c r="L118" s="630"/>
      <c r="M118" s="630"/>
    </row>
    <row r="119" spans="1:13" s="623" customFormat="1" ht="18" customHeight="1">
      <c r="A119" s="1637"/>
      <c r="F119" s="629"/>
      <c r="G119" s="629"/>
      <c r="H119" s="629"/>
      <c r="I119" s="629"/>
      <c r="L119" s="630"/>
      <c r="M119" s="630"/>
    </row>
    <row r="120" spans="1:13" s="623" customFormat="1" ht="18" customHeight="1">
      <c r="A120" s="1637"/>
      <c r="F120" s="629"/>
      <c r="G120" s="629"/>
      <c r="H120" s="629"/>
      <c r="I120" s="629"/>
      <c r="L120" s="630"/>
      <c r="M120" s="630"/>
    </row>
    <row r="121" spans="1:13" s="623" customFormat="1" ht="18" customHeight="1">
      <c r="A121" s="1637"/>
      <c r="F121" s="629"/>
      <c r="G121" s="629"/>
      <c r="H121" s="629"/>
      <c r="I121" s="629"/>
      <c r="L121" s="630"/>
      <c r="M121" s="630"/>
    </row>
    <row r="122" spans="1:13" s="623" customFormat="1" ht="18" customHeight="1">
      <c r="A122" s="1637"/>
      <c r="F122" s="629"/>
      <c r="G122" s="629"/>
      <c r="H122" s="629"/>
      <c r="I122" s="629"/>
      <c r="L122" s="630"/>
      <c r="M122" s="630"/>
    </row>
    <row r="123" spans="1:13" s="623" customFormat="1" ht="18" customHeight="1">
      <c r="A123" s="1637"/>
      <c r="F123" s="629"/>
      <c r="G123" s="629"/>
      <c r="H123" s="629"/>
      <c r="I123" s="629"/>
      <c r="L123" s="630"/>
      <c r="M123" s="630"/>
    </row>
    <row r="124" spans="1:13" s="623" customFormat="1" ht="18" customHeight="1">
      <c r="A124" s="1637"/>
      <c r="F124" s="629"/>
      <c r="G124" s="629"/>
      <c r="H124" s="629"/>
      <c r="I124" s="629"/>
      <c r="L124" s="630"/>
      <c r="M124" s="630"/>
    </row>
    <row r="125" spans="1:13" s="623" customFormat="1" ht="18" customHeight="1">
      <c r="A125" s="1637"/>
      <c r="F125" s="629"/>
      <c r="G125" s="629"/>
      <c r="H125" s="629"/>
      <c r="I125" s="629"/>
      <c r="L125" s="630"/>
      <c r="M125" s="630"/>
    </row>
    <row r="126" spans="1:13" s="623" customFormat="1" ht="18" customHeight="1">
      <c r="A126" s="1637"/>
      <c r="F126" s="629"/>
      <c r="G126" s="629"/>
      <c r="H126" s="629"/>
      <c r="I126" s="629"/>
      <c r="L126" s="630"/>
      <c r="M126" s="630"/>
    </row>
    <row r="127" spans="1:13" s="623" customFormat="1" ht="18" customHeight="1">
      <c r="A127" s="1637"/>
      <c r="F127" s="629"/>
      <c r="G127" s="629"/>
      <c r="H127" s="629"/>
      <c r="I127" s="629"/>
      <c r="L127" s="630"/>
      <c r="M127" s="630"/>
    </row>
    <row r="128" spans="1:13" s="623" customFormat="1" ht="18" customHeight="1">
      <c r="A128" s="1637"/>
      <c r="F128" s="629"/>
      <c r="G128" s="629"/>
      <c r="H128" s="629"/>
      <c r="I128" s="629"/>
      <c r="L128" s="630"/>
      <c r="M128" s="630"/>
    </row>
    <row r="129" spans="1:13" s="623" customFormat="1" ht="18" customHeight="1">
      <c r="A129" s="1637"/>
      <c r="F129" s="629"/>
      <c r="G129" s="629"/>
      <c r="H129" s="629"/>
      <c r="I129" s="629"/>
      <c r="L129" s="630"/>
      <c r="M129" s="630"/>
    </row>
    <row r="130" spans="1:13" s="623" customFormat="1" ht="18" customHeight="1">
      <c r="A130" s="1637"/>
      <c r="F130" s="629"/>
      <c r="G130" s="629"/>
      <c r="H130" s="629"/>
      <c r="I130" s="629"/>
      <c r="L130" s="630"/>
      <c r="M130" s="630"/>
    </row>
    <row r="131" spans="1:13" s="623" customFormat="1" ht="18" customHeight="1">
      <c r="A131" s="1637"/>
      <c r="F131" s="629"/>
      <c r="G131" s="629"/>
      <c r="H131" s="629"/>
      <c r="I131" s="629"/>
      <c r="L131" s="630"/>
      <c r="M131" s="630"/>
    </row>
    <row r="132" spans="1:13" s="623" customFormat="1" ht="18" customHeight="1">
      <c r="A132" s="1637"/>
      <c r="F132" s="629"/>
      <c r="G132" s="629"/>
      <c r="H132" s="629"/>
      <c r="I132" s="629"/>
      <c r="L132" s="630"/>
      <c r="M132" s="630"/>
    </row>
    <row r="133" spans="1:13" s="623" customFormat="1" ht="18" customHeight="1">
      <c r="A133" s="1637"/>
      <c r="F133" s="629"/>
      <c r="G133" s="629"/>
      <c r="H133" s="629"/>
      <c r="I133" s="629"/>
      <c r="L133" s="630"/>
      <c r="M133" s="630"/>
    </row>
    <row r="134" spans="1:13" s="623" customFormat="1" ht="18" customHeight="1">
      <c r="A134" s="1637"/>
      <c r="F134" s="629"/>
      <c r="G134" s="629"/>
      <c r="H134" s="629"/>
      <c r="I134" s="629"/>
      <c r="L134" s="630"/>
      <c r="M134" s="630"/>
    </row>
    <row r="135" spans="1:13" s="623" customFormat="1" ht="18" customHeight="1">
      <c r="A135" s="1637"/>
      <c r="F135" s="629"/>
      <c r="G135" s="629"/>
      <c r="H135" s="629"/>
      <c r="I135" s="629"/>
      <c r="L135" s="630"/>
      <c r="M135" s="630"/>
    </row>
    <row r="136" spans="1:13" s="623" customFormat="1" ht="18" customHeight="1">
      <c r="A136" s="1637"/>
      <c r="F136" s="629"/>
      <c r="G136" s="629"/>
      <c r="H136" s="629"/>
      <c r="I136" s="629"/>
      <c r="L136" s="630"/>
      <c r="M136" s="630"/>
    </row>
    <row r="137" spans="1:13" s="623" customFormat="1" ht="18" customHeight="1">
      <c r="A137" s="1637"/>
      <c r="F137" s="629"/>
      <c r="G137" s="629"/>
      <c r="H137" s="629"/>
      <c r="I137" s="629"/>
      <c r="L137" s="630"/>
      <c r="M137" s="630"/>
    </row>
    <row r="138" spans="1:13" s="623" customFormat="1" ht="18" customHeight="1">
      <c r="A138" s="1637"/>
      <c r="F138" s="629"/>
      <c r="G138" s="629"/>
      <c r="H138" s="629"/>
      <c r="I138" s="629"/>
      <c r="L138" s="630"/>
      <c r="M138" s="630"/>
    </row>
    <row r="139" spans="1:13" s="623" customFormat="1" ht="18" customHeight="1">
      <c r="A139" s="1637"/>
      <c r="F139" s="629"/>
      <c r="G139" s="629"/>
      <c r="H139" s="629"/>
      <c r="I139" s="629"/>
      <c r="L139" s="630"/>
      <c r="M139" s="630"/>
    </row>
    <row r="140" spans="1:13" s="623" customFormat="1" ht="18" customHeight="1">
      <c r="A140" s="1637"/>
      <c r="F140" s="629"/>
      <c r="G140" s="629"/>
      <c r="H140" s="629"/>
      <c r="I140" s="629"/>
      <c r="L140" s="630"/>
      <c r="M140" s="630"/>
    </row>
    <row r="141" spans="1:13" s="623" customFormat="1" ht="18" customHeight="1">
      <c r="A141" s="1637"/>
      <c r="F141" s="629"/>
      <c r="G141" s="629"/>
      <c r="H141" s="629"/>
      <c r="I141" s="629"/>
      <c r="L141" s="630"/>
      <c r="M141" s="630"/>
    </row>
    <row r="142" spans="1:13" s="623" customFormat="1" ht="18" customHeight="1">
      <c r="A142" s="1637"/>
      <c r="F142" s="629"/>
      <c r="G142" s="629"/>
      <c r="H142" s="629"/>
      <c r="I142" s="629"/>
      <c r="L142" s="630"/>
      <c r="M142" s="630"/>
    </row>
    <row r="143" spans="1:13" s="623" customFormat="1" ht="18" customHeight="1">
      <c r="A143" s="1637"/>
      <c r="F143" s="629"/>
      <c r="G143" s="629"/>
      <c r="H143" s="629"/>
      <c r="I143" s="629"/>
      <c r="L143" s="630"/>
      <c r="M143" s="630"/>
    </row>
    <row r="144" spans="1:13" s="623" customFormat="1" ht="18" customHeight="1">
      <c r="A144" s="1637"/>
      <c r="F144" s="629"/>
      <c r="G144" s="629"/>
      <c r="H144" s="629"/>
      <c r="I144" s="629"/>
      <c r="L144" s="630"/>
      <c r="M144" s="630"/>
    </row>
    <row r="145" spans="1:13" s="623" customFormat="1" ht="18" customHeight="1">
      <c r="A145" s="1637"/>
      <c r="F145" s="629"/>
      <c r="G145" s="629"/>
      <c r="H145" s="629"/>
      <c r="I145" s="629"/>
      <c r="L145" s="630"/>
      <c r="M145" s="630"/>
    </row>
    <row r="146" spans="1:13" s="623" customFormat="1" ht="18" customHeight="1">
      <c r="A146" s="1637"/>
      <c r="F146" s="629"/>
      <c r="G146" s="629"/>
      <c r="H146" s="629"/>
      <c r="I146" s="629"/>
      <c r="L146" s="630"/>
      <c r="M146" s="630"/>
    </row>
    <row r="147" spans="1:13" s="623" customFormat="1" ht="18" customHeight="1">
      <c r="A147" s="1637"/>
      <c r="F147" s="629"/>
      <c r="G147" s="629"/>
      <c r="H147" s="629"/>
      <c r="I147" s="629"/>
      <c r="L147" s="630"/>
      <c r="M147" s="630"/>
    </row>
    <row r="148" spans="1:13" s="623" customFormat="1" ht="18" customHeight="1">
      <c r="A148" s="1637"/>
      <c r="F148" s="629"/>
      <c r="G148" s="629"/>
      <c r="H148" s="629"/>
      <c r="I148" s="629"/>
      <c r="L148" s="630"/>
      <c r="M148" s="630"/>
    </row>
    <row r="149" spans="1:13" s="623" customFormat="1" ht="18" customHeight="1">
      <c r="A149" s="1637"/>
      <c r="F149" s="629"/>
      <c r="G149" s="629"/>
      <c r="H149" s="629"/>
      <c r="I149" s="629"/>
      <c r="L149" s="630"/>
      <c r="M149" s="630"/>
    </row>
    <row r="150" spans="1:13" s="623" customFormat="1" ht="18" customHeight="1">
      <c r="A150" s="1637"/>
      <c r="F150" s="629"/>
      <c r="G150" s="629"/>
      <c r="H150" s="629"/>
      <c r="I150" s="629"/>
      <c r="L150" s="630"/>
      <c r="M150" s="630"/>
    </row>
    <row r="151" spans="1:13" s="623" customFormat="1" ht="18" customHeight="1">
      <c r="A151" s="1637"/>
      <c r="F151" s="629"/>
      <c r="G151" s="629"/>
      <c r="H151" s="629"/>
      <c r="I151" s="629"/>
      <c r="L151" s="630"/>
      <c r="M151" s="630"/>
    </row>
    <row r="152" spans="1:13" s="623" customFormat="1" ht="18" customHeight="1">
      <c r="A152" s="1637"/>
      <c r="F152" s="629"/>
      <c r="G152" s="629"/>
      <c r="H152" s="629"/>
      <c r="I152" s="629"/>
      <c r="L152" s="630"/>
      <c r="M152" s="630"/>
    </row>
    <row r="153" spans="1:13" s="623" customFormat="1" ht="18" customHeight="1">
      <c r="A153" s="1637"/>
      <c r="F153" s="629"/>
      <c r="G153" s="629"/>
      <c r="H153" s="629"/>
      <c r="I153" s="629"/>
      <c r="L153" s="630"/>
      <c r="M153" s="630"/>
    </row>
    <row r="154" spans="1:13" s="623" customFormat="1" ht="18" customHeight="1">
      <c r="A154" s="1637"/>
      <c r="F154" s="629"/>
      <c r="G154" s="629"/>
      <c r="H154" s="629"/>
      <c r="I154" s="629"/>
      <c r="L154" s="630"/>
      <c r="M154" s="630"/>
    </row>
    <row r="155" spans="1:13" s="623" customFormat="1" ht="18" customHeight="1">
      <c r="A155" s="1637"/>
      <c r="F155" s="629"/>
      <c r="G155" s="629"/>
      <c r="H155" s="629"/>
      <c r="I155" s="629"/>
      <c r="L155" s="630"/>
      <c r="M155" s="630"/>
    </row>
    <row r="156" spans="1:13" s="623" customFormat="1" ht="18" customHeight="1">
      <c r="A156" s="1637"/>
      <c r="F156" s="629"/>
      <c r="G156" s="629"/>
      <c r="H156" s="629"/>
      <c r="I156" s="629"/>
      <c r="L156" s="630"/>
      <c r="M156" s="630"/>
    </row>
    <row r="157" spans="1:13" s="623" customFormat="1" ht="18" customHeight="1">
      <c r="A157" s="1637"/>
      <c r="F157" s="629"/>
      <c r="G157" s="629"/>
      <c r="H157" s="629"/>
      <c r="I157" s="629"/>
      <c r="L157" s="630"/>
      <c r="M157" s="630"/>
    </row>
    <row r="158" spans="1:13" s="623" customFormat="1" ht="18" customHeight="1">
      <c r="A158" s="1637"/>
      <c r="F158" s="629"/>
      <c r="G158" s="629"/>
      <c r="H158" s="629"/>
      <c r="I158" s="629"/>
      <c r="L158" s="630"/>
      <c r="M158" s="630"/>
    </row>
    <row r="159" spans="1:13" s="623" customFormat="1" ht="18" customHeight="1">
      <c r="A159" s="1637"/>
      <c r="F159" s="629"/>
      <c r="G159" s="629"/>
      <c r="H159" s="629"/>
      <c r="I159" s="629"/>
      <c r="L159" s="630"/>
      <c r="M159" s="630"/>
    </row>
    <row r="160" spans="1:13" s="623" customFormat="1" ht="18" customHeight="1">
      <c r="A160" s="1637"/>
      <c r="F160" s="629"/>
      <c r="G160" s="629"/>
      <c r="H160" s="629"/>
      <c r="I160" s="629"/>
      <c r="L160" s="630"/>
      <c r="M160" s="630"/>
    </row>
    <row r="161" spans="1:13" s="623" customFormat="1" ht="18" customHeight="1">
      <c r="A161" s="1637"/>
      <c r="F161" s="629"/>
      <c r="G161" s="629"/>
      <c r="H161" s="629"/>
      <c r="I161" s="629"/>
      <c r="L161" s="630"/>
      <c r="M161" s="630"/>
    </row>
    <row r="162" spans="1:13" s="623" customFormat="1" ht="18" customHeight="1">
      <c r="A162" s="1637"/>
      <c r="F162" s="629"/>
      <c r="G162" s="629"/>
      <c r="H162" s="629"/>
      <c r="I162" s="629"/>
      <c r="L162" s="630"/>
      <c r="M162" s="630"/>
    </row>
    <row r="163" spans="1:13" s="623" customFormat="1" ht="18" customHeight="1">
      <c r="A163" s="1637"/>
      <c r="F163" s="629"/>
      <c r="G163" s="629"/>
      <c r="H163" s="629"/>
      <c r="I163" s="629"/>
      <c r="L163" s="630"/>
      <c r="M163" s="630"/>
    </row>
    <row r="164" spans="1:13" s="623" customFormat="1" ht="18" customHeight="1">
      <c r="A164" s="1637"/>
      <c r="F164" s="629"/>
      <c r="G164" s="629"/>
      <c r="H164" s="629"/>
      <c r="I164" s="629"/>
      <c r="L164" s="630"/>
      <c r="M164" s="630"/>
    </row>
    <row r="165" spans="1:13" s="623" customFormat="1" ht="18" customHeight="1">
      <c r="A165" s="1637"/>
      <c r="F165" s="629"/>
      <c r="G165" s="629"/>
      <c r="H165" s="629"/>
      <c r="I165" s="629"/>
      <c r="L165" s="630"/>
      <c r="M165" s="630"/>
    </row>
    <row r="166" spans="1:13" s="623" customFormat="1" ht="18" customHeight="1">
      <c r="A166" s="1637"/>
      <c r="F166" s="629"/>
      <c r="G166" s="629"/>
      <c r="H166" s="629"/>
      <c r="I166" s="629"/>
      <c r="L166" s="630"/>
      <c r="M166" s="630"/>
    </row>
    <row r="167" spans="1:13" s="623" customFormat="1" ht="18" customHeight="1">
      <c r="A167" s="1637"/>
      <c r="F167" s="629"/>
      <c r="G167" s="629"/>
      <c r="H167" s="629"/>
      <c r="I167" s="629"/>
      <c r="L167" s="630"/>
      <c r="M167" s="630"/>
    </row>
    <row r="168" spans="1:13" s="623" customFormat="1" ht="18" customHeight="1">
      <c r="A168" s="1637"/>
      <c r="F168" s="629"/>
      <c r="G168" s="629"/>
      <c r="H168" s="629"/>
      <c r="I168" s="629"/>
      <c r="L168" s="630"/>
      <c r="M168" s="630"/>
    </row>
    <row r="169" spans="1:13" s="623" customFormat="1" ht="18" customHeight="1">
      <c r="A169" s="1637"/>
      <c r="F169" s="629"/>
      <c r="G169" s="629"/>
      <c r="H169" s="629"/>
      <c r="I169" s="629"/>
      <c r="L169" s="630"/>
      <c r="M169" s="630"/>
    </row>
    <row r="170" spans="1:13" s="623" customFormat="1" ht="18" customHeight="1">
      <c r="A170" s="1637"/>
      <c r="F170" s="629"/>
      <c r="G170" s="629"/>
      <c r="H170" s="629"/>
      <c r="I170" s="629"/>
      <c r="L170" s="630"/>
      <c r="M170" s="630"/>
    </row>
    <row r="171" spans="1:13" s="623" customFormat="1" ht="18" customHeight="1">
      <c r="A171" s="1637"/>
      <c r="F171" s="629"/>
      <c r="G171" s="629"/>
      <c r="H171" s="629"/>
      <c r="I171" s="629"/>
      <c r="L171" s="630"/>
      <c r="M171" s="630"/>
    </row>
    <row r="172" spans="1:13" s="623" customFormat="1" ht="18" customHeight="1">
      <c r="A172" s="1637"/>
      <c r="F172" s="629"/>
      <c r="G172" s="629"/>
      <c r="H172" s="629"/>
      <c r="I172" s="629"/>
      <c r="L172" s="630"/>
      <c r="M172" s="630"/>
    </row>
    <row r="173" spans="1:13" s="623" customFormat="1" ht="18" customHeight="1">
      <c r="A173" s="1637"/>
      <c r="F173" s="629"/>
      <c r="G173" s="629"/>
      <c r="H173" s="629"/>
      <c r="I173" s="629"/>
      <c r="L173" s="630"/>
      <c r="M173" s="630"/>
    </row>
    <row r="174" spans="1:13" s="623" customFormat="1" ht="18" customHeight="1">
      <c r="A174" s="1637"/>
      <c r="F174" s="629"/>
      <c r="G174" s="629"/>
      <c r="H174" s="629"/>
      <c r="I174" s="629"/>
      <c r="L174" s="630"/>
      <c r="M174" s="630"/>
    </row>
    <row r="175" spans="1:13" s="623" customFormat="1" ht="18" customHeight="1">
      <c r="A175" s="1637"/>
      <c r="F175" s="629"/>
      <c r="G175" s="629"/>
      <c r="H175" s="629"/>
      <c r="I175" s="629"/>
      <c r="L175" s="630"/>
      <c r="M175" s="630"/>
    </row>
    <row r="176" spans="1:13" s="623" customFormat="1" ht="18" customHeight="1">
      <c r="A176" s="1637"/>
      <c r="F176" s="629"/>
      <c r="G176" s="629"/>
      <c r="H176" s="629"/>
      <c r="I176" s="629"/>
      <c r="L176" s="630"/>
      <c r="M176" s="630"/>
    </row>
    <row r="177" spans="1:13" s="623" customFormat="1" ht="18" customHeight="1">
      <c r="A177" s="1637"/>
      <c r="F177" s="629"/>
      <c r="G177" s="629"/>
      <c r="H177" s="629"/>
      <c r="I177" s="629"/>
      <c r="L177" s="630"/>
      <c r="M177" s="630"/>
    </row>
    <row r="178" spans="1:13" s="623" customFormat="1" ht="18" customHeight="1">
      <c r="A178" s="1637"/>
      <c r="F178" s="629"/>
      <c r="G178" s="629"/>
      <c r="H178" s="629"/>
      <c r="I178" s="629"/>
      <c r="L178" s="630"/>
      <c r="M178" s="630"/>
    </row>
    <row r="179" spans="1:13" s="623" customFormat="1" ht="18" customHeight="1">
      <c r="A179" s="1637"/>
      <c r="F179" s="629"/>
      <c r="G179" s="629"/>
      <c r="H179" s="629"/>
      <c r="I179" s="629"/>
      <c r="L179" s="630"/>
      <c r="M179" s="630"/>
    </row>
    <row r="180" spans="1:13" s="623" customFormat="1" ht="18" customHeight="1">
      <c r="A180" s="1637"/>
      <c r="F180" s="629"/>
      <c r="G180" s="629"/>
      <c r="H180" s="629"/>
      <c r="I180" s="629"/>
      <c r="L180" s="630"/>
      <c r="M180" s="630"/>
    </row>
    <row r="181" spans="1:13" s="623" customFormat="1" ht="18" customHeight="1">
      <c r="A181" s="1637"/>
      <c r="F181" s="629"/>
      <c r="G181" s="629"/>
      <c r="H181" s="629"/>
      <c r="I181" s="629"/>
      <c r="L181" s="630"/>
      <c r="M181" s="630"/>
    </row>
    <row r="182" spans="1:13" s="623" customFormat="1" ht="18" customHeight="1">
      <c r="A182" s="1637"/>
      <c r="F182" s="629"/>
      <c r="G182" s="629"/>
      <c r="H182" s="629"/>
      <c r="I182" s="629"/>
      <c r="L182" s="630"/>
      <c r="M182" s="630"/>
    </row>
    <row r="183" spans="1:13" s="623" customFormat="1" ht="18" customHeight="1">
      <c r="A183" s="1637"/>
      <c r="F183" s="629"/>
      <c r="G183" s="629"/>
      <c r="H183" s="629"/>
      <c r="I183" s="629"/>
      <c r="L183" s="630"/>
      <c r="M183" s="630"/>
    </row>
    <row r="184" spans="1:13" s="623" customFormat="1" ht="18" customHeight="1">
      <c r="A184" s="1637"/>
      <c r="F184" s="629"/>
      <c r="G184" s="629"/>
      <c r="H184" s="629"/>
      <c r="I184" s="629"/>
      <c r="L184" s="630"/>
      <c r="M184" s="630"/>
    </row>
    <row r="185" spans="1:13" s="623" customFormat="1" ht="18" customHeight="1">
      <c r="A185" s="1637"/>
      <c r="F185" s="629"/>
      <c r="G185" s="629"/>
      <c r="H185" s="629"/>
      <c r="I185" s="629"/>
      <c r="L185" s="630"/>
      <c r="M185" s="630"/>
    </row>
    <row r="186" spans="1:13" s="623" customFormat="1" ht="18" customHeight="1">
      <c r="A186" s="1637"/>
      <c r="F186" s="629"/>
      <c r="G186" s="629"/>
      <c r="H186" s="629"/>
      <c r="I186" s="629"/>
      <c r="L186" s="630"/>
      <c r="M186" s="630"/>
    </row>
    <row r="187" spans="1:13" s="623" customFormat="1" ht="18" customHeight="1">
      <c r="A187" s="1637"/>
      <c r="F187" s="629"/>
      <c r="G187" s="629"/>
      <c r="H187" s="629"/>
      <c r="I187" s="629"/>
      <c r="L187" s="630"/>
      <c r="M187" s="630"/>
    </row>
    <row r="188" spans="1:13" s="623" customFormat="1" ht="18" customHeight="1">
      <c r="A188" s="1637"/>
      <c r="F188" s="629"/>
      <c r="G188" s="629"/>
      <c r="H188" s="629"/>
      <c r="I188" s="629"/>
      <c r="L188" s="630"/>
      <c r="M188" s="630"/>
    </row>
    <row r="189" spans="1:13" s="623" customFormat="1" ht="18" customHeight="1">
      <c r="A189" s="1637"/>
      <c r="F189" s="629"/>
      <c r="G189" s="629"/>
      <c r="H189" s="629"/>
      <c r="I189" s="629"/>
      <c r="L189" s="630"/>
      <c r="M189" s="630"/>
    </row>
    <row r="190" spans="1:13" s="623" customFormat="1" ht="18" customHeight="1">
      <c r="A190" s="1637"/>
      <c r="F190" s="629"/>
      <c r="G190" s="629"/>
      <c r="H190" s="629"/>
      <c r="I190" s="629"/>
      <c r="L190" s="630"/>
      <c r="M190" s="630"/>
    </row>
    <row r="191" spans="1:13" s="623" customFormat="1" ht="18" customHeight="1">
      <c r="A191" s="1637"/>
      <c r="F191" s="629"/>
      <c r="G191" s="629"/>
      <c r="H191" s="629"/>
      <c r="I191" s="629"/>
      <c r="L191" s="630"/>
      <c r="M191" s="630"/>
    </row>
    <row r="192" spans="1:13" s="623" customFormat="1" ht="18" customHeight="1">
      <c r="A192" s="1637"/>
      <c r="F192" s="629"/>
      <c r="G192" s="629"/>
      <c r="H192" s="629"/>
      <c r="I192" s="629"/>
      <c r="L192" s="630"/>
      <c r="M192" s="630"/>
    </row>
    <row r="193" spans="1:13" s="623" customFormat="1" ht="18" customHeight="1">
      <c r="A193" s="1637"/>
      <c r="F193" s="629"/>
      <c r="G193" s="629"/>
      <c r="H193" s="629"/>
      <c r="I193" s="629"/>
      <c r="L193" s="630"/>
      <c r="M193" s="630"/>
    </row>
    <row r="194" spans="1:13" s="623" customFormat="1" ht="18" customHeight="1">
      <c r="A194" s="1637"/>
      <c r="F194" s="629"/>
      <c r="G194" s="629"/>
      <c r="H194" s="629"/>
      <c r="I194" s="629"/>
      <c r="L194" s="630"/>
      <c r="M194" s="630"/>
    </row>
    <row r="195" spans="1:13" s="623" customFormat="1" ht="18" customHeight="1">
      <c r="A195" s="1637"/>
      <c r="F195" s="629"/>
      <c r="G195" s="629"/>
      <c r="H195" s="629"/>
      <c r="I195" s="629"/>
      <c r="L195" s="630"/>
      <c r="M195" s="630"/>
    </row>
    <row r="196" spans="1:13" s="623" customFormat="1" ht="18" customHeight="1">
      <c r="A196" s="1637"/>
      <c r="F196" s="629"/>
      <c r="G196" s="629"/>
      <c r="H196" s="629"/>
      <c r="I196" s="629"/>
      <c r="L196" s="630"/>
      <c r="M196" s="630"/>
    </row>
    <row r="197" spans="1:13" s="623" customFormat="1" ht="18" customHeight="1">
      <c r="A197" s="1637"/>
      <c r="F197" s="629"/>
      <c r="G197" s="629"/>
      <c r="H197" s="629"/>
      <c r="I197" s="629"/>
      <c r="L197" s="630"/>
      <c r="M197" s="630"/>
    </row>
    <row r="198" spans="1:13" s="623" customFormat="1" ht="18" customHeight="1">
      <c r="A198" s="1637"/>
      <c r="F198" s="629"/>
      <c r="G198" s="629"/>
      <c r="H198" s="629"/>
      <c r="I198" s="629"/>
      <c r="L198" s="630"/>
      <c r="M198" s="630"/>
    </row>
    <row r="199" spans="1:13" s="623" customFormat="1" ht="18" customHeight="1">
      <c r="A199" s="1637"/>
      <c r="F199" s="629"/>
      <c r="G199" s="629"/>
      <c r="H199" s="629"/>
      <c r="I199" s="629"/>
      <c r="L199" s="630"/>
      <c r="M199" s="630"/>
    </row>
    <row r="200" spans="1:13" s="623" customFormat="1" ht="18" customHeight="1">
      <c r="A200" s="1637"/>
      <c r="F200" s="629"/>
      <c r="G200" s="629"/>
      <c r="H200" s="629"/>
      <c r="I200" s="629"/>
      <c r="L200" s="630"/>
      <c r="M200" s="630"/>
    </row>
    <row r="201" spans="1:13" s="623" customFormat="1" ht="18" customHeight="1">
      <c r="A201" s="1637"/>
      <c r="F201" s="629"/>
      <c r="G201" s="629"/>
      <c r="H201" s="629"/>
      <c r="I201" s="629"/>
      <c r="L201" s="630"/>
      <c r="M201" s="630"/>
    </row>
    <row r="202" spans="1:13" s="623" customFormat="1" ht="18" customHeight="1">
      <c r="A202" s="1637"/>
      <c r="F202" s="629"/>
      <c r="G202" s="629"/>
      <c r="H202" s="629"/>
      <c r="I202" s="629"/>
      <c r="L202" s="630"/>
      <c r="M202" s="630"/>
    </row>
    <row r="203" spans="1:13" s="623" customFormat="1" ht="18" customHeight="1">
      <c r="A203" s="1637"/>
      <c r="F203" s="629"/>
      <c r="G203" s="629"/>
      <c r="H203" s="629"/>
      <c r="I203" s="629"/>
      <c r="L203" s="630"/>
      <c r="M203" s="630"/>
    </row>
    <row r="204" spans="1:13" s="623" customFormat="1" ht="18" customHeight="1">
      <c r="A204" s="1637"/>
      <c r="F204" s="629"/>
      <c r="G204" s="629"/>
      <c r="H204" s="629"/>
      <c r="I204" s="629"/>
      <c r="L204" s="630"/>
      <c r="M204" s="630"/>
    </row>
    <row r="205" spans="1:13" s="623" customFormat="1" ht="18" customHeight="1">
      <c r="A205" s="1637"/>
      <c r="F205" s="629"/>
      <c r="G205" s="629"/>
      <c r="H205" s="629"/>
      <c r="I205" s="629"/>
      <c r="L205" s="630"/>
      <c r="M205" s="630"/>
    </row>
    <row r="206" spans="1:13" s="623" customFormat="1" ht="18" customHeight="1">
      <c r="A206" s="1637"/>
      <c r="F206" s="629"/>
      <c r="G206" s="629"/>
      <c r="H206" s="629"/>
      <c r="I206" s="629"/>
      <c r="L206" s="630"/>
      <c r="M206" s="630"/>
    </row>
    <row r="207" spans="1:13" s="623" customFormat="1" ht="18" customHeight="1">
      <c r="A207" s="1637"/>
      <c r="F207" s="629"/>
      <c r="G207" s="629"/>
      <c r="H207" s="629"/>
      <c r="I207" s="629"/>
      <c r="L207" s="630"/>
      <c r="M207" s="630"/>
    </row>
    <row r="208" spans="1:13" s="623" customFormat="1" ht="18" customHeight="1">
      <c r="A208" s="1637"/>
      <c r="F208" s="629"/>
      <c r="G208" s="629"/>
      <c r="H208" s="629"/>
      <c r="I208" s="629"/>
      <c r="L208" s="630"/>
      <c r="M208" s="630"/>
    </row>
    <row r="209" spans="1:13" s="623" customFormat="1" ht="18" customHeight="1">
      <c r="A209" s="1637"/>
      <c r="F209" s="629"/>
      <c r="G209" s="629"/>
      <c r="H209" s="629"/>
      <c r="I209" s="629"/>
      <c r="L209" s="630"/>
      <c r="M209" s="630"/>
    </row>
    <row r="210" spans="1:13" s="623" customFormat="1" ht="18" customHeight="1">
      <c r="A210" s="1637"/>
      <c r="F210" s="629"/>
      <c r="G210" s="629"/>
      <c r="H210" s="629"/>
      <c r="I210" s="629"/>
      <c r="L210" s="630"/>
      <c r="M210" s="630"/>
    </row>
    <row r="211" spans="1:13" s="623" customFormat="1" ht="18" customHeight="1">
      <c r="A211" s="1637"/>
      <c r="F211" s="629"/>
      <c r="G211" s="629"/>
      <c r="H211" s="629"/>
      <c r="I211" s="629"/>
      <c r="L211" s="630"/>
      <c r="M211" s="630"/>
    </row>
    <row r="212" spans="1:13" s="623" customFormat="1" ht="18" customHeight="1">
      <c r="A212" s="1637"/>
      <c r="F212" s="629"/>
      <c r="G212" s="629"/>
      <c r="H212" s="629"/>
      <c r="I212" s="629"/>
      <c r="L212" s="630"/>
      <c r="M212" s="630"/>
    </row>
    <row r="213" spans="1:13" s="623" customFormat="1" ht="18" customHeight="1">
      <c r="A213" s="1637"/>
      <c r="F213" s="629"/>
      <c r="G213" s="629"/>
      <c r="H213" s="629"/>
      <c r="I213" s="629"/>
      <c r="L213" s="630"/>
      <c r="M213" s="630"/>
    </row>
    <row r="214" spans="1:13" s="623" customFormat="1" ht="18" customHeight="1">
      <c r="A214" s="1637"/>
      <c r="F214" s="629"/>
      <c r="G214" s="629"/>
      <c r="H214" s="629"/>
      <c r="I214" s="629"/>
      <c r="L214" s="630"/>
      <c r="M214" s="630"/>
    </row>
    <row r="215" spans="1:13" s="623" customFormat="1" ht="18" customHeight="1">
      <c r="A215" s="1637"/>
      <c r="F215" s="629"/>
      <c r="G215" s="629"/>
      <c r="H215" s="629"/>
      <c r="I215" s="629"/>
      <c r="L215" s="630"/>
      <c r="M215" s="630"/>
    </row>
    <row r="216" spans="1:13" s="623" customFormat="1" ht="18" customHeight="1">
      <c r="A216" s="1637"/>
      <c r="F216" s="629"/>
      <c r="G216" s="629"/>
      <c r="H216" s="629"/>
      <c r="I216" s="629"/>
      <c r="L216" s="630"/>
      <c r="M216" s="630"/>
    </row>
    <row r="217" spans="1:13" s="623" customFormat="1" ht="18" customHeight="1">
      <c r="A217" s="1637"/>
      <c r="F217" s="629"/>
      <c r="G217" s="629"/>
      <c r="H217" s="629"/>
      <c r="I217" s="629"/>
      <c r="L217" s="630"/>
      <c r="M217" s="630"/>
    </row>
    <row r="218" spans="1:13" s="623" customFormat="1" ht="18" customHeight="1">
      <c r="A218" s="1637"/>
      <c r="F218" s="629"/>
      <c r="G218" s="629"/>
      <c r="H218" s="629"/>
      <c r="I218" s="629"/>
      <c r="L218" s="630"/>
      <c r="M218" s="630"/>
    </row>
    <row r="219" spans="1:13" s="623" customFormat="1" ht="18" customHeight="1">
      <c r="A219" s="1637"/>
      <c r="F219" s="629"/>
      <c r="G219" s="629"/>
      <c r="H219" s="629"/>
      <c r="I219" s="629"/>
      <c r="L219" s="630"/>
      <c r="M219" s="630"/>
    </row>
    <row r="220" spans="1:13" s="623" customFormat="1" ht="18" customHeight="1">
      <c r="A220" s="1637"/>
      <c r="F220" s="629"/>
      <c r="G220" s="629"/>
      <c r="H220" s="629"/>
      <c r="I220" s="629"/>
      <c r="L220" s="630"/>
      <c r="M220" s="630"/>
    </row>
    <row r="221" spans="1:13" s="623" customFormat="1" ht="18" customHeight="1">
      <c r="A221" s="1637"/>
      <c r="F221" s="629"/>
      <c r="G221" s="629"/>
      <c r="H221" s="629"/>
      <c r="I221" s="629"/>
      <c r="L221" s="630"/>
      <c r="M221" s="630"/>
    </row>
    <row r="222" spans="1:13" s="623" customFormat="1" ht="18" customHeight="1">
      <c r="A222" s="1637"/>
      <c r="F222" s="629"/>
      <c r="G222" s="629"/>
      <c r="H222" s="629"/>
      <c r="I222" s="629"/>
      <c r="L222" s="630"/>
      <c r="M222" s="630"/>
    </row>
    <row r="223" spans="1:13" s="623" customFormat="1" ht="18" customHeight="1">
      <c r="A223" s="1637"/>
      <c r="F223" s="629"/>
      <c r="G223" s="629"/>
      <c r="H223" s="629"/>
      <c r="I223" s="629"/>
      <c r="L223" s="630"/>
      <c r="M223" s="630"/>
    </row>
    <row r="224" spans="1:13" s="623" customFormat="1" ht="18" customHeight="1">
      <c r="A224" s="1637"/>
      <c r="F224" s="629"/>
      <c r="G224" s="629"/>
      <c r="H224" s="629"/>
      <c r="I224" s="629"/>
      <c r="L224" s="630"/>
      <c r="M224" s="630"/>
    </row>
    <row r="225" spans="1:13" s="623" customFormat="1" ht="18" customHeight="1">
      <c r="A225" s="1637"/>
      <c r="F225" s="629"/>
      <c r="G225" s="629"/>
      <c r="H225" s="629"/>
      <c r="I225" s="629"/>
      <c r="L225" s="630"/>
      <c r="M225" s="630"/>
    </row>
    <row r="226" spans="1:13" s="623" customFormat="1" ht="18" customHeight="1">
      <c r="A226" s="1637"/>
      <c r="F226" s="629"/>
      <c r="G226" s="629"/>
      <c r="H226" s="629"/>
      <c r="I226" s="629"/>
      <c r="L226" s="630"/>
      <c r="M226" s="630"/>
    </row>
    <row r="227" spans="1:13" s="623" customFormat="1" ht="18" customHeight="1">
      <c r="A227" s="1637"/>
      <c r="F227" s="629"/>
      <c r="G227" s="629"/>
      <c r="H227" s="629"/>
      <c r="I227" s="629"/>
      <c r="L227" s="630"/>
      <c r="M227" s="630"/>
    </row>
    <row r="228" spans="1:13" s="623" customFormat="1" ht="18" customHeight="1">
      <c r="A228" s="1637"/>
      <c r="F228" s="629"/>
      <c r="G228" s="629"/>
      <c r="H228" s="629"/>
      <c r="I228" s="629"/>
      <c r="L228" s="630"/>
      <c r="M228" s="630"/>
    </row>
    <row r="229" spans="1:13" s="623" customFormat="1" ht="18" customHeight="1">
      <c r="A229" s="1637"/>
      <c r="F229" s="629"/>
      <c r="G229" s="629"/>
      <c r="H229" s="629"/>
      <c r="I229" s="629"/>
      <c r="L229" s="630"/>
      <c r="M229" s="630"/>
    </row>
    <row r="230" spans="1:13" s="623" customFormat="1" ht="18" customHeight="1">
      <c r="A230" s="1637"/>
      <c r="F230" s="629"/>
      <c r="G230" s="629"/>
      <c r="H230" s="629"/>
      <c r="I230" s="629"/>
      <c r="L230" s="630"/>
      <c r="M230" s="630"/>
    </row>
    <row r="231" spans="1:13" s="623" customFormat="1" ht="18" customHeight="1">
      <c r="A231" s="1637"/>
      <c r="F231" s="629"/>
      <c r="G231" s="629"/>
      <c r="H231" s="629"/>
      <c r="I231" s="629"/>
      <c r="L231" s="630"/>
      <c r="M231" s="630"/>
    </row>
    <row r="232" spans="1:13" s="623" customFormat="1" ht="18" customHeight="1">
      <c r="A232" s="1637"/>
      <c r="F232" s="629"/>
      <c r="G232" s="629"/>
      <c r="H232" s="629"/>
      <c r="I232" s="629"/>
      <c r="L232" s="630"/>
      <c r="M232" s="630"/>
    </row>
    <row r="233" spans="1:13" s="623" customFormat="1" ht="18" customHeight="1">
      <c r="A233" s="1637"/>
      <c r="F233" s="629"/>
      <c r="G233" s="629"/>
      <c r="H233" s="629"/>
      <c r="I233" s="629"/>
      <c r="L233" s="630"/>
      <c r="M233" s="630"/>
    </row>
    <row r="234" spans="1:13" s="623" customFormat="1" ht="18" customHeight="1">
      <c r="A234" s="1637"/>
      <c r="F234" s="629"/>
      <c r="G234" s="629"/>
      <c r="H234" s="629"/>
      <c r="I234" s="629"/>
      <c r="L234" s="630"/>
      <c r="M234" s="630"/>
    </row>
    <row r="235" spans="1:13" s="623" customFormat="1" ht="18" customHeight="1">
      <c r="A235" s="1637"/>
      <c r="F235" s="629"/>
      <c r="G235" s="629"/>
      <c r="H235" s="629"/>
      <c r="I235" s="629"/>
      <c r="L235" s="630"/>
      <c r="M235" s="630"/>
    </row>
    <row r="236" spans="1:13" s="623" customFormat="1" ht="18" customHeight="1">
      <c r="A236" s="1637"/>
      <c r="F236" s="629"/>
      <c r="G236" s="629"/>
      <c r="H236" s="629"/>
      <c r="I236" s="629"/>
      <c r="L236" s="630"/>
      <c r="M236" s="630"/>
    </row>
    <row r="237" spans="1:13" s="623" customFormat="1" ht="18" customHeight="1">
      <c r="A237" s="1637"/>
      <c r="F237" s="629"/>
      <c r="G237" s="629"/>
      <c r="H237" s="629"/>
      <c r="I237" s="629"/>
      <c r="L237" s="630"/>
      <c r="M237" s="630"/>
    </row>
    <row r="238" spans="1:13" s="623" customFormat="1" ht="18" customHeight="1">
      <c r="A238" s="1637"/>
      <c r="F238" s="629"/>
      <c r="G238" s="629"/>
      <c r="H238" s="629"/>
      <c r="I238" s="629"/>
      <c r="L238" s="630"/>
      <c r="M238" s="630"/>
    </row>
    <row r="239" spans="1:13" s="623" customFormat="1" ht="18" customHeight="1">
      <c r="A239" s="1637"/>
      <c r="F239" s="629"/>
      <c r="G239" s="629"/>
      <c r="H239" s="629"/>
      <c r="I239" s="629"/>
      <c r="L239" s="630"/>
      <c r="M239" s="630"/>
    </row>
    <row r="240" spans="1:13" s="623" customFormat="1" ht="18" customHeight="1">
      <c r="A240" s="1637"/>
      <c r="F240" s="629"/>
      <c r="G240" s="629"/>
      <c r="H240" s="629"/>
      <c r="I240" s="629"/>
      <c r="L240" s="630"/>
      <c r="M240" s="630"/>
    </row>
    <row r="241" spans="1:13" s="623" customFormat="1" ht="18" customHeight="1">
      <c r="A241" s="1637"/>
      <c r="F241" s="629"/>
      <c r="G241" s="629"/>
      <c r="H241" s="629"/>
      <c r="I241" s="629"/>
      <c r="L241" s="630"/>
      <c r="M241" s="630"/>
    </row>
    <row r="242" spans="1:13" s="623" customFormat="1" ht="18" customHeight="1">
      <c r="A242" s="1637"/>
      <c r="F242" s="629"/>
      <c r="G242" s="629"/>
      <c r="H242" s="629"/>
      <c r="I242" s="629"/>
      <c r="L242" s="630"/>
      <c r="M242" s="630"/>
    </row>
    <row r="243" spans="1:13" s="623" customFormat="1" ht="18" customHeight="1">
      <c r="A243" s="1637"/>
      <c r="F243" s="629"/>
      <c r="G243" s="629"/>
      <c r="H243" s="629"/>
      <c r="I243" s="629"/>
      <c r="L243" s="630"/>
      <c r="M243" s="630"/>
    </row>
    <row r="244" spans="1:13" s="623" customFormat="1" ht="18" customHeight="1">
      <c r="A244" s="1637"/>
      <c r="F244" s="629"/>
      <c r="G244" s="629"/>
      <c r="H244" s="629"/>
      <c r="I244" s="629"/>
      <c r="L244" s="630"/>
      <c r="M244" s="630"/>
    </row>
    <row r="245" spans="1:13" s="623" customFormat="1" ht="18" customHeight="1">
      <c r="A245" s="1637"/>
      <c r="F245" s="629"/>
      <c r="G245" s="629"/>
      <c r="H245" s="629"/>
      <c r="I245" s="629"/>
      <c r="L245" s="630"/>
      <c r="M245" s="630"/>
    </row>
    <row r="246" spans="1:13" s="623" customFormat="1" ht="18" customHeight="1">
      <c r="A246" s="1637"/>
      <c r="F246" s="629"/>
      <c r="G246" s="629"/>
      <c r="H246" s="629"/>
      <c r="I246" s="629"/>
      <c r="L246" s="630"/>
      <c r="M246" s="630"/>
    </row>
    <row r="247" spans="1:13" s="623" customFormat="1" ht="18" customHeight="1">
      <c r="A247" s="1637"/>
      <c r="F247" s="629"/>
      <c r="G247" s="629"/>
      <c r="H247" s="629"/>
      <c r="I247" s="629"/>
      <c r="L247" s="630"/>
      <c r="M247" s="630"/>
    </row>
    <row r="248" spans="1:13" s="623" customFormat="1" ht="18" customHeight="1">
      <c r="A248" s="1637"/>
      <c r="F248" s="629"/>
      <c r="G248" s="629"/>
      <c r="H248" s="629"/>
      <c r="I248" s="629"/>
      <c r="L248" s="630"/>
      <c r="M248" s="630"/>
    </row>
    <row r="249" spans="1:13" s="623" customFormat="1" ht="18" customHeight="1">
      <c r="A249" s="1637"/>
      <c r="F249" s="629"/>
      <c r="G249" s="629"/>
      <c r="H249" s="629"/>
      <c r="I249" s="629"/>
      <c r="L249" s="630"/>
      <c r="M249" s="630"/>
    </row>
    <row r="250" spans="1:13" s="623" customFormat="1" ht="18" customHeight="1">
      <c r="A250" s="1637"/>
      <c r="F250" s="629"/>
      <c r="G250" s="629"/>
      <c r="H250" s="629"/>
      <c r="I250" s="629"/>
      <c r="L250" s="630"/>
      <c r="M250" s="630"/>
    </row>
    <row r="251" spans="1:13" s="623" customFormat="1" ht="18" customHeight="1">
      <c r="A251" s="1637"/>
      <c r="F251" s="629"/>
      <c r="G251" s="629"/>
      <c r="H251" s="629"/>
      <c r="I251" s="629"/>
      <c r="L251" s="630"/>
      <c r="M251" s="630"/>
    </row>
    <row r="252" spans="1:13" s="623" customFormat="1" ht="18" customHeight="1">
      <c r="A252" s="1637"/>
      <c r="F252" s="629"/>
      <c r="G252" s="629"/>
      <c r="H252" s="629"/>
      <c r="I252" s="629"/>
      <c r="L252" s="630"/>
      <c r="M252" s="630"/>
    </row>
    <row r="253" spans="1:13" s="623" customFormat="1" ht="18" customHeight="1">
      <c r="A253" s="1637"/>
      <c r="F253" s="629"/>
      <c r="G253" s="629"/>
      <c r="H253" s="629"/>
      <c r="I253" s="629"/>
      <c r="L253" s="630"/>
      <c r="M253" s="630"/>
    </row>
    <row r="254" spans="1:13" s="623" customFormat="1" ht="18" customHeight="1">
      <c r="A254" s="1637"/>
      <c r="F254" s="629"/>
      <c r="G254" s="629"/>
      <c r="H254" s="629"/>
      <c r="I254" s="629"/>
      <c r="L254" s="630"/>
      <c r="M254" s="630"/>
    </row>
    <row r="255" spans="1:13" s="623" customFormat="1" ht="18" customHeight="1">
      <c r="A255" s="1637"/>
      <c r="F255" s="629"/>
      <c r="G255" s="629"/>
      <c r="H255" s="629"/>
      <c r="I255" s="629"/>
      <c r="L255" s="630"/>
      <c r="M255" s="630"/>
    </row>
    <row r="256" spans="1:13" s="623" customFormat="1" ht="18" customHeight="1">
      <c r="A256" s="1637"/>
      <c r="F256" s="629"/>
      <c r="G256" s="629"/>
      <c r="H256" s="629"/>
      <c r="I256" s="629"/>
      <c r="L256" s="630"/>
      <c r="M256" s="630"/>
    </row>
    <row r="257" spans="1:13" s="623" customFormat="1" ht="18" customHeight="1">
      <c r="A257" s="1637"/>
      <c r="F257" s="629"/>
      <c r="G257" s="629"/>
      <c r="H257" s="629"/>
      <c r="I257" s="629"/>
      <c r="L257" s="630"/>
      <c r="M257" s="630"/>
    </row>
    <row r="258" spans="1:13" s="623" customFormat="1" ht="18" customHeight="1">
      <c r="A258" s="1637"/>
      <c r="F258" s="629"/>
      <c r="G258" s="629"/>
      <c r="H258" s="629"/>
      <c r="I258" s="629"/>
      <c r="L258" s="630"/>
      <c r="M258" s="630"/>
    </row>
    <row r="259" spans="1:13" s="623" customFormat="1" ht="18" customHeight="1">
      <c r="A259" s="1637"/>
      <c r="F259" s="629"/>
      <c r="G259" s="629"/>
      <c r="H259" s="629"/>
      <c r="I259" s="629"/>
      <c r="L259" s="630"/>
      <c r="M259" s="630"/>
    </row>
    <row r="260" spans="1:13" s="623" customFormat="1" ht="18" customHeight="1">
      <c r="A260" s="1637"/>
      <c r="F260" s="629"/>
      <c r="G260" s="629"/>
      <c r="H260" s="629"/>
      <c r="I260" s="629"/>
      <c r="L260" s="630"/>
      <c r="M260" s="630"/>
    </row>
    <row r="261" spans="1:13" s="623" customFormat="1" ht="18" customHeight="1">
      <c r="A261" s="1637"/>
      <c r="F261" s="629"/>
      <c r="G261" s="629"/>
      <c r="H261" s="629"/>
      <c r="I261" s="629"/>
      <c r="L261" s="630"/>
      <c r="M261" s="630"/>
    </row>
    <row r="262" spans="1:13" s="623" customFormat="1" ht="18" customHeight="1">
      <c r="A262" s="1637"/>
      <c r="F262" s="629"/>
      <c r="G262" s="629"/>
      <c r="H262" s="629"/>
      <c r="I262" s="629"/>
      <c r="L262" s="630"/>
      <c r="M262" s="630"/>
    </row>
    <row r="263" spans="1:13" s="623" customFormat="1" ht="18" customHeight="1">
      <c r="A263" s="1637"/>
      <c r="F263" s="629"/>
      <c r="G263" s="629"/>
      <c r="H263" s="629"/>
      <c r="I263" s="629"/>
      <c r="L263" s="630"/>
      <c r="M263" s="630"/>
    </row>
    <row r="264" spans="1:13" s="623" customFormat="1" ht="18" customHeight="1">
      <c r="A264" s="1637"/>
      <c r="F264" s="629"/>
      <c r="G264" s="629"/>
      <c r="H264" s="629"/>
      <c r="I264" s="629"/>
      <c r="L264" s="630"/>
      <c r="M264" s="630"/>
    </row>
    <row r="265" spans="1:13" s="623" customFormat="1" ht="18" customHeight="1">
      <c r="A265" s="1637"/>
      <c r="F265" s="629"/>
      <c r="G265" s="629"/>
      <c r="H265" s="629"/>
      <c r="I265" s="629"/>
      <c r="L265" s="630"/>
      <c r="M265" s="630"/>
    </row>
    <row r="266" spans="1:13" s="623" customFormat="1" ht="18" customHeight="1">
      <c r="A266" s="1637"/>
      <c r="F266" s="629"/>
      <c r="G266" s="629"/>
      <c r="H266" s="629"/>
      <c r="I266" s="629"/>
      <c r="L266" s="630"/>
      <c r="M266" s="630"/>
    </row>
    <row r="267" spans="1:13" s="623" customFormat="1" ht="18" customHeight="1">
      <c r="A267" s="1637"/>
      <c r="F267" s="629"/>
      <c r="G267" s="629"/>
      <c r="H267" s="629"/>
      <c r="I267" s="629"/>
      <c r="L267" s="630"/>
      <c r="M267" s="630"/>
    </row>
    <row r="268" spans="1:13" s="623" customFormat="1" ht="18" customHeight="1">
      <c r="A268" s="1637"/>
      <c r="F268" s="629"/>
      <c r="G268" s="629"/>
      <c r="H268" s="629"/>
      <c r="I268" s="629"/>
      <c r="L268" s="630"/>
      <c r="M268" s="630"/>
    </row>
    <row r="269" spans="1:13" s="623" customFormat="1" ht="18" customHeight="1">
      <c r="A269" s="1637"/>
      <c r="F269" s="629"/>
      <c r="G269" s="629"/>
      <c r="H269" s="629"/>
      <c r="I269" s="629"/>
      <c r="L269" s="630"/>
      <c r="M269" s="630"/>
    </row>
    <row r="270" spans="1:13" s="623" customFormat="1" ht="18" customHeight="1">
      <c r="A270" s="1637"/>
      <c r="F270" s="629"/>
      <c r="G270" s="629"/>
      <c r="H270" s="629"/>
      <c r="I270" s="629"/>
      <c r="L270" s="630"/>
      <c r="M270" s="630"/>
    </row>
    <row r="271" spans="1:13" s="623" customFormat="1" ht="18" customHeight="1">
      <c r="A271" s="1637"/>
      <c r="F271" s="629"/>
      <c r="G271" s="629"/>
      <c r="H271" s="629"/>
      <c r="I271" s="629"/>
      <c r="L271" s="630"/>
      <c r="M271" s="630"/>
    </row>
    <row r="272" spans="1:13" s="623" customFormat="1" ht="18" customHeight="1">
      <c r="A272" s="1637"/>
      <c r="F272" s="629"/>
      <c r="G272" s="629"/>
      <c r="H272" s="629"/>
      <c r="I272" s="629"/>
      <c r="L272" s="630"/>
      <c r="M272" s="630"/>
    </row>
    <row r="273" spans="1:13" s="623" customFormat="1" ht="18" customHeight="1">
      <c r="A273" s="1637"/>
      <c r="F273" s="629"/>
      <c r="G273" s="629"/>
      <c r="H273" s="629"/>
      <c r="I273" s="629"/>
      <c r="L273" s="630"/>
      <c r="M273" s="630"/>
    </row>
    <row r="274" spans="1:13" s="623" customFormat="1" ht="18" customHeight="1">
      <c r="A274" s="1637"/>
      <c r="F274" s="629"/>
      <c r="G274" s="629"/>
      <c r="H274" s="629"/>
      <c r="I274" s="629"/>
      <c r="L274" s="630"/>
      <c r="M274" s="630"/>
    </row>
    <row r="275" spans="1:13" s="623" customFormat="1" ht="18" customHeight="1">
      <c r="A275" s="1637"/>
      <c r="F275" s="629"/>
      <c r="G275" s="629"/>
      <c r="H275" s="629"/>
      <c r="I275" s="629"/>
      <c r="L275" s="630"/>
      <c r="M275" s="630"/>
    </row>
    <row r="276" spans="1:13" s="623" customFormat="1" ht="18" customHeight="1">
      <c r="A276" s="1637"/>
      <c r="F276" s="629"/>
      <c r="G276" s="629"/>
      <c r="H276" s="629"/>
      <c r="I276" s="629"/>
      <c r="L276" s="630"/>
      <c r="M276" s="630"/>
    </row>
    <row r="277" spans="1:13" s="623" customFormat="1" ht="18" customHeight="1">
      <c r="A277" s="1637"/>
      <c r="F277" s="629"/>
      <c r="G277" s="629"/>
      <c r="H277" s="629"/>
      <c r="I277" s="629"/>
      <c r="L277" s="630"/>
      <c r="M277" s="630"/>
    </row>
    <row r="278" spans="1:13" s="623" customFormat="1" ht="18" customHeight="1">
      <c r="A278" s="1637"/>
      <c r="F278" s="629"/>
      <c r="G278" s="629"/>
      <c r="H278" s="629"/>
      <c r="I278" s="629"/>
      <c r="L278" s="630"/>
      <c r="M278" s="630"/>
    </row>
    <row r="279" spans="1:13" s="623" customFormat="1" ht="18" customHeight="1">
      <c r="A279" s="1637"/>
      <c r="F279" s="629"/>
      <c r="G279" s="629"/>
      <c r="H279" s="629"/>
      <c r="I279" s="629"/>
      <c r="L279" s="630"/>
      <c r="M279" s="630"/>
    </row>
    <row r="280" spans="1:13" s="623" customFormat="1" ht="18" customHeight="1">
      <c r="A280" s="1637"/>
      <c r="F280" s="629"/>
      <c r="G280" s="629"/>
      <c r="H280" s="629"/>
      <c r="I280" s="629"/>
      <c r="L280" s="630"/>
      <c r="M280" s="630"/>
    </row>
    <row r="281" spans="1:13" s="623" customFormat="1" ht="18" customHeight="1">
      <c r="A281" s="1637"/>
      <c r="F281" s="629"/>
      <c r="G281" s="629"/>
      <c r="H281" s="629"/>
      <c r="I281" s="629"/>
      <c r="L281" s="630"/>
      <c r="M281" s="630"/>
    </row>
    <row r="282" spans="1:13" s="623" customFormat="1" ht="18" customHeight="1">
      <c r="A282" s="1637"/>
      <c r="F282" s="629"/>
      <c r="G282" s="629"/>
      <c r="H282" s="629"/>
      <c r="I282" s="629"/>
      <c r="L282" s="630"/>
      <c r="M282" s="630"/>
    </row>
    <row r="283" spans="1:13" s="623" customFormat="1" ht="18" customHeight="1">
      <c r="A283" s="1637"/>
      <c r="F283" s="629"/>
      <c r="G283" s="629"/>
      <c r="H283" s="629"/>
      <c r="I283" s="629"/>
      <c r="L283" s="630"/>
      <c r="M283" s="630"/>
    </row>
    <row r="284" spans="1:13" s="623" customFormat="1" ht="18" customHeight="1">
      <c r="A284" s="1637"/>
      <c r="F284" s="629"/>
      <c r="G284" s="629"/>
      <c r="H284" s="629"/>
      <c r="I284" s="629"/>
      <c r="L284" s="630"/>
      <c r="M284" s="630"/>
    </row>
    <row r="285" spans="1:13" s="623" customFormat="1" ht="18" customHeight="1">
      <c r="A285" s="1637"/>
      <c r="F285" s="629"/>
      <c r="G285" s="629"/>
      <c r="H285" s="629"/>
      <c r="I285" s="629"/>
      <c r="L285" s="630"/>
      <c r="M285" s="630"/>
    </row>
    <row r="286" spans="1:13" s="623" customFormat="1" ht="18" customHeight="1">
      <c r="A286" s="1637"/>
      <c r="F286" s="629"/>
      <c r="G286" s="629"/>
      <c r="H286" s="629"/>
      <c r="I286" s="629"/>
      <c r="L286" s="630"/>
      <c r="M286" s="630"/>
    </row>
    <row r="287" spans="1:13" s="623" customFormat="1" ht="18" customHeight="1">
      <c r="A287" s="1637"/>
      <c r="F287" s="629"/>
      <c r="G287" s="629"/>
      <c r="H287" s="629"/>
      <c r="I287" s="629"/>
      <c r="L287" s="630"/>
      <c r="M287" s="630"/>
    </row>
    <row r="288" spans="1:13" s="623" customFormat="1" ht="18" customHeight="1">
      <c r="A288" s="1637"/>
      <c r="F288" s="629"/>
      <c r="G288" s="629"/>
      <c r="H288" s="629"/>
      <c r="I288" s="629"/>
      <c r="L288" s="630"/>
      <c r="M288" s="630"/>
    </row>
    <row r="289" spans="1:13" s="623" customFormat="1" ht="18" customHeight="1">
      <c r="A289" s="1637"/>
      <c r="F289" s="629"/>
      <c r="G289" s="629"/>
      <c r="H289" s="629"/>
      <c r="I289" s="629"/>
      <c r="L289" s="630"/>
      <c r="M289" s="630"/>
    </row>
    <row r="290" spans="1:13" s="623" customFormat="1" ht="18" customHeight="1">
      <c r="A290" s="1637"/>
      <c r="F290" s="629"/>
      <c r="G290" s="629"/>
      <c r="H290" s="629"/>
      <c r="I290" s="629"/>
      <c r="L290" s="630"/>
      <c r="M290" s="630"/>
    </row>
    <row r="291" spans="1:13" s="623" customFormat="1" ht="18" customHeight="1">
      <c r="A291" s="1637"/>
      <c r="F291" s="629"/>
      <c r="G291" s="629"/>
      <c r="H291" s="629"/>
      <c r="I291" s="629"/>
      <c r="L291" s="630"/>
      <c r="M291" s="630"/>
    </row>
    <row r="292" spans="1:13" s="623" customFormat="1" ht="18" customHeight="1">
      <c r="A292" s="1637"/>
      <c r="F292" s="629"/>
      <c r="G292" s="629"/>
      <c r="H292" s="629"/>
      <c r="I292" s="629"/>
      <c r="L292" s="630"/>
      <c r="M292" s="630"/>
    </row>
    <row r="293" spans="1:13" s="623" customFormat="1" ht="18" customHeight="1">
      <c r="A293" s="1637"/>
      <c r="F293" s="629"/>
      <c r="G293" s="629"/>
      <c r="H293" s="629"/>
      <c r="I293" s="629"/>
      <c r="L293" s="630"/>
      <c r="M293" s="630"/>
    </row>
    <row r="294" spans="1:13" s="623" customFormat="1" ht="18" customHeight="1">
      <c r="A294" s="1637"/>
      <c r="F294" s="629"/>
      <c r="G294" s="629"/>
      <c r="H294" s="629"/>
      <c r="I294" s="629"/>
      <c r="L294" s="630"/>
      <c r="M294" s="630"/>
    </row>
    <row r="295" spans="1:13" s="623" customFormat="1" ht="18" customHeight="1">
      <c r="A295" s="1637"/>
      <c r="F295" s="629"/>
      <c r="G295" s="629"/>
      <c r="H295" s="629"/>
      <c r="I295" s="629"/>
      <c r="L295" s="630"/>
      <c r="M295" s="630"/>
    </row>
    <row r="296" spans="1:13" s="623" customFormat="1" ht="18" customHeight="1">
      <c r="A296" s="1637"/>
      <c r="F296" s="629"/>
      <c r="G296" s="629"/>
      <c r="H296" s="629"/>
      <c r="I296" s="629"/>
      <c r="L296" s="630"/>
      <c r="M296" s="630"/>
    </row>
    <row r="297" spans="1:13" s="623" customFormat="1" ht="18" customHeight="1">
      <c r="A297" s="1637"/>
      <c r="F297" s="629"/>
      <c r="G297" s="629"/>
      <c r="H297" s="629"/>
      <c r="I297" s="629"/>
      <c r="L297" s="630"/>
      <c r="M297" s="630"/>
    </row>
    <row r="298" spans="1:13" s="623" customFormat="1" ht="12.75">
      <c r="A298" s="1637"/>
      <c r="F298" s="629"/>
      <c r="G298" s="629"/>
      <c r="H298" s="629"/>
      <c r="I298" s="629"/>
      <c r="L298" s="630"/>
      <c r="M298" s="630"/>
    </row>
    <row r="299" spans="1:13" s="623" customFormat="1" ht="12.75">
      <c r="A299" s="1637"/>
      <c r="F299" s="629"/>
      <c r="G299" s="629"/>
      <c r="H299" s="629"/>
      <c r="I299" s="629"/>
      <c r="L299" s="630"/>
      <c r="M299" s="630"/>
    </row>
    <row r="300" spans="1:13" s="623" customFormat="1" ht="12.75">
      <c r="A300" s="1637"/>
      <c r="F300" s="629"/>
      <c r="G300" s="629"/>
      <c r="H300" s="629"/>
      <c r="I300" s="629"/>
      <c r="L300" s="630"/>
      <c r="M300" s="630"/>
    </row>
    <row r="301" spans="1:13" s="623" customFormat="1" ht="12.75">
      <c r="A301" s="1637"/>
      <c r="F301" s="629"/>
      <c r="G301" s="629"/>
      <c r="H301" s="629"/>
      <c r="I301" s="629"/>
      <c r="L301" s="630"/>
      <c r="M301" s="630"/>
    </row>
    <row r="302" spans="1:13" s="623" customFormat="1" ht="12.75">
      <c r="A302" s="1637"/>
      <c r="F302" s="629"/>
      <c r="G302" s="629"/>
      <c r="H302" s="629"/>
      <c r="I302" s="629"/>
      <c r="L302" s="630"/>
      <c r="M302" s="630"/>
    </row>
    <row r="303" spans="1:13" s="623" customFormat="1" ht="12.75">
      <c r="A303" s="1637"/>
      <c r="F303" s="629"/>
      <c r="G303" s="629"/>
      <c r="H303" s="629"/>
      <c r="I303" s="629"/>
      <c r="L303" s="630"/>
      <c r="M303" s="630"/>
    </row>
    <row r="304" spans="1:13" s="623" customFormat="1" ht="12.75">
      <c r="A304" s="1637"/>
      <c r="F304" s="629"/>
      <c r="G304" s="629"/>
      <c r="H304" s="629"/>
      <c r="I304" s="629"/>
      <c r="L304" s="630"/>
      <c r="M304" s="630"/>
    </row>
    <row r="305" spans="1:13" s="623" customFormat="1" ht="12.75">
      <c r="A305" s="1637"/>
      <c r="F305" s="629"/>
      <c r="G305" s="629"/>
      <c r="H305" s="629"/>
      <c r="I305" s="629"/>
      <c r="L305" s="630"/>
      <c r="M305" s="630"/>
    </row>
    <row r="306" spans="1:13" s="623" customFormat="1" ht="12.75">
      <c r="A306" s="1637"/>
      <c r="F306" s="629"/>
      <c r="G306" s="629"/>
      <c r="H306" s="629"/>
      <c r="I306" s="629"/>
      <c r="L306" s="630"/>
      <c r="M306" s="630"/>
    </row>
    <row r="307" spans="1:13" s="623" customFormat="1" ht="12.75">
      <c r="A307" s="1637"/>
      <c r="F307" s="629"/>
      <c r="G307" s="629"/>
      <c r="H307" s="629"/>
      <c r="I307" s="629"/>
      <c r="L307" s="630"/>
      <c r="M307" s="630"/>
    </row>
    <row r="308" spans="1:13" s="623" customFormat="1" ht="12.75">
      <c r="A308" s="1637"/>
      <c r="F308" s="629"/>
      <c r="G308" s="629"/>
      <c r="H308" s="629"/>
      <c r="I308" s="629"/>
      <c r="L308" s="630"/>
      <c r="M308" s="630"/>
    </row>
    <row r="309" spans="1:13" s="623" customFormat="1" ht="12.75">
      <c r="A309" s="1637"/>
      <c r="F309" s="629"/>
      <c r="G309" s="629"/>
      <c r="H309" s="629"/>
      <c r="I309" s="629"/>
      <c r="L309" s="630"/>
      <c r="M309" s="630"/>
    </row>
    <row r="310" spans="1:13" s="623" customFormat="1" ht="12.75">
      <c r="A310" s="1637"/>
      <c r="F310" s="629"/>
      <c r="G310" s="629"/>
      <c r="H310" s="629"/>
      <c r="I310" s="629"/>
      <c r="L310" s="630"/>
      <c r="M310" s="630"/>
    </row>
    <row r="311" spans="1:13" customFormat="1" ht="12.75">
      <c r="A311" s="1638"/>
      <c r="F311" s="1"/>
      <c r="G311" s="1"/>
      <c r="H311" s="1"/>
      <c r="I311" s="1"/>
      <c r="L311" s="326"/>
      <c r="M311" s="326"/>
    </row>
    <row r="312" spans="1:13" customFormat="1" ht="12.75">
      <c r="A312" s="1638"/>
      <c r="F312" s="1"/>
      <c r="G312" s="1"/>
      <c r="H312" s="1"/>
      <c r="I312" s="1"/>
      <c r="L312" s="326"/>
      <c r="M312" s="326"/>
    </row>
    <row r="313" spans="1:13" customFormat="1" ht="12.75">
      <c r="A313" s="1638"/>
      <c r="F313" s="1"/>
      <c r="G313" s="1"/>
      <c r="H313" s="1"/>
      <c r="I313" s="1"/>
      <c r="L313" s="326"/>
      <c r="M313" s="326"/>
    </row>
    <row r="314" spans="1:13" customFormat="1" ht="12.75">
      <c r="A314" s="1638"/>
      <c r="F314" s="1"/>
      <c r="G314" s="1"/>
      <c r="H314" s="1"/>
      <c r="I314" s="1"/>
      <c r="L314" s="326"/>
      <c r="M314" s="326"/>
    </row>
    <row r="315" spans="1:13" customFormat="1" ht="12.75">
      <c r="A315" s="1638"/>
      <c r="F315" s="1"/>
      <c r="G315" s="1"/>
      <c r="H315" s="1"/>
      <c r="I315" s="1"/>
      <c r="L315" s="326"/>
      <c r="M315" s="326"/>
    </row>
    <row r="316" spans="1:13" customFormat="1" ht="12.75">
      <c r="A316" s="1638"/>
      <c r="F316" s="1"/>
      <c r="G316" s="1"/>
      <c r="H316" s="1"/>
      <c r="I316" s="1"/>
      <c r="L316" s="326"/>
      <c r="M316" s="326"/>
    </row>
    <row r="317" spans="1:13" customFormat="1" ht="12.75">
      <c r="A317" s="1638"/>
      <c r="F317" s="1"/>
      <c r="G317" s="1"/>
      <c r="H317" s="1"/>
      <c r="I317" s="1"/>
      <c r="L317" s="326"/>
      <c r="M317" s="326"/>
    </row>
    <row r="318" spans="1:13" customFormat="1" ht="12.75">
      <c r="A318" s="1638"/>
      <c r="F318" s="1"/>
      <c r="G318" s="1"/>
      <c r="H318" s="1"/>
      <c r="I318" s="1"/>
      <c r="L318" s="326"/>
      <c r="M318" s="326"/>
    </row>
    <row r="319" spans="1:13" customFormat="1" ht="12.75">
      <c r="A319" s="1638"/>
      <c r="F319" s="1"/>
      <c r="G319" s="1"/>
      <c r="H319" s="1"/>
      <c r="I319" s="1"/>
      <c r="L319" s="326"/>
      <c r="M319" s="326"/>
    </row>
    <row r="320" spans="1:13" customFormat="1" ht="12.75">
      <c r="A320" s="1638"/>
      <c r="F320" s="1"/>
      <c r="G320" s="1"/>
      <c r="H320" s="1"/>
      <c r="I320" s="1"/>
      <c r="L320" s="326"/>
      <c r="M320" s="326"/>
    </row>
    <row r="321" spans="1:13" customFormat="1" ht="12.75">
      <c r="A321" s="1638"/>
      <c r="F321" s="1"/>
      <c r="G321" s="1"/>
      <c r="H321" s="1"/>
      <c r="I321" s="1"/>
      <c r="L321" s="326"/>
      <c r="M321" s="326"/>
    </row>
    <row r="322" spans="1:13" customFormat="1" ht="12.75">
      <c r="A322" s="1638"/>
      <c r="F322" s="1"/>
      <c r="G322" s="1"/>
      <c r="H322" s="1"/>
      <c r="I322" s="1"/>
      <c r="L322" s="326"/>
      <c r="M322" s="326"/>
    </row>
    <row r="323" spans="1:13" customFormat="1" ht="12.75">
      <c r="A323" s="1638"/>
      <c r="F323" s="1"/>
      <c r="G323" s="1"/>
      <c r="H323" s="1"/>
      <c r="I323" s="1"/>
      <c r="L323" s="326"/>
      <c r="M323" s="326"/>
    </row>
    <row r="324" spans="1:13" customFormat="1" ht="12.75">
      <c r="A324" s="1638"/>
      <c r="F324" s="1"/>
      <c r="G324" s="1"/>
      <c r="H324" s="1"/>
      <c r="I324" s="1"/>
      <c r="L324" s="326"/>
      <c r="M324" s="326"/>
    </row>
    <row r="325" spans="1:13" customFormat="1" ht="12.75">
      <c r="A325" s="1638"/>
      <c r="F325" s="1"/>
      <c r="G325" s="1"/>
      <c r="H325" s="1"/>
      <c r="I325" s="1"/>
      <c r="L325" s="326"/>
      <c r="M325" s="326"/>
    </row>
    <row r="326" spans="1:13" customFormat="1" ht="12.75">
      <c r="A326" s="1638"/>
      <c r="F326" s="1"/>
      <c r="G326" s="1"/>
      <c r="H326" s="1"/>
      <c r="I326" s="1"/>
      <c r="L326" s="326"/>
      <c r="M326" s="326"/>
    </row>
    <row r="327" spans="1:13" customFormat="1" ht="12.75">
      <c r="A327" s="1638"/>
      <c r="F327" s="1"/>
      <c r="G327" s="1"/>
      <c r="H327" s="1"/>
      <c r="I327" s="1"/>
      <c r="L327" s="326"/>
      <c r="M327" s="326"/>
    </row>
    <row r="328" spans="1:13" customFormat="1" ht="12.75">
      <c r="A328" s="1638"/>
      <c r="F328" s="1"/>
      <c r="G328" s="1"/>
      <c r="H328" s="1"/>
      <c r="I328" s="1"/>
      <c r="L328" s="326"/>
      <c r="M328" s="326"/>
    </row>
    <row r="329" spans="1:13" customFormat="1" ht="12.75">
      <c r="A329" s="1638"/>
      <c r="F329" s="1"/>
      <c r="G329" s="1"/>
      <c r="H329" s="1"/>
      <c r="I329" s="1"/>
      <c r="L329" s="326"/>
      <c r="M329" s="326"/>
    </row>
    <row r="330" spans="1:13" customFormat="1" ht="12.75">
      <c r="A330" s="1638"/>
      <c r="F330" s="1"/>
      <c r="G330" s="1"/>
      <c r="H330" s="1"/>
      <c r="I330" s="1"/>
      <c r="L330" s="326"/>
      <c r="M330" s="326"/>
    </row>
    <row r="331" spans="1:13" customFormat="1" ht="12.75">
      <c r="A331" s="1638"/>
      <c r="F331" s="1"/>
      <c r="G331" s="1"/>
      <c r="H331" s="1"/>
      <c r="I331" s="1"/>
      <c r="L331" s="326"/>
      <c r="M331" s="326"/>
    </row>
    <row r="332" spans="1:13" customFormat="1" ht="12.75">
      <c r="A332" s="1638"/>
      <c r="F332" s="1"/>
      <c r="G332" s="1"/>
      <c r="H332" s="1"/>
      <c r="I332" s="1"/>
      <c r="L332" s="326"/>
      <c r="M332" s="326"/>
    </row>
    <row r="333" spans="1:13" customFormat="1" ht="12.75">
      <c r="A333" s="1638"/>
      <c r="F333" s="1"/>
      <c r="G333" s="1"/>
      <c r="H333" s="1"/>
      <c r="I333" s="1"/>
      <c r="L333" s="326"/>
      <c r="M333" s="326"/>
    </row>
    <row r="334" spans="1:13" customFormat="1" ht="12.75">
      <c r="A334" s="1638"/>
      <c r="F334" s="1"/>
      <c r="G334" s="1"/>
      <c r="H334" s="1"/>
      <c r="I334" s="1"/>
      <c r="L334" s="326"/>
      <c r="M334" s="326"/>
    </row>
    <row r="335" spans="1:13" customFormat="1" ht="12.75">
      <c r="A335" s="1638"/>
      <c r="F335" s="1"/>
      <c r="G335" s="1"/>
      <c r="H335" s="1"/>
      <c r="I335" s="1"/>
      <c r="L335" s="326"/>
      <c r="M335" s="326"/>
    </row>
    <row r="336" spans="1:13" customFormat="1" ht="12.75">
      <c r="A336" s="1638"/>
      <c r="F336" s="1"/>
      <c r="G336" s="1"/>
      <c r="H336" s="1"/>
      <c r="I336" s="1"/>
      <c r="L336" s="326"/>
      <c r="M336" s="326"/>
    </row>
    <row r="337" spans="1:13" customFormat="1" ht="12.75">
      <c r="A337" s="1638"/>
      <c r="F337" s="1"/>
      <c r="G337" s="1"/>
      <c r="H337" s="1"/>
      <c r="I337" s="1"/>
      <c r="L337" s="326"/>
      <c r="M337" s="326"/>
    </row>
    <row r="338" spans="1:13" customFormat="1" ht="12.75">
      <c r="A338" s="1638"/>
      <c r="F338" s="1"/>
      <c r="G338" s="1"/>
      <c r="H338" s="1"/>
      <c r="I338" s="1"/>
      <c r="L338" s="326"/>
      <c r="M338" s="326"/>
    </row>
    <row r="339" spans="1:13" customFormat="1" ht="12.75">
      <c r="A339" s="1638"/>
      <c r="F339" s="1"/>
      <c r="G339" s="1"/>
      <c r="H339" s="1"/>
      <c r="I339" s="1"/>
      <c r="L339" s="326"/>
      <c r="M339" s="326"/>
    </row>
    <row r="340" spans="1:13" customFormat="1" ht="12.75">
      <c r="A340" s="1638"/>
      <c r="F340" s="1"/>
      <c r="G340" s="1"/>
      <c r="H340" s="1"/>
      <c r="I340" s="1"/>
      <c r="L340" s="326"/>
      <c r="M340" s="326"/>
    </row>
    <row r="341" spans="1:13" customFormat="1" ht="12.75">
      <c r="A341" s="1638"/>
      <c r="F341" s="1"/>
      <c r="G341" s="1"/>
      <c r="H341" s="1"/>
      <c r="I341" s="1"/>
      <c r="L341" s="326"/>
      <c r="M341" s="326"/>
    </row>
    <row r="342" spans="1:13" customFormat="1" ht="12.75">
      <c r="A342" s="1638"/>
      <c r="F342" s="1"/>
      <c r="G342" s="1"/>
      <c r="H342" s="1"/>
      <c r="I342" s="1"/>
      <c r="L342" s="326"/>
      <c r="M342" s="326"/>
    </row>
    <row r="343" spans="1:13" customFormat="1" ht="12.75">
      <c r="A343" s="1638"/>
      <c r="F343" s="1"/>
      <c r="G343" s="1"/>
      <c r="H343" s="1"/>
      <c r="I343" s="1"/>
      <c r="L343" s="326"/>
      <c r="M343" s="326"/>
    </row>
    <row r="344" spans="1:13" customFormat="1" ht="12.75">
      <c r="A344" s="1638"/>
      <c r="F344" s="1"/>
      <c r="G344" s="1"/>
      <c r="H344" s="1"/>
      <c r="I344" s="1"/>
      <c r="L344" s="326"/>
      <c r="M344" s="326"/>
    </row>
    <row r="345" spans="1:13" customFormat="1" ht="12.75">
      <c r="A345" s="1638"/>
      <c r="F345" s="1"/>
      <c r="G345" s="1"/>
      <c r="H345" s="1"/>
      <c r="I345" s="1"/>
      <c r="L345" s="326"/>
      <c r="M345" s="326"/>
    </row>
    <row r="346" spans="1:13" customFormat="1" ht="12.75">
      <c r="A346" s="1638"/>
      <c r="F346" s="1"/>
      <c r="G346" s="1"/>
      <c r="H346" s="1"/>
      <c r="I346" s="1"/>
      <c r="L346" s="326"/>
      <c r="M346" s="326"/>
    </row>
    <row r="347" spans="1:13" customFormat="1" ht="12.75">
      <c r="A347" s="1638"/>
      <c r="F347" s="1"/>
      <c r="G347" s="1"/>
      <c r="H347" s="1"/>
      <c r="I347" s="1"/>
      <c r="L347" s="326"/>
      <c r="M347" s="326"/>
    </row>
    <row r="348" spans="1:13" customFormat="1" ht="12.75">
      <c r="A348" s="1638"/>
      <c r="F348" s="1"/>
      <c r="G348" s="1"/>
      <c r="H348" s="1"/>
      <c r="I348" s="1"/>
      <c r="L348" s="326"/>
      <c r="M348" s="326"/>
    </row>
    <row r="349" spans="1:13" customFormat="1" ht="12.75">
      <c r="A349" s="1638"/>
      <c r="F349" s="1"/>
      <c r="G349" s="1"/>
      <c r="H349" s="1"/>
      <c r="I349" s="1"/>
      <c r="L349" s="326"/>
      <c r="M349" s="326"/>
    </row>
    <row r="350" spans="1:13" customFormat="1" ht="12.75">
      <c r="A350" s="1638"/>
      <c r="F350" s="1"/>
      <c r="G350" s="1"/>
      <c r="H350" s="1"/>
      <c r="I350" s="1"/>
      <c r="L350" s="326"/>
      <c r="M350" s="326"/>
    </row>
    <row r="351" spans="1:13" customFormat="1" ht="12.75">
      <c r="A351" s="1638"/>
      <c r="F351" s="1"/>
      <c r="G351" s="1"/>
      <c r="H351" s="1"/>
      <c r="I351" s="1"/>
      <c r="L351" s="326"/>
      <c r="M351" s="326"/>
    </row>
    <row r="352" spans="1:13" customFormat="1" ht="12.75">
      <c r="A352" s="1638"/>
      <c r="F352" s="1"/>
      <c r="G352" s="1"/>
      <c r="H352" s="1"/>
      <c r="I352" s="1"/>
      <c r="L352" s="326"/>
      <c r="M352" s="326"/>
    </row>
    <row r="353" spans="1:13" customFormat="1" ht="12.75">
      <c r="A353" s="1638"/>
      <c r="F353" s="1"/>
      <c r="G353" s="1"/>
      <c r="H353" s="1"/>
      <c r="I353" s="1"/>
      <c r="L353" s="326"/>
      <c r="M353" s="326"/>
    </row>
    <row r="354" spans="1:13" customFormat="1" ht="12.75">
      <c r="A354" s="1638"/>
      <c r="F354" s="1"/>
      <c r="G354" s="1"/>
      <c r="H354" s="1"/>
      <c r="I354" s="1"/>
      <c r="L354" s="326"/>
      <c r="M354" s="326"/>
    </row>
    <row r="355" spans="1:13" customFormat="1" ht="12.75">
      <c r="A355" s="1638"/>
      <c r="F355" s="1"/>
      <c r="G355" s="1"/>
      <c r="H355" s="1"/>
      <c r="I355" s="1"/>
      <c r="L355" s="326"/>
      <c r="M355" s="326"/>
    </row>
    <row r="356" spans="1:13" customFormat="1" ht="12.75">
      <c r="A356" s="1638"/>
      <c r="F356" s="1"/>
      <c r="G356" s="1"/>
      <c r="H356" s="1"/>
      <c r="I356" s="1"/>
      <c r="L356" s="326"/>
      <c r="M356" s="326"/>
    </row>
    <row r="357" spans="1:13" customFormat="1" ht="12.75">
      <c r="A357" s="1638"/>
      <c r="F357" s="1"/>
      <c r="G357" s="1"/>
      <c r="H357" s="1"/>
      <c r="I357" s="1"/>
      <c r="L357" s="326"/>
      <c r="M357" s="326"/>
    </row>
    <row r="358" spans="1:13" customFormat="1" ht="12.75">
      <c r="A358" s="1638"/>
      <c r="F358" s="1"/>
      <c r="G358" s="1"/>
      <c r="H358" s="1"/>
      <c r="I358" s="1"/>
      <c r="L358" s="326"/>
      <c r="M358" s="326"/>
    </row>
    <row r="359" spans="1:13" customFormat="1" ht="12.75">
      <c r="A359" s="1638"/>
      <c r="F359" s="1"/>
      <c r="G359" s="1"/>
      <c r="H359" s="1"/>
      <c r="I359" s="1"/>
      <c r="L359" s="326"/>
      <c r="M359" s="326"/>
    </row>
    <row r="360" spans="1:13" customFormat="1" ht="12.75">
      <c r="A360" s="1638"/>
      <c r="F360" s="1"/>
      <c r="G360" s="1"/>
      <c r="H360" s="1"/>
      <c r="I360" s="1"/>
      <c r="L360" s="326"/>
      <c r="M360" s="326"/>
    </row>
    <row r="361" spans="1:13" customFormat="1" ht="12.75">
      <c r="A361" s="1638"/>
      <c r="F361" s="1"/>
      <c r="G361" s="1"/>
      <c r="H361" s="1"/>
      <c r="I361" s="1"/>
      <c r="L361" s="326"/>
      <c r="M361" s="326"/>
    </row>
    <row r="362" spans="1:13" customFormat="1" ht="12.75">
      <c r="A362" s="1638"/>
      <c r="F362" s="1"/>
      <c r="G362" s="1"/>
      <c r="H362" s="1"/>
      <c r="I362" s="1"/>
      <c r="L362" s="326"/>
      <c r="M362" s="326"/>
    </row>
    <row r="363" spans="1:13" customFormat="1" ht="12.75">
      <c r="A363" s="1638"/>
      <c r="F363" s="1"/>
      <c r="G363" s="1"/>
      <c r="H363" s="1"/>
      <c r="I363" s="1"/>
      <c r="L363" s="326"/>
      <c r="M363" s="326"/>
    </row>
    <row r="364" spans="1:13" customFormat="1" ht="12.75">
      <c r="A364" s="1638"/>
      <c r="F364" s="1"/>
      <c r="G364" s="1"/>
      <c r="H364" s="1"/>
      <c r="I364" s="1"/>
      <c r="L364" s="326"/>
      <c r="M364" s="326"/>
    </row>
    <row r="365" spans="1:13" customFormat="1" ht="12.75">
      <c r="A365" s="1638"/>
      <c r="F365" s="1"/>
      <c r="G365" s="1"/>
      <c r="H365" s="1"/>
      <c r="I365" s="1"/>
      <c r="L365" s="326"/>
      <c r="M365" s="326"/>
    </row>
    <row r="366" spans="1:13" customFormat="1" ht="12.75">
      <c r="A366" s="1638"/>
      <c r="F366" s="1"/>
      <c r="G366" s="1"/>
      <c r="H366" s="1"/>
      <c r="I366" s="1"/>
      <c r="L366" s="326"/>
      <c r="M366" s="326"/>
    </row>
    <row r="367" spans="1:13" customFormat="1" ht="12.75">
      <c r="A367" s="1638"/>
      <c r="F367" s="1"/>
      <c r="G367" s="1"/>
      <c r="H367" s="1"/>
      <c r="I367" s="1"/>
      <c r="L367" s="326"/>
      <c r="M367" s="326"/>
    </row>
    <row r="368" spans="1:13" customFormat="1" ht="12.75">
      <c r="A368" s="1638"/>
      <c r="F368" s="1"/>
      <c r="G368" s="1"/>
      <c r="H368" s="1"/>
      <c r="I368" s="1"/>
      <c r="L368" s="326"/>
      <c r="M368" s="326"/>
    </row>
    <row r="369" spans="1:13" customFormat="1" ht="12.75">
      <c r="A369" s="1638"/>
      <c r="F369" s="1"/>
      <c r="G369" s="1"/>
      <c r="H369" s="1"/>
      <c r="I369" s="1"/>
      <c r="L369" s="326"/>
      <c r="M369" s="326"/>
    </row>
    <row r="370" spans="1:13" customFormat="1" ht="12.75">
      <c r="A370" s="1638"/>
      <c r="F370" s="1"/>
      <c r="G370" s="1"/>
      <c r="H370" s="1"/>
      <c r="I370" s="1"/>
      <c r="L370" s="326"/>
      <c r="M370" s="326"/>
    </row>
    <row r="371" spans="1:13" customFormat="1" ht="12.75">
      <c r="A371" s="1638"/>
      <c r="F371" s="1"/>
      <c r="G371" s="1"/>
      <c r="H371" s="1"/>
      <c r="I371" s="1"/>
      <c r="L371" s="326"/>
      <c r="M371" s="326"/>
    </row>
    <row r="372" spans="1:13" customFormat="1" ht="12.75">
      <c r="A372" s="1638"/>
      <c r="F372" s="1"/>
      <c r="G372" s="1"/>
      <c r="H372" s="1"/>
      <c r="I372" s="1"/>
      <c r="L372" s="326"/>
      <c r="M372" s="326"/>
    </row>
    <row r="373" spans="1:13" customFormat="1" ht="12.75">
      <c r="A373" s="1638"/>
      <c r="F373" s="1"/>
      <c r="G373" s="1"/>
      <c r="H373" s="1"/>
      <c r="I373" s="1"/>
      <c r="L373" s="326"/>
      <c r="M373" s="326"/>
    </row>
    <row r="374" spans="1:13" customFormat="1" ht="12.75">
      <c r="A374" s="1638"/>
      <c r="F374" s="1"/>
      <c r="G374" s="1"/>
      <c r="H374" s="1"/>
      <c r="I374" s="1"/>
      <c r="L374" s="326"/>
      <c r="M374" s="326"/>
    </row>
    <row r="375" spans="1:13" customFormat="1" ht="12.75">
      <c r="A375" s="1638"/>
      <c r="F375" s="1"/>
      <c r="G375" s="1"/>
      <c r="H375" s="1"/>
      <c r="I375" s="1"/>
      <c r="L375" s="326"/>
      <c r="M375" s="326"/>
    </row>
    <row r="376" spans="1:13" customFormat="1" ht="12.75">
      <c r="A376" s="1638"/>
      <c r="F376" s="1"/>
      <c r="G376" s="1"/>
      <c r="H376" s="1"/>
      <c r="I376" s="1"/>
      <c r="L376" s="326"/>
      <c r="M376" s="326"/>
    </row>
    <row r="377" spans="1:13" customFormat="1" ht="12.75">
      <c r="A377" s="1638"/>
      <c r="F377" s="1"/>
      <c r="G377" s="1"/>
      <c r="H377" s="1"/>
      <c r="I377" s="1"/>
      <c r="L377" s="326"/>
      <c r="M377" s="326"/>
    </row>
    <row r="378" spans="1:13" customFormat="1" ht="12.75">
      <c r="A378" s="1638"/>
      <c r="F378" s="1"/>
      <c r="G378" s="1"/>
      <c r="H378" s="1"/>
      <c r="I378" s="1"/>
      <c r="L378" s="326"/>
      <c r="M378" s="326"/>
    </row>
    <row r="379" spans="1:13" customFormat="1" ht="12.75">
      <c r="A379" s="1638"/>
      <c r="F379" s="1"/>
      <c r="G379" s="1"/>
      <c r="H379" s="1"/>
      <c r="I379" s="1"/>
      <c r="L379" s="326"/>
      <c r="M379" s="326"/>
    </row>
    <row r="380" spans="1:13" customFormat="1" ht="12.75">
      <c r="A380" s="1638"/>
      <c r="F380" s="1"/>
      <c r="G380" s="1"/>
      <c r="H380" s="1"/>
      <c r="I380" s="1"/>
      <c r="L380" s="326"/>
      <c r="M380" s="326"/>
    </row>
    <row r="381" spans="1:13" customFormat="1" ht="12.75">
      <c r="A381" s="1638"/>
      <c r="F381" s="1"/>
      <c r="G381" s="1"/>
      <c r="H381" s="1"/>
      <c r="I381" s="1"/>
      <c r="L381" s="326"/>
      <c r="M381" s="326"/>
    </row>
    <row r="382" spans="1:13" customFormat="1" ht="12.75">
      <c r="A382" s="1638"/>
      <c r="F382" s="1"/>
      <c r="G382" s="1"/>
      <c r="H382" s="1"/>
      <c r="I382" s="1"/>
      <c r="L382" s="326"/>
      <c r="M382" s="326"/>
    </row>
    <row r="383" spans="1:13" customFormat="1" ht="12.75">
      <c r="A383" s="1638"/>
      <c r="F383" s="1"/>
      <c r="G383" s="1"/>
      <c r="H383" s="1"/>
      <c r="I383" s="1"/>
      <c r="L383" s="326"/>
      <c r="M383" s="326"/>
    </row>
    <row r="384" spans="1:13" customFormat="1" ht="12.75">
      <c r="A384" s="1638"/>
      <c r="F384" s="1"/>
      <c r="G384" s="1"/>
      <c r="H384" s="1"/>
      <c r="I384" s="1"/>
      <c r="L384" s="326"/>
      <c r="M384" s="326"/>
    </row>
    <row r="385" spans="1:13" customFormat="1" ht="12.75">
      <c r="A385" s="1638"/>
      <c r="F385" s="1"/>
      <c r="G385" s="1"/>
      <c r="H385" s="1"/>
      <c r="I385" s="1"/>
      <c r="L385" s="326"/>
      <c r="M385" s="326"/>
    </row>
    <row r="386" spans="1:13" customFormat="1" ht="12.75">
      <c r="A386" s="1638"/>
      <c r="F386" s="1"/>
      <c r="G386" s="1"/>
      <c r="H386" s="1"/>
      <c r="I386" s="1"/>
      <c r="L386" s="326"/>
      <c r="M386" s="326"/>
    </row>
    <row r="387" spans="1:13" customFormat="1" ht="12.75">
      <c r="A387" s="1638"/>
      <c r="F387" s="1"/>
      <c r="G387" s="1"/>
      <c r="H387" s="1"/>
      <c r="I387" s="1"/>
      <c r="L387" s="326"/>
      <c r="M387" s="326"/>
    </row>
    <row r="388" spans="1:13" customFormat="1" ht="12.75">
      <c r="A388" s="1638"/>
      <c r="F388" s="1"/>
      <c r="G388" s="1"/>
      <c r="H388" s="1"/>
      <c r="I388" s="1"/>
      <c r="L388" s="326"/>
      <c r="M388" s="326"/>
    </row>
    <row r="389" spans="1:13" customFormat="1" ht="12.75">
      <c r="A389" s="1638"/>
      <c r="F389" s="1"/>
      <c r="G389" s="1"/>
      <c r="H389" s="1"/>
      <c r="I389" s="1"/>
      <c r="L389" s="326"/>
      <c r="M389" s="326"/>
    </row>
    <row r="390" spans="1:13" customFormat="1" ht="12.75">
      <c r="A390" s="1638"/>
      <c r="F390" s="1"/>
      <c r="G390" s="1"/>
      <c r="H390" s="1"/>
      <c r="I390" s="1"/>
      <c r="L390" s="326"/>
      <c r="M390" s="326"/>
    </row>
    <row r="391" spans="1:13" customFormat="1" ht="12.75">
      <c r="A391" s="1638"/>
      <c r="F391" s="1"/>
      <c r="G391" s="1"/>
      <c r="H391" s="1"/>
      <c r="I391" s="1"/>
      <c r="L391" s="326"/>
      <c r="M391" s="326"/>
    </row>
    <row r="392" spans="1:13" customFormat="1" ht="12.75">
      <c r="A392" s="1638"/>
      <c r="F392" s="1"/>
      <c r="G392" s="1"/>
      <c r="H392" s="1"/>
      <c r="I392" s="1"/>
      <c r="L392" s="326"/>
      <c r="M392" s="326"/>
    </row>
    <row r="393" spans="1:13" customFormat="1" ht="12.75">
      <c r="A393" s="1638"/>
      <c r="F393" s="1"/>
      <c r="G393" s="1"/>
      <c r="H393" s="1"/>
      <c r="I393" s="1"/>
      <c r="L393" s="326"/>
      <c r="M393" s="326"/>
    </row>
    <row r="394" spans="1:13" customFormat="1" ht="12.75">
      <c r="A394" s="1638"/>
      <c r="F394" s="1"/>
      <c r="G394" s="1"/>
      <c r="H394" s="1"/>
      <c r="I394" s="1"/>
      <c r="L394" s="326"/>
      <c r="M394" s="326"/>
    </row>
    <row r="395" spans="1:13" customFormat="1" ht="12.75">
      <c r="A395" s="1638"/>
      <c r="F395" s="1"/>
      <c r="G395" s="1"/>
      <c r="H395" s="1"/>
      <c r="I395" s="1"/>
      <c r="L395" s="326"/>
      <c r="M395" s="326"/>
    </row>
    <row r="396" spans="1:13" customFormat="1" ht="12.75">
      <c r="A396" s="1638"/>
      <c r="F396" s="1"/>
      <c r="G396" s="1"/>
      <c r="H396" s="1"/>
      <c r="I396" s="1"/>
      <c r="L396" s="326"/>
      <c r="M396" s="326"/>
    </row>
    <row r="397" spans="1:13" customFormat="1" ht="12.75">
      <c r="A397" s="1638"/>
      <c r="F397" s="1"/>
      <c r="G397" s="1"/>
      <c r="H397" s="1"/>
      <c r="I397" s="1"/>
      <c r="L397" s="326"/>
      <c r="M397" s="326"/>
    </row>
    <row r="398" spans="1:13" customFormat="1" ht="12.75">
      <c r="A398" s="1638"/>
      <c r="F398" s="1"/>
      <c r="G398" s="1"/>
      <c r="H398" s="1"/>
      <c r="I398" s="1"/>
      <c r="L398" s="326"/>
      <c r="M398" s="326"/>
    </row>
    <row r="399" spans="1:13" customFormat="1" ht="12.75">
      <c r="A399" s="1638"/>
      <c r="F399" s="1"/>
      <c r="G399" s="1"/>
      <c r="H399" s="1"/>
      <c r="I399" s="1"/>
      <c r="L399" s="326"/>
      <c r="M399" s="326"/>
    </row>
    <row r="400" spans="1:13" customFormat="1" ht="12.75">
      <c r="A400" s="1638"/>
      <c r="F400" s="1"/>
      <c r="G400" s="1"/>
      <c r="H400" s="1"/>
      <c r="I400" s="1"/>
      <c r="L400" s="326"/>
      <c r="M400" s="326"/>
    </row>
    <row r="401" spans="1:13" customFormat="1" ht="12.75">
      <c r="A401" s="1638"/>
      <c r="F401" s="1"/>
      <c r="G401" s="1"/>
      <c r="H401" s="1"/>
      <c r="I401" s="1"/>
      <c r="L401" s="326"/>
      <c r="M401" s="326"/>
    </row>
    <row r="402" spans="1:13" customFormat="1" ht="12.75">
      <c r="A402" s="1638"/>
      <c r="F402" s="1"/>
      <c r="G402" s="1"/>
      <c r="H402" s="1"/>
      <c r="I402" s="1"/>
      <c r="L402" s="326"/>
      <c r="M402" s="326"/>
    </row>
    <row r="403" spans="1:13" customFormat="1" ht="12.75">
      <c r="A403" s="1638"/>
      <c r="F403" s="1"/>
      <c r="G403" s="1"/>
      <c r="H403" s="1"/>
      <c r="I403" s="1"/>
      <c r="L403" s="326"/>
      <c r="M403" s="326"/>
    </row>
    <row r="404" spans="1:13" customFormat="1" ht="12.75">
      <c r="A404" s="1638"/>
      <c r="F404" s="1"/>
      <c r="G404" s="1"/>
      <c r="H404" s="1"/>
      <c r="I404" s="1"/>
      <c r="L404" s="326"/>
      <c r="M404" s="326"/>
    </row>
    <row r="405" spans="1:13" customFormat="1" ht="12.75">
      <c r="A405" s="1638"/>
      <c r="F405" s="1"/>
      <c r="G405" s="1"/>
      <c r="H405" s="1"/>
      <c r="I405" s="1"/>
      <c r="L405" s="326"/>
      <c r="M405" s="326"/>
    </row>
    <row r="406" spans="1:13" customFormat="1" ht="12.75">
      <c r="A406" s="1638"/>
      <c r="F406" s="1"/>
      <c r="G406" s="1"/>
      <c r="H406" s="1"/>
      <c r="I406" s="1"/>
      <c r="L406" s="326"/>
      <c r="M406" s="326"/>
    </row>
    <row r="407" spans="1:13" customFormat="1" ht="12.75">
      <c r="A407" s="1638"/>
      <c r="F407" s="1"/>
      <c r="G407" s="1"/>
      <c r="H407" s="1"/>
      <c r="I407" s="1"/>
      <c r="L407" s="326"/>
      <c r="M407" s="326"/>
    </row>
    <row r="408" spans="1:13" customFormat="1" ht="12.75">
      <c r="A408" s="1638"/>
      <c r="F408" s="1"/>
      <c r="G408" s="1"/>
      <c r="H408" s="1"/>
      <c r="I408" s="1"/>
      <c r="L408" s="326"/>
      <c r="M408" s="326"/>
    </row>
    <row r="409" spans="1:13" customFormat="1" ht="12.75">
      <c r="A409" s="1638"/>
      <c r="F409" s="1"/>
      <c r="G409" s="1"/>
      <c r="H409" s="1"/>
      <c r="I409" s="1"/>
      <c r="L409" s="326"/>
      <c r="M409" s="326"/>
    </row>
    <row r="410" spans="1:13" customFormat="1" ht="12.75">
      <c r="A410" s="1638"/>
      <c r="F410" s="1"/>
      <c r="G410" s="1"/>
      <c r="H410" s="1"/>
      <c r="I410" s="1"/>
      <c r="L410" s="326"/>
      <c r="M410" s="326"/>
    </row>
    <row r="411" spans="1:13" customFormat="1" ht="12.75">
      <c r="A411" s="1638"/>
      <c r="F411" s="1"/>
      <c r="G411" s="1"/>
      <c r="H411" s="1"/>
      <c r="I411" s="1"/>
      <c r="L411" s="326"/>
      <c r="M411" s="326"/>
    </row>
    <row r="412" spans="1:13" customFormat="1" ht="12.75">
      <c r="A412" s="1638"/>
      <c r="F412" s="1"/>
      <c r="G412" s="1"/>
      <c r="H412" s="1"/>
      <c r="I412" s="1"/>
      <c r="L412" s="326"/>
      <c r="M412" s="326"/>
    </row>
    <row r="413" spans="1:13" customFormat="1" ht="12.75">
      <c r="A413" s="1638"/>
      <c r="F413" s="1"/>
      <c r="G413" s="1"/>
      <c r="H413" s="1"/>
      <c r="I413" s="1"/>
      <c r="L413" s="326"/>
      <c r="M413" s="326"/>
    </row>
    <row r="414" spans="1:13" customFormat="1" ht="12.75">
      <c r="A414" s="1638"/>
      <c r="F414" s="1"/>
      <c r="G414" s="1"/>
      <c r="H414" s="1"/>
      <c r="I414" s="1"/>
      <c r="L414" s="326"/>
      <c r="M414" s="326"/>
    </row>
    <row r="415" spans="1:13" customFormat="1" ht="12.75">
      <c r="A415" s="1638"/>
      <c r="F415" s="1"/>
      <c r="G415" s="1"/>
      <c r="H415" s="1"/>
      <c r="I415" s="1"/>
      <c r="L415" s="326"/>
      <c r="M415" s="326"/>
    </row>
    <row r="416" spans="1:13" customFormat="1" ht="12.75">
      <c r="A416" s="1638"/>
      <c r="F416" s="1"/>
      <c r="G416" s="1"/>
      <c r="H416" s="1"/>
      <c r="I416" s="1"/>
      <c r="L416" s="326"/>
      <c r="M416" s="326"/>
    </row>
    <row r="417" spans="1:13" customFormat="1" ht="12.75">
      <c r="A417" s="1638"/>
      <c r="F417" s="1"/>
      <c r="G417" s="1"/>
      <c r="H417" s="1"/>
      <c r="I417" s="1"/>
      <c r="L417" s="326"/>
      <c r="M417" s="326"/>
    </row>
    <row r="418" spans="1:13" customFormat="1" ht="12.75">
      <c r="A418" s="1638"/>
      <c r="F418" s="1"/>
      <c r="G418" s="1"/>
      <c r="H418" s="1"/>
      <c r="I418" s="1"/>
      <c r="L418" s="326"/>
      <c r="M418" s="326"/>
    </row>
    <row r="419" spans="1:13" customFormat="1" ht="12.75">
      <c r="A419" s="1638"/>
      <c r="F419" s="1"/>
      <c r="G419" s="1"/>
      <c r="H419" s="1"/>
      <c r="I419" s="1"/>
      <c r="L419" s="326"/>
      <c r="M419" s="326"/>
    </row>
    <row r="420" spans="1:13" customFormat="1" ht="12.75">
      <c r="A420" s="1638"/>
      <c r="F420" s="1"/>
      <c r="G420" s="1"/>
      <c r="H420" s="1"/>
      <c r="I420" s="1"/>
      <c r="L420" s="326"/>
      <c r="M420" s="326"/>
    </row>
    <row r="421" spans="1:13" customFormat="1" ht="12.75">
      <c r="A421" s="1638"/>
      <c r="F421" s="1"/>
      <c r="G421" s="1"/>
      <c r="H421" s="1"/>
      <c r="I421" s="1"/>
      <c r="L421" s="326"/>
      <c r="M421" s="326"/>
    </row>
    <row r="422" spans="1:13" customFormat="1" ht="12.75">
      <c r="A422" s="1638"/>
      <c r="F422" s="1"/>
      <c r="G422" s="1"/>
      <c r="H422" s="1"/>
      <c r="I422" s="1"/>
      <c r="L422" s="326"/>
      <c r="M422" s="326"/>
    </row>
    <row r="423" spans="1:13" customFormat="1" ht="12.75">
      <c r="A423" s="1638"/>
      <c r="F423" s="1"/>
      <c r="G423" s="1"/>
      <c r="H423" s="1"/>
      <c r="I423" s="1"/>
      <c r="L423" s="326"/>
      <c r="M423" s="326"/>
    </row>
    <row r="424" spans="1:13" customFormat="1" ht="12.75">
      <c r="A424" s="1638"/>
      <c r="F424" s="1"/>
      <c r="G424" s="1"/>
      <c r="H424" s="1"/>
      <c r="I424" s="1"/>
      <c r="L424" s="326"/>
      <c r="M424" s="326"/>
    </row>
    <row r="425" spans="1:13" customFormat="1" ht="12.75">
      <c r="A425" s="1638"/>
      <c r="F425" s="1"/>
      <c r="G425" s="1"/>
      <c r="H425" s="1"/>
      <c r="I425" s="1"/>
      <c r="L425" s="326"/>
      <c r="M425" s="326"/>
    </row>
    <row r="426" spans="1:13" customFormat="1" ht="12.75">
      <c r="A426" s="1638"/>
      <c r="F426" s="1"/>
      <c r="G426" s="1"/>
      <c r="H426" s="1"/>
      <c r="I426" s="1"/>
      <c r="L426" s="326"/>
      <c r="M426" s="326"/>
    </row>
    <row r="427" spans="1:13" customFormat="1" ht="12.75">
      <c r="A427" s="1638"/>
      <c r="F427" s="1"/>
      <c r="G427" s="1"/>
      <c r="H427" s="1"/>
      <c r="I427" s="1"/>
      <c r="L427" s="326"/>
      <c r="M427" s="326"/>
    </row>
    <row r="428" spans="1:13" customFormat="1" ht="12.75">
      <c r="A428" s="1638"/>
      <c r="F428" s="1"/>
      <c r="G428" s="1"/>
      <c r="H428" s="1"/>
      <c r="I428" s="1"/>
      <c r="L428" s="326"/>
      <c r="M428" s="326"/>
    </row>
    <row r="429" spans="1:13" customFormat="1" ht="12.75">
      <c r="A429" s="1638"/>
      <c r="F429" s="1"/>
      <c r="G429" s="1"/>
      <c r="H429" s="1"/>
      <c r="I429" s="1"/>
      <c r="L429" s="326"/>
      <c r="M429" s="326"/>
    </row>
    <row r="430" spans="1:13" customFormat="1" ht="12.75">
      <c r="A430" s="1638"/>
      <c r="F430" s="1"/>
      <c r="G430" s="1"/>
      <c r="H430" s="1"/>
      <c r="I430" s="1"/>
      <c r="L430" s="326"/>
      <c r="M430" s="326"/>
    </row>
    <row r="431" spans="1:13" customFormat="1" ht="12.75">
      <c r="A431" s="1638"/>
      <c r="F431" s="1"/>
      <c r="G431" s="1"/>
      <c r="H431" s="1"/>
      <c r="I431" s="1"/>
      <c r="L431" s="326"/>
      <c r="M431" s="326"/>
    </row>
    <row r="432" spans="1:13" customFormat="1" ht="12.75">
      <c r="A432" s="1638"/>
      <c r="F432" s="1"/>
      <c r="G432" s="1"/>
      <c r="H432" s="1"/>
      <c r="I432" s="1"/>
      <c r="L432" s="326"/>
      <c r="M432" s="326"/>
    </row>
    <row r="433" spans="1:13" customFormat="1" ht="12.75">
      <c r="A433" s="1638"/>
      <c r="F433" s="1"/>
      <c r="G433" s="1"/>
      <c r="H433" s="1"/>
      <c r="I433" s="1"/>
      <c r="L433" s="326"/>
      <c r="M433" s="326"/>
    </row>
    <row r="434" spans="1:13" customFormat="1" ht="12.75">
      <c r="A434" s="1638"/>
      <c r="F434" s="1"/>
      <c r="G434" s="1"/>
      <c r="H434" s="1"/>
      <c r="I434" s="1"/>
      <c r="L434" s="326"/>
      <c r="M434" s="326"/>
    </row>
    <row r="435" spans="1:13" customFormat="1" ht="12.75">
      <c r="A435" s="1638"/>
      <c r="F435" s="1"/>
      <c r="G435" s="1"/>
      <c r="H435" s="1"/>
      <c r="I435" s="1"/>
      <c r="L435" s="326"/>
      <c r="M435" s="326"/>
    </row>
    <row r="436" spans="1:13" customFormat="1" ht="12.75">
      <c r="A436" s="1638"/>
      <c r="F436" s="1"/>
      <c r="G436" s="1"/>
      <c r="H436" s="1"/>
      <c r="I436" s="1"/>
      <c r="L436" s="326"/>
      <c r="M436" s="326"/>
    </row>
    <row r="437" spans="1:13" customFormat="1" ht="12.75">
      <c r="A437" s="1638"/>
      <c r="F437" s="1"/>
      <c r="G437" s="1"/>
      <c r="H437" s="1"/>
      <c r="I437" s="1"/>
      <c r="L437" s="326"/>
      <c r="M437" s="326"/>
    </row>
    <row r="438" spans="1:13" customFormat="1" ht="12.75">
      <c r="A438" s="1638"/>
      <c r="F438" s="1"/>
      <c r="G438" s="1"/>
      <c r="H438" s="1"/>
      <c r="I438" s="1"/>
      <c r="L438" s="326"/>
      <c r="M438" s="326"/>
    </row>
    <row r="439" spans="1:13" customFormat="1" ht="12.75">
      <c r="A439" s="1638"/>
      <c r="F439" s="1"/>
      <c r="G439" s="1"/>
      <c r="H439" s="1"/>
      <c r="I439" s="1"/>
      <c r="L439" s="326"/>
      <c r="M439" s="326"/>
    </row>
    <row r="440" spans="1:13" customFormat="1" ht="12.75">
      <c r="A440" s="1638"/>
      <c r="F440" s="1"/>
      <c r="G440" s="1"/>
      <c r="H440" s="1"/>
      <c r="I440" s="1"/>
      <c r="L440" s="326"/>
      <c r="M440" s="326"/>
    </row>
    <row r="441" spans="1:13" customFormat="1" ht="12.75">
      <c r="A441" s="1638"/>
      <c r="F441" s="1"/>
      <c r="G441" s="1"/>
      <c r="H441" s="1"/>
      <c r="I441" s="1"/>
      <c r="L441" s="326"/>
      <c r="M441" s="326"/>
    </row>
    <row r="442" spans="1:13" customFormat="1" ht="12.75">
      <c r="A442" s="1638"/>
      <c r="F442" s="1"/>
      <c r="G442" s="1"/>
      <c r="H442" s="1"/>
      <c r="I442" s="1"/>
      <c r="L442" s="326"/>
      <c r="M442" s="326"/>
    </row>
    <row r="443" spans="1:13" customFormat="1" ht="12.75">
      <c r="A443" s="1638"/>
      <c r="F443" s="1"/>
      <c r="G443" s="1"/>
      <c r="H443" s="1"/>
      <c r="I443" s="1"/>
      <c r="L443" s="326"/>
      <c r="M443" s="326"/>
    </row>
    <row r="444" spans="1:13" customFormat="1" ht="12.75">
      <c r="A444" s="1638"/>
      <c r="F444" s="1"/>
      <c r="G444" s="1"/>
      <c r="H444" s="1"/>
      <c r="I444" s="1"/>
      <c r="L444" s="326"/>
      <c r="M444" s="326"/>
    </row>
    <row r="445" spans="1:13" customFormat="1" ht="12.75">
      <c r="A445" s="1638"/>
      <c r="F445" s="1"/>
      <c r="G445" s="1"/>
      <c r="H445" s="1"/>
      <c r="I445" s="1"/>
      <c r="L445" s="326"/>
      <c r="M445" s="326"/>
    </row>
    <row r="446" spans="1:13" customFormat="1" ht="12.75">
      <c r="A446" s="1638"/>
      <c r="F446" s="1"/>
      <c r="G446" s="1"/>
      <c r="H446" s="1"/>
      <c r="I446" s="1"/>
      <c r="L446" s="326"/>
      <c r="M446" s="326"/>
    </row>
    <row r="447" spans="1:13" customFormat="1" ht="12.75">
      <c r="A447" s="1638"/>
      <c r="F447" s="1"/>
      <c r="G447" s="1"/>
      <c r="H447" s="1"/>
      <c r="I447" s="1"/>
      <c r="L447" s="326"/>
      <c r="M447" s="326"/>
    </row>
    <row r="448" spans="1:13" customFormat="1" ht="12.75">
      <c r="A448" s="1638"/>
      <c r="F448" s="1"/>
      <c r="G448" s="1"/>
      <c r="H448" s="1"/>
      <c r="I448" s="1"/>
      <c r="L448" s="326"/>
      <c r="M448" s="326"/>
    </row>
    <row r="449" spans="1:13" customFormat="1" ht="12.75">
      <c r="A449" s="1638"/>
      <c r="F449" s="1"/>
      <c r="G449" s="1"/>
      <c r="H449" s="1"/>
      <c r="I449" s="1"/>
      <c r="L449" s="326"/>
      <c r="M449" s="326"/>
    </row>
    <row r="450" spans="1:13" customFormat="1" ht="12.75">
      <c r="A450" s="1638"/>
      <c r="F450" s="1"/>
      <c r="G450" s="1"/>
      <c r="H450" s="1"/>
      <c r="I450" s="1"/>
      <c r="L450" s="326"/>
      <c r="M450" s="326"/>
    </row>
    <row r="451" spans="1:13" customFormat="1" ht="12.75">
      <c r="A451" s="1638"/>
      <c r="F451" s="1"/>
      <c r="G451" s="1"/>
      <c r="H451" s="1"/>
      <c r="I451" s="1"/>
      <c r="L451" s="326"/>
      <c r="M451" s="326"/>
    </row>
    <row r="452" spans="1:13" customFormat="1" ht="12.75">
      <c r="A452" s="1638"/>
      <c r="F452" s="1"/>
      <c r="G452" s="1"/>
      <c r="H452" s="1"/>
      <c r="I452" s="1"/>
      <c r="L452" s="326"/>
      <c r="M452" s="326"/>
    </row>
    <row r="453" spans="1:13" customFormat="1" ht="12.75">
      <c r="A453" s="1638"/>
      <c r="F453" s="1"/>
      <c r="G453" s="1"/>
      <c r="H453" s="1"/>
      <c r="I453" s="1"/>
      <c r="L453" s="326"/>
      <c r="M453" s="326"/>
    </row>
    <row r="454" spans="1:13" customFormat="1" ht="12.75">
      <c r="A454" s="1638"/>
      <c r="F454" s="1"/>
      <c r="G454" s="1"/>
      <c r="H454" s="1"/>
      <c r="I454" s="1"/>
      <c r="L454" s="326"/>
      <c r="M454" s="326"/>
    </row>
    <row r="455" spans="1:13" customFormat="1" ht="12.75">
      <c r="A455" s="1638"/>
      <c r="F455" s="1"/>
      <c r="G455" s="1"/>
      <c r="H455" s="1"/>
      <c r="I455" s="1"/>
      <c r="L455" s="326"/>
      <c r="M455" s="326"/>
    </row>
    <row r="456" spans="1:13" customFormat="1" ht="12.75">
      <c r="A456" s="1638"/>
      <c r="F456" s="1"/>
      <c r="G456" s="1"/>
      <c r="H456" s="1"/>
      <c r="I456" s="1"/>
      <c r="L456" s="326"/>
      <c r="M456" s="326"/>
    </row>
    <row r="457" spans="1:13" customFormat="1" ht="12.75">
      <c r="A457" s="1638"/>
      <c r="F457" s="1"/>
      <c r="G457" s="1"/>
      <c r="H457" s="1"/>
      <c r="I457" s="1"/>
      <c r="L457" s="326"/>
      <c r="M457" s="326"/>
    </row>
    <row r="458" spans="1:13" customFormat="1" ht="12.75">
      <c r="A458" s="1638"/>
      <c r="F458" s="1"/>
      <c r="G458" s="1"/>
      <c r="H458" s="1"/>
      <c r="I458" s="1"/>
      <c r="L458" s="326"/>
      <c r="M458" s="326"/>
    </row>
    <row r="459" spans="1:13" customFormat="1" ht="12.75">
      <c r="A459" s="1638"/>
      <c r="F459" s="1"/>
      <c r="G459" s="1"/>
      <c r="H459" s="1"/>
      <c r="I459" s="1"/>
      <c r="L459" s="326"/>
      <c r="M459" s="326"/>
    </row>
    <row r="460" spans="1:13" customFormat="1" ht="12.75">
      <c r="A460" s="1638"/>
      <c r="F460" s="1"/>
      <c r="G460" s="1"/>
      <c r="H460" s="1"/>
      <c r="I460" s="1"/>
      <c r="L460" s="326"/>
      <c r="M460" s="326"/>
    </row>
    <row r="461" spans="1:13" customFormat="1" ht="12.75">
      <c r="A461" s="1638"/>
      <c r="F461" s="1"/>
      <c r="G461" s="1"/>
      <c r="H461" s="1"/>
      <c r="I461" s="1"/>
      <c r="L461" s="326"/>
      <c r="M461" s="326"/>
    </row>
    <row r="462" spans="1:13" customFormat="1" ht="12.75">
      <c r="A462" s="1638"/>
      <c r="F462" s="1"/>
      <c r="G462" s="1"/>
      <c r="H462" s="1"/>
      <c r="I462" s="1"/>
      <c r="L462" s="326"/>
      <c r="M462" s="326"/>
    </row>
    <row r="463" spans="1:13" customFormat="1" ht="12.75">
      <c r="A463" s="1638"/>
      <c r="F463" s="1"/>
      <c r="G463" s="1"/>
      <c r="H463" s="1"/>
      <c r="I463" s="1"/>
      <c r="L463" s="326"/>
      <c r="M463" s="326"/>
    </row>
    <row r="464" spans="1:13" customFormat="1" ht="12.75">
      <c r="A464" s="1638"/>
      <c r="F464" s="1"/>
      <c r="G464" s="1"/>
      <c r="H464" s="1"/>
      <c r="I464" s="1"/>
      <c r="L464" s="326"/>
      <c r="M464" s="326"/>
    </row>
    <row r="465" spans="1:13" customFormat="1" ht="12.75">
      <c r="A465" s="1638"/>
      <c r="F465" s="1"/>
      <c r="G465" s="1"/>
      <c r="H465" s="1"/>
      <c r="I465" s="1"/>
      <c r="L465" s="326"/>
      <c r="M465" s="326"/>
    </row>
    <row r="466" spans="1:13" customFormat="1" ht="12.75">
      <c r="A466" s="1638"/>
      <c r="F466" s="1"/>
      <c r="G466" s="1"/>
      <c r="H466" s="1"/>
      <c r="I466" s="1"/>
      <c r="L466" s="326"/>
      <c r="M466" s="326"/>
    </row>
    <row r="467" spans="1:13" customFormat="1" ht="12.75">
      <c r="A467" s="1638"/>
      <c r="F467" s="1"/>
      <c r="G467" s="1"/>
      <c r="H467" s="1"/>
      <c r="I467" s="1"/>
      <c r="L467" s="326"/>
      <c r="M467" s="326"/>
    </row>
    <row r="468" spans="1:13" customFormat="1" ht="12.75">
      <c r="A468" s="1638"/>
      <c r="F468" s="1"/>
      <c r="G468" s="1"/>
      <c r="H468" s="1"/>
      <c r="I468" s="1"/>
      <c r="L468" s="326"/>
      <c r="M468" s="326"/>
    </row>
    <row r="469" spans="1:13" customFormat="1" ht="12.75">
      <c r="A469" s="1638"/>
      <c r="F469" s="1"/>
      <c r="G469" s="1"/>
      <c r="H469" s="1"/>
      <c r="I469" s="1"/>
      <c r="L469" s="326"/>
      <c r="M469" s="326"/>
    </row>
    <row r="470" spans="1:13" customFormat="1" ht="12.75">
      <c r="A470" s="1638"/>
      <c r="F470" s="1"/>
      <c r="G470" s="1"/>
      <c r="H470" s="1"/>
      <c r="I470" s="1"/>
      <c r="L470" s="326"/>
      <c r="M470" s="326"/>
    </row>
    <row r="471" spans="1:13" customFormat="1" ht="12.75">
      <c r="A471" s="1638"/>
      <c r="F471" s="1"/>
      <c r="G471" s="1"/>
      <c r="H471" s="1"/>
      <c r="I471" s="1"/>
      <c r="L471" s="326"/>
      <c r="M471" s="326"/>
    </row>
    <row r="472" spans="1:13" customFormat="1" ht="12.75">
      <c r="A472" s="1638"/>
      <c r="F472" s="1"/>
      <c r="G472" s="1"/>
      <c r="H472" s="1"/>
      <c r="I472" s="1"/>
      <c r="L472" s="326"/>
      <c r="M472" s="326"/>
    </row>
    <row r="473" spans="1:13" customFormat="1" ht="12.75">
      <c r="A473" s="1638"/>
      <c r="F473" s="1"/>
      <c r="G473" s="1"/>
      <c r="H473" s="1"/>
      <c r="I473" s="1"/>
      <c r="L473" s="326"/>
      <c r="M473" s="326"/>
    </row>
    <row r="474" spans="1:13" customFormat="1" ht="12.75">
      <c r="A474" s="1638"/>
      <c r="F474" s="1"/>
      <c r="G474" s="1"/>
      <c r="H474" s="1"/>
      <c r="I474" s="1"/>
      <c r="L474" s="326"/>
      <c r="M474" s="326"/>
    </row>
    <row r="475" spans="1:13" customFormat="1" ht="12.75">
      <c r="A475" s="1638"/>
      <c r="F475" s="1"/>
      <c r="G475" s="1"/>
      <c r="H475" s="1"/>
      <c r="I475" s="1"/>
      <c r="L475" s="326"/>
      <c r="M475" s="326"/>
    </row>
    <row r="476" spans="1:13" customFormat="1" ht="12.75">
      <c r="A476" s="1638"/>
      <c r="F476" s="1"/>
      <c r="G476" s="1"/>
      <c r="H476" s="1"/>
      <c r="I476" s="1"/>
      <c r="L476" s="326"/>
      <c r="M476" s="326"/>
    </row>
    <row r="477" spans="1:13" customFormat="1" ht="12.75">
      <c r="A477" s="1638"/>
      <c r="F477" s="1"/>
      <c r="G477" s="1"/>
      <c r="H477" s="1"/>
      <c r="I477" s="1"/>
      <c r="L477" s="326"/>
      <c r="M477" s="326"/>
    </row>
    <row r="478" spans="1:13" customFormat="1" ht="12.75">
      <c r="A478" s="1638"/>
      <c r="F478" s="1"/>
      <c r="G478" s="1"/>
      <c r="H478" s="1"/>
      <c r="I478" s="1"/>
      <c r="L478" s="326"/>
      <c r="M478" s="326"/>
    </row>
    <row r="479" spans="1:13" customFormat="1" ht="12.75">
      <c r="A479" s="1638"/>
      <c r="F479" s="1"/>
      <c r="G479" s="1"/>
      <c r="H479" s="1"/>
      <c r="I479" s="1"/>
      <c r="L479" s="326"/>
      <c r="M479" s="326"/>
    </row>
    <row r="480" spans="1:13" customFormat="1" ht="12.75">
      <c r="A480" s="1638"/>
      <c r="F480" s="1"/>
      <c r="G480" s="1"/>
      <c r="H480" s="1"/>
      <c r="I480" s="1"/>
      <c r="L480" s="326"/>
      <c r="M480" s="326"/>
    </row>
    <row r="481" spans="1:13" customFormat="1" ht="12.75">
      <c r="A481" s="1638"/>
      <c r="F481" s="1"/>
      <c r="G481" s="1"/>
      <c r="H481" s="1"/>
      <c r="I481" s="1"/>
      <c r="L481" s="326"/>
      <c r="M481" s="326"/>
    </row>
    <row r="482" spans="1:13" customFormat="1" ht="12.75">
      <c r="A482" s="1638"/>
      <c r="F482" s="1"/>
      <c r="G482" s="1"/>
      <c r="H482" s="1"/>
      <c r="I482" s="1"/>
      <c r="L482" s="326"/>
      <c r="M482" s="326"/>
    </row>
    <row r="483" spans="1:13" customFormat="1" ht="12.75">
      <c r="A483" s="1638"/>
      <c r="F483" s="1"/>
      <c r="G483" s="1"/>
      <c r="H483" s="1"/>
      <c r="I483" s="1"/>
      <c r="L483" s="326"/>
      <c r="M483" s="326"/>
    </row>
    <row r="484" spans="1:13" customFormat="1" ht="12.75">
      <c r="A484" s="1638"/>
      <c r="F484" s="1"/>
      <c r="G484" s="1"/>
      <c r="H484" s="1"/>
      <c r="I484" s="1"/>
      <c r="L484" s="326"/>
      <c r="M484" s="326"/>
    </row>
    <row r="485" spans="1:13" customFormat="1" ht="12.75">
      <c r="A485" s="1638"/>
      <c r="F485" s="1"/>
      <c r="G485" s="1"/>
      <c r="H485" s="1"/>
      <c r="I485" s="1"/>
      <c r="L485" s="326"/>
      <c r="M485" s="326"/>
    </row>
    <row r="486" spans="1:13" customFormat="1" ht="12.75">
      <c r="A486" s="1638"/>
      <c r="F486" s="1"/>
      <c r="G486" s="1"/>
      <c r="H486" s="1"/>
      <c r="I486" s="1"/>
      <c r="L486" s="326"/>
      <c r="M486" s="326"/>
    </row>
    <row r="487" spans="1:13" customFormat="1" ht="12.75">
      <c r="A487" s="1638"/>
      <c r="F487" s="1"/>
      <c r="G487" s="1"/>
      <c r="H487" s="1"/>
      <c r="I487" s="1"/>
      <c r="L487" s="326"/>
      <c r="M487" s="326"/>
    </row>
    <row r="488" spans="1:13" customFormat="1" ht="12.75">
      <c r="A488" s="1638"/>
      <c r="F488" s="1"/>
      <c r="G488" s="1"/>
      <c r="H488" s="1"/>
      <c r="I488" s="1"/>
      <c r="L488" s="326"/>
      <c r="M488" s="326"/>
    </row>
    <row r="489" spans="1:13" customFormat="1" ht="12.75">
      <c r="A489" s="1638"/>
      <c r="F489" s="1"/>
      <c r="G489" s="1"/>
      <c r="H489" s="1"/>
      <c r="I489" s="1"/>
      <c r="L489" s="326"/>
      <c r="M489" s="326"/>
    </row>
    <row r="490" spans="1:13" customFormat="1" ht="12.75">
      <c r="A490" s="1638"/>
      <c r="F490" s="1"/>
      <c r="G490" s="1"/>
      <c r="H490" s="1"/>
      <c r="I490" s="1"/>
      <c r="L490" s="326"/>
      <c r="M490" s="326"/>
    </row>
    <row r="491" spans="1:13" customFormat="1" ht="12.75">
      <c r="A491" s="1638"/>
      <c r="F491" s="1"/>
      <c r="G491" s="1"/>
      <c r="H491" s="1"/>
      <c r="I491" s="1"/>
      <c r="L491" s="326"/>
      <c r="M491" s="326"/>
    </row>
    <row r="492" spans="1:13" customFormat="1" ht="12.75">
      <c r="A492" s="1638"/>
      <c r="F492" s="1"/>
      <c r="G492" s="1"/>
      <c r="H492" s="1"/>
      <c r="I492" s="1"/>
      <c r="L492" s="326"/>
      <c r="M492" s="326"/>
    </row>
    <row r="493" spans="1:13" customFormat="1" ht="12.75">
      <c r="A493" s="1638"/>
      <c r="F493" s="1"/>
      <c r="G493" s="1"/>
      <c r="H493" s="1"/>
      <c r="I493" s="1"/>
      <c r="L493" s="326"/>
      <c r="M493" s="326"/>
    </row>
    <row r="494" spans="1:13" customFormat="1" ht="12.75">
      <c r="A494" s="1638"/>
      <c r="F494" s="1"/>
      <c r="G494" s="1"/>
      <c r="H494" s="1"/>
      <c r="I494" s="1"/>
      <c r="L494" s="326"/>
      <c r="M494" s="326"/>
    </row>
    <row r="495" spans="1:13" customFormat="1" ht="12.75">
      <c r="A495" s="1638"/>
      <c r="F495" s="1"/>
      <c r="G495" s="1"/>
      <c r="H495" s="1"/>
      <c r="I495" s="1"/>
      <c r="L495" s="326"/>
      <c r="M495" s="326"/>
    </row>
    <row r="496" spans="1:13" customFormat="1" ht="12.75">
      <c r="A496" s="1638"/>
      <c r="F496" s="1"/>
      <c r="G496" s="1"/>
      <c r="H496" s="1"/>
      <c r="I496" s="1"/>
      <c r="L496" s="326"/>
      <c r="M496" s="326"/>
    </row>
    <row r="497" spans="1:13" customFormat="1" ht="12.75">
      <c r="A497" s="1638"/>
      <c r="F497" s="1"/>
      <c r="G497" s="1"/>
      <c r="H497" s="1"/>
      <c r="I497" s="1"/>
      <c r="L497" s="326"/>
      <c r="M497" s="326"/>
    </row>
    <row r="498" spans="1:13" customFormat="1" ht="12.75">
      <c r="A498" s="1638"/>
      <c r="F498" s="1"/>
      <c r="G498" s="1"/>
      <c r="H498" s="1"/>
      <c r="I498" s="1"/>
      <c r="L498" s="326"/>
      <c r="M498" s="326"/>
    </row>
    <row r="499" spans="1:13" customFormat="1" ht="12.75">
      <c r="A499" s="1638"/>
      <c r="F499" s="1"/>
      <c r="G499" s="1"/>
      <c r="H499" s="1"/>
      <c r="I499" s="1"/>
      <c r="L499" s="326"/>
      <c r="M499" s="326"/>
    </row>
    <row r="500" spans="1:13" customFormat="1" ht="12.75">
      <c r="A500" s="1638"/>
      <c r="F500" s="1"/>
      <c r="G500" s="1"/>
      <c r="H500" s="1"/>
      <c r="I500" s="1"/>
      <c r="L500" s="326"/>
      <c r="M500" s="326"/>
    </row>
    <row r="501" spans="1:13" customFormat="1" ht="12.75">
      <c r="A501" s="1638"/>
      <c r="F501" s="1"/>
      <c r="G501" s="1"/>
      <c r="H501" s="1"/>
      <c r="I501" s="1"/>
      <c r="L501" s="326"/>
      <c r="M501" s="326"/>
    </row>
    <row r="502" spans="1:13" customFormat="1" ht="12.75">
      <c r="A502" s="1638"/>
      <c r="F502" s="1"/>
      <c r="G502" s="1"/>
      <c r="H502" s="1"/>
      <c r="I502" s="1"/>
      <c r="L502" s="326"/>
      <c r="M502" s="326"/>
    </row>
    <row r="503" spans="1:13" customFormat="1" ht="12.75">
      <c r="A503" s="1638"/>
      <c r="F503" s="1"/>
      <c r="G503" s="1"/>
      <c r="H503" s="1"/>
      <c r="I503" s="1"/>
      <c r="L503" s="326"/>
      <c r="M503" s="326"/>
    </row>
    <row r="504" spans="1:13" customFormat="1" ht="12.75">
      <c r="A504" s="1638"/>
      <c r="F504" s="1"/>
      <c r="G504" s="1"/>
      <c r="H504" s="1"/>
      <c r="I504" s="1"/>
      <c r="L504" s="326"/>
      <c r="M504" s="326"/>
    </row>
    <row r="505" spans="1:13" customFormat="1" ht="12.75">
      <c r="A505" s="1638"/>
      <c r="F505" s="1"/>
      <c r="G505" s="1"/>
      <c r="H505" s="1"/>
      <c r="I505" s="1"/>
      <c r="L505" s="326"/>
      <c r="M505" s="326"/>
    </row>
    <row r="506" spans="1:13" customFormat="1" ht="12.75">
      <c r="A506" s="1638"/>
      <c r="F506" s="1"/>
      <c r="G506" s="1"/>
      <c r="H506" s="1"/>
      <c r="I506" s="1"/>
      <c r="L506" s="326"/>
      <c r="M506" s="326"/>
    </row>
    <row r="507" spans="1:13" customFormat="1" ht="12.75">
      <c r="A507" s="1638"/>
      <c r="F507" s="1"/>
      <c r="G507" s="1"/>
      <c r="H507" s="1"/>
      <c r="I507" s="1"/>
      <c r="L507" s="326"/>
      <c r="M507" s="326"/>
    </row>
    <row r="508" spans="1:13" customFormat="1" ht="12.75">
      <c r="A508" s="1638"/>
      <c r="F508" s="1"/>
      <c r="G508" s="1"/>
      <c r="H508" s="1"/>
      <c r="I508" s="1"/>
      <c r="L508" s="326"/>
      <c r="M508" s="326"/>
    </row>
    <row r="509" spans="1:13" customFormat="1" ht="12.75">
      <c r="A509" s="1638"/>
      <c r="F509" s="1"/>
      <c r="G509" s="1"/>
      <c r="H509" s="1"/>
      <c r="I509" s="1"/>
      <c r="L509" s="326"/>
      <c r="M509" s="326"/>
    </row>
    <row r="510" spans="1:13" customFormat="1" ht="12.75">
      <c r="A510" s="1638"/>
      <c r="F510" s="1"/>
      <c r="G510" s="1"/>
      <c r="H510" s="1"/>
      <c r="I510" s="1"/>
      <c r="L510" s="326"/>
      <c r="M510" s="326"/>
    </row>
    <row r="511" spans="1:13" customFormat="1" ht="12.75">
      <c r="A511" s="1638"/>
      <c r="F511" s="1"/>
      <c r="G511" s="1"/>
      <c r="H511" s="1"/>
      <c r="I511" s="1"/>
      <c r="L511" s="326"/>
      <c r="M511" s="326"/>
    </row>
    <row r="512" spans="1:13" customFormat="1" ht="12.75">
      <c r="A512" s="1638"/>
      <c r="F512" s="1"/>
      <c r="G512" s="1"/>
      <c r="H512" s="1"/>
      <c r="I512" s="1"/>
      <c r="L512" s="326"/>
      <c r="M512" s="326"/>
    </row>
    <row r="513" spans="1:13" customFormat="1" ht="12.75">
      <c r="A513" s="1638"/>
      <c r="F513" s="1"/>
      <c r="G513" s="1"/>
      <c r="H513" s="1"/>
      <c r="I513" s="1"/>
      <c r="L513" s="326"/>
      <c r="M513" s="326"/>
    </row>
    <row r="514" spans="1:13" customFormat="1" ht="12.75">
      <c r="A514" s="1638"/>
      <c r="F514" s="1"/>
      <c r="G514" s="1"/>
      <c r="H514" s="1"/>
      <c r="I514" s="1"/>
      <c r="L514" s="326"/>
      <c r="M514" s="326"/>
    </row>
    <row r="515" spans="1:13" customFormat="1" ht="12.75">
      <c r="A515" s="1638"/>
      <c r="F515" s="1"/>
      <c r="G515" s="1"/>
      <c r="H515" s="1"/>
      <c r="I515" s="1"/>
      <c r="L515" s="326"/>
      <c r="M515" s="326"/>
    </row>
    <row r="516" spans="1:13" customFormat="1" ht="12.75">
      <c r="A516" s="1638"/>
      <c r="F516" s="1"/>
      <c r="G516" s="1"/>
      <c r="H516" s="1"/>
      <c r="I516" s="1"/>
      <c r="L516" s="326"/>
      <c r="M516" s="326"/>
    </row>
    <row r="517" spans="1:13" customFormat="1" ht="12.75">
      <c r="A517" s="1638"/>
      <c r="F517" s="1"/>
      <c r="G517" s="1"/>
      <c r="H517" s="1"/>
      <c r="I517" s="1"/>
      <c r="L517" s="326"/>
      <c r="M517" s="326"/>
    </row>
    <row r="518" spans="1:13" customFormat="1" ht="12.75">
      <c r="A518" s="1638"/>
      <c r="F518" s="1"/>
      <c r="G518" s="1"/>
      <c r="H518" s="1"/>
      <c r="I518" s="1"/>
      <c r="L518" s="326"/>
      <c r="M518" s="326"/>
    </row>
    <row r="519" spans="1:13" customFormat="1" ht="12.75">
      <c r="A519" s="1638"/>
      <c r="F519" s="1"/>
      <c r="G519" s="1"/>
      <c r="H519" s="1"/>
      <c r="I519" s="1"/>
      <c r="L519" s="326"/>
      <c r="M519" s="326"/>
    </row>
    <row r="520" spans="1:13" customFormat="1" ht="12.75">
      <c r="A520" s="1638"/>
      <c r="F520" s="1"/>
      <c r="G520" s="1"/>
      <c r="H520" s="1"/>
      <c r="I520" s="1"/>
      <c r="L520" s="326"/>
      <c r="M520" s="326"/>
    </row>
    <row r="521" spans="1:13" customFormat="1" ht="12.75">
      <c r="A521" s="1638"/>
      <c r="F521" s="1"/>
      <c r="G521" s="1"/>
      <c r="H521" s="1"/>
      <c r="I521" s="1"/>
      <c r="L521" s="326"/>
      <c r="M521" s="326"/>
    </row>
    <row r="522" spans="1:13" customFormat="1" ht="12.75">
      <c r="A522" s="1638"/>
      <c r="F522" s="1"/>
      <c r="G522" s="1"/>
      <c r="H522" s="1"/>
      <c r="I522" s="1"/>
      <c r="L522" s="326"/>
      <c r="M522" s="326"/>
    </row>
    <row r="523" spans="1:13" customFormat="1" ht="12.75">
      <c r="A523" s="1638"/>
      <c r="F523" s="1"/>
      <c r="G523" s="1"/>
      <c r="H523" s="1"/>
      <c r="I523" s="1"/>
      <c r="L523" s="326"/>
      <c r="M523" s="326"/>
    </row>
    <row r="524" spans="1:13" customFormat="1" ht="12.75">
      <c r="A524" s="1638"/>
      <c r="F524" s="1"/>
      <c r="G524" s="1"/>
      <c r="H524" s="1"/>
      <c r="I524" s="1"/>
      <c r="L524" s="326"/>
      <c r="M524" s="326"/>
    </row>
    <row r="525" spans="1:13" customFormat="1" ht="12.75">
      <c r="A525" s="1638"/>
      <c r="F525" s="1"/>
      <c r="G525" s="1"/>
      <c r="H525" s="1"/>
      <c r="I525" s="1"/>
      <c r="L525" s="326"/>
      <c r="M525" s="326"/>
    </row>
    <row r="526" spans="1:13" customFormat="1" ht="12.75">
      <c r="A526" s="1638"/>
      <c r="F526" s="1"/>
      <c r="G526" s="1"/>
      <c r="H526" s="1"/>
      <c r="I526" s="1"/>
      <c r="L526" s="326"/>
      <c r="M526" s="326"/>
    </row>
    <row r="527" spans="1:13" customFormat="1" ht="12.75">
      <c r="A527" s="1638"/>
      <c r="F527" s="1"/>
      <c r="G527" s="1"/>
      <c r="H527" s="1"/>
      <c r="I527" s="1"/>
      <c r="L527" s="326"/>
      <c r="M527" s="326"/>
    </row>
    <row r="528" spans="1:13" customFormat="1" ht="12.75">
      <c r="A528" s="1638"/>
      <c r="F528" s="1"/>
      <c r="G528" s="1"/>
      <c r="H528" s="1"/>
      <c r="I528" s="1"/>
      <c r="L528" s="326"/>
      <c r="M528" s="326"/>
    </row>
    <row r="529" spans="1:13" customFormat="1" ht="12.75">
      <c r="A529" s="1638"/>
      <c r="F529" s="1"/>
      <c r="G529" s="1"/>
      <c r="H529" s="1"/>
      <c r="I529" s="1"/>
      <c r="L529" s="326"/>
      <c r="M529" s="326"/>
    </row>
    <row r="530" spans="1:13" customFormat="1" ht="12.75">
      <c r="A530" s="1638"/>
      <c r="F530" s="1"/>
      <c r="G530" s="1"/>
      <c r="H530" s="1"/>
      <c r="I530" s="1"/>
      <c r="L530" s="326"/>
      <c r="M530" s="326"/>
    </row>
    <row r="531" spans="1:13" customFormat="1" ht="12.75">
      <c r="A531" s="1638"/>
      <c r="F531" s="1"/>
      <c r="G531" s="1"/>
      <c r="H531" s="1"/>
      <c r="I531" s="1"/>
      <c r="L531" s="326"/>
      <c r="M531" s="326"/>
    </row>
    <row r="532" spans="1:13" customFormat="1" ht="12.75">
      <c r="A532" s="1638"/>
      <c r="F532" s="1"/>
      <c r="G532" s="1"/>
      <c r="H532" s="1"/>
      <c r="I532" s="1"/>
      <c r="L532" s="326"/>
      <c r="M532" s="326"/>
    </row>
    <row r="533" spans="1:13" customFormat="1" ht="12.75">
      <c r="A533" s="1638"/>
      <c r="F533" s="1"/>
      <c r="G533" s="1"/>
      <c r="H533" s="1"/>
      <c r="I533" s="1"/>
      <c r="L533" s="326"/>
      <c r="M533" s="326"/>
    </row>
    <row r="534" spans="1:13" customFormat="1" ht="12.75">
      <c r="A534" s="1638"/>
      <c r="F534" s="1"/>
      <c r="G534" s="1"/>
      <c r="H534" s="1"/>
      <c r="I534" s="1"/>
      <c r="L534" s="326"/>
      <c r="M534" s="326"/>
    </row>
    <row r="535" spans="1:13" customFormat="1" ht="12.75">
      <c r="A535" s="1638"/>
      <c r="F535" s="1"/>
      <c r="G535" s="1"/>
      <c r="H535" s="1"/>
      <c r="I535" s="1"/>
      <c r="L535" s="326"/>
      <c r="M535" s="326"/>
    </row>
    <row r="536" spans="1:13" customFormat="1" ht="12.75">
      <c r="A536" s="1638"/>
      <c r="F536" s="1"/>
      <c r="G536" s="1"/>
      <c r="H536" s="1"/>
      <c r="I536" s="1"/>
      <c r="L536" s="326"/>
      <c r="M536" s="326"/>
    </row>
    <row r="537" spans="1:13" customFormat="1" ht="12.75">
      <c r="A537" s="1638"/>
      <c r="F537" s="1"/>
      <c r="G537" s="1"/>
      <c r="H537" s="1"/>
      <c r="I537" s="1"/>
      <c r="L537" s="326"/>
      <c r="M537" s="326"/>
    </row>
    <row r="538" spans="1:13" customFormat="1" ht="12.75">
      <c r="A538" s="1638"/>
      <c r="F538" s="1"/>
      <c r="G538" s="1"/>
      <c r="H538" s="1"/>
      <c r="I538" s="1"/>
      <c r="L538" s="326"/>
      <c r="M538" s="326"/>
    </row>
    <row r="539" spans="1:13" customFormat="1" ht="12.75">
      <c r="A539" s="1638"/>
      <c r="F539" s="1"/>
      <c r="G539" s="1"/>
      <c r="H539" s="1"/>
      <c r="I539" s="1"/>
      <c r="L539" s="326"/>
      <c r="M539" s="326"/>
    </row>
    <row r="540" spans="1:13" customFormat="1" ht="12.75">
      <c r="A540" s="1638"/>
      <c r="F540" s="1"/>
      <c r="G540" s="1"/>
      <c r="H540" s="1"/>
      <c r="I540" s="1"/>
      <c r="L540" s="326"/>
      <c r="M540" s="326"/>
    </row>
    <row r="541" spans="1:13" customFormat="1" ht="12.75">
      <c r="A541" s="1638"/>
      <c r="F541" s="1"/>
      <c r="G541" s="1"/>
      <c r="H541" s="1"/>
      <c r="I541" s="1"/>
      <c r="L541" s="326"/>
      <c r="M541" s="326"/>
    </row>
    <row r="542" spans="1:13" customFormat="1" ht="12.75">
      <c r="A542" s="1638"/>
      <c r="F542" s="1"/>
      <c r="G542" s="1"/>
      <c r="H542" s="1"/>
      <c r="I542" s="1"/>
      <c r="L542" s="326"/>
      <c r="M542" s="326"/>
    </row>
    <row r="543" spans="1:13" customFormat="1" ht="12.75">
      <c r="A543" s="1638"/>
      <c r="F543" s="1"/>
      <c r="G543" s="1"/>
      <c r="H543" s="1"/>
      <c r="I543" s="1"/>
      <c r="L543" s="326"/>
      <c r="M543" s="326"/>
    </row>
    <row r="544" spans="1:13" customFormat="1" ht="12.75">
      <c r="A544" s="1638"/>
      <c r="F544" s="1"/>
      <c r="G544" s="1"/>
      <c r="H544" s="1"/>
      <c r="I544" s="1"/>
      <c r="L544" s="326"/>
      <c r="M544" s="326"/>
    </row>
    <row r="545" spans="1:13" customFormat="1" ht="12.75">
      <c r="A545" s="1638"/>
      <c r="F545" s="1"/>
      <c r="G545" s="1"/>
      <c r="H545" s="1"/>
      <c r="I545" s="1"/>
      <c r="L545" s="326"/>
      <c r="M545" s="326"/>
    </row>
    <row r="546" spans="1:13" customFormat="1" ht="12.75">
      <c r="A546" s="1638"/>
      <c r="F546" s="1"/>
      <c r="G546" s="1"/>
      <c r="H546" s="1"/>
      <c r="I546" s="1"/>
      <c r="L546" s="326"/>
      <c r="M546" s="326"/>
    </row>
    <row r="547" spans="1:13" customFormat="1" ht="12.75">
      <c r="A547" s="1638"/>
      <c r="F547" s="1"/>
      <c r="G547" s="1"/>
      <c r="H547" s="1"/>
      <c r="I547" s="1"/>
      <c r="L547" s="326"/>
      <c r="M547" s="326"/>
    </row>
    <row r="548" spans="1:13" customFormat="1" ht="12.75">
      <c r="A548" s="1638"/>
      <c r="F548" s="1"/>
      <c r="G548" s="1"/>
      <c r="H548" s="1"/>
      <c r="I548" s="1"/>
      <c r="L548" s="326"/>
      <c r="M548" s="326"/>
    </row>
    <row r="549" spans="1:13" customFormat="1" ht="12.75">
      <c r="A549" s="1638"/>
      <c r="F549" s="1"/>
      <c r="G549" s="1"/>
      <c r="H549" s="1"/>
      <c r="I549" s="1"/>
      <c r="L549" s="326"/>
      <c r="M549" s="326"/>
    </row>
    <row r="550" spans="1:13" customFormat="1" ht="12.75">
      <c r="A550" s="1638"/>
      <c r="F550" s="1"/>
      <c r="G550" s="1"/>
      <c r="H550" s="1"/>
      <c r="I550" s="1"/>
      <c r="L550" s="326"/>
      <c r="M550" s="326"/>
    </row>
    <row r="551" spans="1:13" customFormat="1" ht="12.75">
      <c r="A551" s="1638"/>
      <c r="F551" s="1"/>
      <c r="G551" s="1"/>
      <c r="H551" s="1"/>
      <c r="I551" s="1"/>
      <c r="L551" s="326"/>
      <c r="M551" s="326"/>
    </row>
    <row r="552" spans="1:13" customFormat="1" ht="12.75">
      <c r="A552" s="1638"/>
      <c r="F552" s="1"/>
      <c r="G552" s="1"/>
      <c r="H552" s="1"/>
      <c r="I552" s="1"/>
      <c r="L552" s="326"/>
      <c r="M552" s="326"/>
    </row>
    <row r="553" spans="1:13" customFormat="1" ht="12.75">
      <c r="A553" s="1638"/>
      <c r="F553" s="1"/>
      <c r="G553" s="1"/>
      <c r="H553" s="1"/>
      <c r="I553" s="1"/>
      <c r="L553" s="326"/>
      <c r="M553" s="326"/>
    </row>
    <row r="554" spans="1:13" customFormat="1" ht="12.75">
      <c r="A554" s="1638"/>
      <c r="F554" s="1"/>
      <c r="G554" s="1"/>
      <c r="H554" s="1"/>
      <c r="I554" s="1"/>
      <c r="L554" s="326"/>
      <c r="M554" s="326"/>
    </row>
    <row r="555" spans="1:13" customFormat="1" ht="12.75">
      <c r="A555" s="1638"/>
      <c r="F555" s="1"/>
      <c r="G555" s="1"/>
      <c r="H555" s="1"/>
      <c r="I555" s="1"/>
      <c r="L555" s="326"/>
      <c r="M555" s="326"/>
    </row>
    <row r="556" spans="1:13" customFormat="1" ht="12.75">
      <c r="A556" s="1638"/>
      <c r="F556" s="1"/>
      <c r="G556" s="1"/>
      <c r="H556" s="1"/>
      <c r="I556" s="1"/>
      <c r="L556" s="326"/>
      <c r="M556" s="326"/>
    </row>
    <row r="557" spans="1:13" customFormat="1" ht="12.75">
      <c r="A557" s="1638"/>
      <c r="F557" s="1"/>
      <c r="G557" s="1"/>
      <c r="H557" s="1"/>
      <c r="I557" s="1"/>
      <c r="L557" s="326"/>
      <c r="M557" s="326"/>
    </row>
    <row r="558" spans="1:13" customFormat="1" ht="12.75">
      <c r="A558" s="1638"/>
      <c r="F558" s="1"/>
      <c r="G558" s="1"/>
      <c r="H558" s="1"/>
      <c r="I558" s="1"/>
      <c r="L558" s="326"/>
      <c r="M558" s="326"/>
    </row>
    <row r="559" spans="1:13" customFormat="1" ht="12.75">
      <c r="A559" s="1638"/>
      <c r="F559" s="1"/>
      <c r="G559" s="1"/>
      <c r="H559" s="1"/>
      <c r="I559" s="1"/>
      <c r="L559" s="326"/>
      <c r="M559" s="326"/>
    </row>
    <row r="560" spans="1:13" customFormat="1" ht="12.75">
      <c r="A560" s="1638"/>
      <c r="F560" s="1"/>
      <c r="G560" s="1"/>
      <c r="H560" s="1"/>
      <c r="I560" s="1"/>
      <c r="L560" s="326"/>
      <c r="M560" s="326"/>
    </row>
    <row r="561" spans="1:13" customFormat="1" ht="12.75">
      <c r="A561" s="1638"/>
      <c r="F561" s="1"/>
      <c r="G561" s="1"/>
      <c r="H561" s="1"/>
      <c r="I561" s="1"/>
      <c r="L561" s="326"/>
      <c r="M561" s="326"/>
    </row>
    <row r="562" spans="1:13" customFormat="1" ht="12.75">
      <c r="A562" s="1638"/>
      <c r="F562" s="1"/>
      <c r="G562" s="1"/>
      <c r="H562" s="1"/>
      <c r="I562" s="1"/>
      <c r="L562" s="326"/>
      <c r="M562" s="326"/>
    </row>
    <row r="563" spans="1:13" customFormat="1" ht="12.75">
      <c r="A563" s="1638"/>
      <c r="F563" s="1"/>
      <c r="G563" s="1"/>
      <c r="H563" s="1"/>
      <c r="I563" s="1"/>
      <c r="L563" s="326"/>
      <c r="M563" s="326"/>
    </row>
    <row r="564" spans="1:13" customFormat="1" ht="12.75">
      <c r="A564" s="1638"/>
      <c r="F564" s="1"/>
      <c r="G564" s="1"/>
      <c r="H564" s="1"/>
      <c r="I564" s="1"/>
      <c r="L564" s="326"/>
      <c r="M564" s="326"/>
    </row>
    <row r="565" spans="1:13" customFormat="1" ht="12.75">
      <c r="A565" s="1638"/>
      <c r="F565" s="1"/>
      <c r="G565" s="1"/>
      <c r="H565" s="1"/>
      <c r="I565" s="1"/>
      <c r="L565" s="326"/>
      <c r="M565" s="326"/>
    </row>
    <row r="566" spans="1:13" customFormat="1" ht="12.75">
      <c r="A566" s="1638"/>
      <c r="F566" s="1"/>
      <c r="G566" s="1"/>
      <c r="H566" s="1"/>
      <c r="I566" s="1"/>
      <c r="L566" s="326"/>
      <c r="M566" s="326"/>
    </row>
    <row r="567" spans="1:13" customFormat="1" ht="12.75">
      <c r="A567" s="1638"/>
      <c r="F567" s="1"/>
      <c r="G567" s="1"/>
      <c r="H567" s="1"/>
      <c r="I567" s="1"/>
      <c r="L567" s="326"/>
      <c r="M567" s="326"/>
    </row>
    <row r="568" spans="1:13" customFormat="1" ht="12.75">
      <c r="A568" s="1638"/>
      <c r="F568" s="1"/>
      <c r="G568" s="1"/>
      <c r="H568" s="1"/>
      <c r="I568" s="1"/>
      <c r="L568" s="326"/>
      <c r="M568" s="326"/>
    </row>
    <row r="569" spans="1:13" customFormat="1" ht="12.75">
      <c r="A569" s="1638"/>
      <c r="F569" s="1"/>
      <c r="G569" s="1"/>
      <c r="H569" s="1"/>
      <c r="I569" s="1"/>
      <c r="L569" s="326"/>
      <c r="M569" s="326"/>
    </row>
    <row r="570" spans="1:13" customFormat="1" ht="12.75">
      <c r="A570" s="1638"/>
      <c r="F570" s="1"/>
      <c r="G570" s="1"/>
      <c r="H570" s="1"/>
      <c r="I570" s="1"/>
      <c r="L570" s="326"/>
      <c r="M570" s="326"/>
    </row>
    <row r="571" spans="1:13" customFormat="1" ht="12.75">
      <c r="A571" s="1638"/>
      <c r="F571" s="1"/>
      <c r="G571" s="1"/>
      <c r="H571" s="1"/>
      <c r="I571" s="1"/>
      <c r="L571" s="326"/>
      <c r="M571" s="326"/>
    </row>
    <row r="572" spans="1:13" customFormat="1" ht="12.75">
      <c r="A572" s="1638"/>
      <c r="F572" s="1"/>
      <c r="G572" s="1"/>
      <c r="H572" s="1"/>
      <c r="I572" s="1"/>
      <c r="L572" s="326"/>
      <c r="M572" s="326"/>
    </row>
    <row r="573" spans="1:13" customFormat="1" ht="12.75">
      <c r="A573" s="1638"/>
      <c r="F573" s="1"/>
      <c r="G573" s="1"/>
      <c r="H573" s="1"/>
      <c r="I573" s="1"/>
      <c r="L573" s="326"/>
      <c r="M573" s="326"/>
    </row>
    <row r="574" spans="1:13" customFormat="1" ht="12.75">
      <c r="A574" s="1638"/>
      <c r="F574" s="1"/>
      <c r="G574" s="1"/>
      <c r="H574" s="1"/>
      <c r="I574" s="1"/>
      <c r="L574" s="326"/>
      <c r="M574" s="326"/>
    </row>
    <row r="575" spans="1:13" customFormat="1" ht="12.75">
      <c r="A575" s="1638"/>
      <c r="F575" s="1"/>
      <c r="G575" s="1"/>
      <c r="H575" s="1"/>
      <c r="I575" s="1"/>
      <c r="L575" s="326"/>
      <c r="M575" s="326"/>
    </row>
    <row r="576" spans="1:13" customFormat="1" ht="12.75">
      <c r="A576" s="1638"/>
      <c r="F576" s="1"/>
      <c r="G576" s="1"/>
      <c r="H576" s="1"/>
      <c r="I576" s="1"/>
      <c r="L576" s="326"/>
      <c r="M576" s="326"/>
    </row>
    <row r="577" spans="1:13" customFormat="1" ht="12.75">
      <c r="A577" s="1638"/>
      <c r="F577" s="1"/>
      <c r="G577" s="1"/>
      <c r="H577" s="1"/>
      <c r="I577" s="1"/>
      <c r="L577" s="326"/>
      <c r="M577" s="326"/>
    </row>
    <row r="578" spans="1:13" customFormat="1" ht="12.75">
      <c r="A578" s="1638"/>
      <c r="F578" s="1"/>
      <c r="G578" s="1"/>
      <c r="H578" s="1"/>
      <c r="I578" s="1"/>
      <c r="L578" s="326"/>
      <c r="M578" s="326"/>
    </row>
    <row r="579" spans="1:13" customFormat="1" ht="12.75">
      <c r="A579" s="1638"/>
      <c r="F579" s="1"/>
      <c r="G579" s="1"/>
      <c r="H579" s="1"/>
      <c r="I579" s="1"/>
      <c r="L579" s="326"/>
      <c r="M579" s="326"/>
    </row>
    <row r="580" spans="1:13" customFormat="1" ht="12.75">
      <c r="A580" s="1638"/>
      <c r="F580" s="1"/>
      <c r="G580" s="1"/>
      <c r="H580" s="1"/>
      <c r="I580" s="1"/>
      <c r="L580" s="326"/>
      <c r="M580" s="326"/>
    </row>
    <row r="581" spans="1:13" customFormat="1" ht="12.75">
      <c r="A581" s="1638"/>
      <c r="F581" s="1"/>
      <c r="G581" s="1"/>
      <c r="H581" s="1"/>
      <c r="I581" s="1"/>
      <c r="L581" s="326"/>
      <c r="M581" s="326"/>
    </row>
    <row r="582" spans="1:13" customFormat="1" ht="12.75">
      <c r="A582" s="1638"/>
      <c r="F582" s="1"/>
      <c r="G582" s="1"/>
      <c r="H582" s="1"/>
      <c r="I582" s="1"/>
      <c r="L582" s="326"/>
      <c r="M582" s="326"/>
    </row>
    <row r="583" spans="1:13" customFormat="1" ht="12.75">
      <c r="A583" s="1638"/>
      <c r="F583" s="1"/>
      <c r="G583" s="1"/>
      <c r="H583" s="1"/>
      <c r="I583" s="1"/>
      <c r="L583" s="326"/>
      <c r="M583" s="326"/>
    </row>
    <row r="584" spans="1:13" customFormat="1" ht="12.75">
      <c r="A584" s="1638"/>
      <c r="F584" s="1"/>
      <c r="G584" s="1"/>
      <c r="H584" s="1"/>
      <c r="I584" s="1"/>
      <c r="L584" s="326"/>
      <c r="M584" s="326"/>
    </row>
    <row r="585" spans="1:13" customFormat="1" ht="12.75">
      <c r="A585" s="1638"/>
      <c r="F585" s="1"/>
      <c r="G585" s="1"/>
      <c r="H585" s="1"/>
      <c r="I585" s="1"/>
      <c r="L585" s="326"/>
      <c r="M585" s="326"/>
    </row>
    <row r="586" spans="1:13" customFormat="1" ht="12.75">
      <c r="A586" s="1638"/>
      <c r="F586" s="1"/>
      <c r="G586" s="1"/>
      <c r="H586" s="1"/>
      <c r="I586" s="1"/>
      <c r="L586" s="326"/>
      <c r="M586" s="326"/>
    </row>
    <row r="587" spans="1:13" customFormat="1" ht="12.75">
      <c r="A587" s="1638"/>
      <c r="F587" s="1"/>
      <c r="G587" s="1"/>
      <c r="H587" s="1"/>
      <c r="I587" s="1"/>
      <c r="L587" s="326"/>
      <c r="M587" s="326"/>
    </row>
    <row r="588" spans="1:13" customFormat="1" ht="12.75">
      <c r="A588" s="1638"/>
      <c r="F588" s="1"/>
      <c r="G588" s="1"/>
      <c r="H588" s="1"/>
      <c r="I588" s="1"/>
      <c r="L588" s="326"/>
      <c r="M588" s="326"/>
    </row>
    <row r="589" spans="1:13" customFormat="1" ht="12.75">
      <c r="A589" s="1638"/>
      <c r="F589" s="1"/>
      <c r="G589" s="1"/>
      <c r="H589" s="1"/>
      <c r="I589" s="1"/>
      <c r="L589" s="326"/>
      <c r="M589" s="326"/>
    </row>
    <row r="590" spans="1:13" customFormat="1" ht="12.75">
      <c r="A590" s="1638"/>
      <c r="F590" s="1"/>
      <c r="G590" s="1"/>
      <c r="H590" s="1"/>
      <c r="I590" s="1"/>
      <c r="L590" s="326"/>
      <c r="M590" s="326"/>
    </row>
    <row r="591" spans="1:13" customFormat="1" ht="12.75">
      <c r="A591" s="1638"/>
      <c r="F591" s="1"/>
      <c r="G591" s="1"/>
      <c r="H591" s="1"/>
      <c r="I591" s="1"/>
      <c r="L591" s="326"/>
      <c r="M591" s="326"/>
    </row>
    <row r="592" spans="1:13" customFormat="1" ht="12.75">
      <c r="A592" s="1638"/>
      <c r="F592" s="1"/>
      <c r="G592" s="1"/>
      <c r="H592" s="1"/>
      <c r="I592" s="1"/>
      <c r="L592" s="326"/>
      <c r="M592" s="326"/>
    </row>
    <row r="593" spans="1:13" customFormat="1" ht="12.75">
      <c r="A593" s="1638"/>
      <c r="F593" s="1"/>
      <c r="G593" s="1"/>
      <c r="H593" s="1"/>
      <c r="I593" s="1"/>
      <c r="L593" s="326"/>
      <c r="M593" s="326"/>
    </row>
    <row r="594" spans="1:13" customFormat="1" ht="12.75">
      <c r="A594" s="1638"/>
      <c r="F594" s="1"/>
      <c r="G594" s="1"/>
      <c r="H594" s="1"/>
      <c r="I594" s="1"/>
      <c r="L594" s="326"/>
      <c r="M594" s="326"/>
    </row>
    <row r="595" spans="1:13" customFormat="1" ht="12.75">
      <c r="A595" s="1638"/>
      <c r="F595" s="1"/>
      <c r="G595" s="1"/>
      <c r="H595" s="1"/>
      <c r="I595" s="1"/>
      <c r="L595" s="326"/>
      <c r="M595" s="326"/>
    </row>
    <row r="596" spans="1:13" customFormat="1" ht="12.75">
      <c r="A596" s="1638"/>
      <c r="F596" s="1"/>
      <c r="G596" s="1"/>
      <c r="H596" s="1"/>
      <c r="I596" s="1"/>
      <c r="L596" s="326"/>
      <c r="M596" s="326"/>
    </row>
    <row r="597" spans="1:13" customFormat="1" ht="12.75">
      <c r="A597" s="1638"/>
      <c r="F597" s="1"/>
      <c r="G597" s="1"/>
      <c r="H597" s="1"/>
      <c r="I597" s="1"/>
      <c r="L597" s="326"/>
      <c r="M597" s="326"/>
    </row>
    <row r="598" spans="1:13" customFormat="1" ht="12.75">
      <c r="A598" s="1638"/>
      <c r="F598" s="1"/>
      <c r="G598" s="1"/>
      <c r="H598" s="1"/>
      <c r="I598" s="1"/>
      <c r="L598" s="326"/>
      <c r="M598" s="326"/>
    </row>
    <row r="599" spans="1:13" customFormat="1" ht="12.75">
      <c r="A599" s="1638"/>
      <c r="F599" s="1"/>
      <c r="G599" s="1"/>
      <c r="H599" s="1"/>
      <c r="I599" s="1"/>
      <c r="L599" s="326"/>
      <c r="M599" s="326"/>
    </row>
    <row r="600" spans="1:13" customFormat="1" ht="12.75">
      <c r="A600" s="1638"/>
      <c r="F600" s="1"/>
      <c r="G600" s="1"/>
      <c r="H600" s="1"/>
      <c r="I600" s="1"/>
      <c r="L600" s="326"/>
      <c r="M600" s="326"/>
    </row>
    <row r="601" spans="1:13" customFormat="1" ht="12.75">
      <c r="A601" s="1638"/>
      <c r="F601" s="1"/>
      <c r="G601" s="1"/>
      <c r="H601" s="1"/>
      <c r="I601" s="1"/>
      <c r="L601" s="326"/>
      <c r="M601" s="326"/>
    </row>
    <row r="602" spans="1:13" customFormat="1" ht="12.75">
      <c r="A602" s="1638"/>
      <c r="F602" s="1"/>
      <c r="G602" s="1"/>
      <c r="H602" s="1"/>
      <c r="I602" s="1"/>
      <c r="L602" s="326"/>
      <c r="M602" s="326"/>
    </row>
    <row r="603" spans="1:13" customFormat="1" ht="12.75">
      <c r="A603" s="1638"/>
      <c r="F603" s="1"/>
      <c r="G603" s="1"/>
      <c r="H603" s="1"/>
      <c r="I603" s="1"/>
      <c r="L603" s="326"/>
      <c r="M603" s="326"/>
    </row>
    <row r="604" spans="1:13" customFormat="1" ht="12.75">
      <c r="A604" s="1638"/>
      <c r="F604" s="1"/>
      <c r="G604" s="1"/>
      <c r="H604" s="1"/>
      <c r="I604" s="1"/>
      <c r="L604" s="326"/>
      <c r="M604" s="326"/>
    </row>
    <row r="605" spans="1:13" customFormat="1" ht="12.75">
      <c r="A605" s="1638"/>
      <c r="F605" s="1"/>
      <c r="G605" s="1"/>
      <c r="H605" s="1"/>
      <c r="I605" s="1"/>
      <c r="L605" s="326"/>
      <c r="M605" s="326"/>
    </row>
    <row r="606" spans="1:13" customFormat="1" ht="12.75">
      <c r="A606" s="1638"/>
      <c r="F606" s="1"/>
      <c r="G606" s="1"/>
      <c r="H606" s="1"/>
      <c r="I606" s="1"/>
      <c r="L606" s="326"/>
      <c r="M606" s="326"/>
    </row>
    <row r="607" spans="1:13" customFormat="1" ht="12.75">
      <c r="A607" s="1638"/>
      <c r="F607" s="1"/>
      <c r="G607" s="1"/>
      <c r="H607" s="1"/>
      <c r="I607" s="1"/>
      <c r="L607" s="326"/>
      <c r="M607" s="326"/>
    </row>
    <row r="608" spans="1:13" customFormat="1" ht="12.75">
      <c r="A608" s="1638"/>
      <c r="F608" s="1"/>
      <c r="G608" s="1"/>
      <c r="H608" s="1"/>
      <c r="I608" s="1"/>
      <c r="L608" s="326"/>
      <c r="M608" s="326"/>
    </row>
    <row r="609" spans="1:13" customFormat="1" ht="12.75">
      <c r="A609" s="1638"/>
      <c r="F609" s="1"/>
      <c r="G609" s="1"/>
      <c r="H609" s="1"/>
      <c r="I609" s="1"/>
      <c r="L609" s="326"/>
      <c r="M609" s="326"/>
    </row>
    <row r="610" spans="1:13" customFormat="1" ht="12.75">
      <c r="A610" s="1638"/>
      <c r="F610" s="1"/>
      <c r="G610" s="1"/>
      <c r="H610" s="1"/>
      <c r="I610" s="1"/>
      <c r="L610" s="326"/>
      <c r="M610" s="326"/>
    </row>
    <row r="611" spans="1:13" customFormat="1" ht="12.75">
      <c r="A611" s="1638"/>
      <c r="F611" s="1"/>
      <c r="G611" s="1"/>
      <c r="H611" s="1"/>
      <c r="I611" s="1"/>
      <c r="L611" s="326"/>
      <c r="M611" s="326"/>
    </row>
    <row r="612" spans="1:13" customFormat="1" ht="12.75">
      <c r="A612" s="1638"/>
      <c r="F612" s="1"/>
      <c r="G612" s="1"/>
      <c r="H612" s="1"/>
      <c r="I612" s="1"/>
      <c r="L612" s="326"/>
      <c r="M612" s="326"/>
    </row>
    <row r="613" spans="1:13" customFormat="1" ht="12.75">
      <c r="A613" s="1638"/>
      <c r="F613" s="1"/>
      <c r="G613" s="1"/>
      <c r="H613" s="1"/>
      <c r="I613" s="1"/>
      <c r="L613" s="326"/>
      <c r="M613" s="326"/>
    </row>
    <row r="614" spans="1:13" customFormat="1" ht="12.75">
      <c r="A614" s="1638"/>
      <c r="F614" s="1"/>
      <c r="G614" s="1"/>
      <c r="H614" s="1"/>
      <c r="I614" s="1"/>
      <c r="L614" s="326"/>
      <c r="M614" s="326"/>
    </row>
    <row r="615" spans="1:13" customFormat="1" ht="12.75">
      <c r="A615" s="1638"/>
      <c r="F615" s="1"/>
      <c r="G615" s="1"/>
      <c r="H615" s="1"/>
      <c r="I615" s="1"/>
      <c r="L615" s="326"/>
      <c r="M615" s="326"/>
    </row>
    <row r="616" spans="1:13" customFormat="1" ht="12.75">
      <c r="A616" s="1638"/>
      <c r="F616" s="1"/>
      <c r="G616" s="1"/>
      <c r="H616" s="1"/>
      <c r="I616" s="1"/>
      <c r="L616" s="326"/>
      <c r="M616" s="326"/>
    </row>
    <row r="617" spans="1:13" customFormat="1" ht="12.75">
      <c r="A617" s="1638"/>
      <c r="F617" s="1"/>
      <c r="G617" s="1"/>
      <c r="H617" s="1"/>
      <c r="I617" s="1"/>
      <c r="L617" s="326"/>
      <c r="M617" s="326"/>
    </row>
    <row r="618" spans="1:13" customFormat="1" ht="12.75">
      <c r="A618" s="1638"/>
      <c r="F618" s="1"/>
      <c r="G618" s="1"/>
      <c r="H618" s="1"/>
      <c r="I618" s="1"/>
      <c r="L618" s="326"/>
      <c r="M618" s="326"/>
    </row>
    <row r="619" spans="1:13" customFormat="1" ht="12.75">
      <c r="A619" s="1638"/>
      <c r="F619" s="1"/>
      <c r="G619" s="1"/>
      <c r="H619" s="1"/>
      <c r="I619" s="1"/>
      <c r="L619" s="326"/>
      <c r="M619" s="326"/>
    </row>
    <row r="620" spans="1:13" customFormat="1" ht="12.75">
      <c r="A620" s="1638"/>
      <c r="F620" s="1"/>
      <c r="G620" s="1"/>
      <c r="H620" s="1"/>
      <c r="I620" s="1"/>
      <c r="L620" s="326"/>
      <c r="M620" s="326"/>
    </row>
    <row r="621" spans="1:13" customFormat="1" ht="12.75">
      <c r="A621" s="1638"/>
      <c r="F621" s="1"/>
      <c r="G621" s="1"/>
      <c r="H621" s="1"/>
      <c r="I621" s="1"/>
      <c r="L621" s="326"/>
      <c r="M621" s="326"/>
    </row>
    <row r="622" spans="1:13" customFormat="1" ht="12.75">
      <c r="A622" s="1638"/>
      <c r="F622" s="1"/>
      <c r="G622" s="1"/>
      <c r="H622" s="1"/>
      <c r="I622" s="1"/>
      <c r="L622" s="326"/>
      <c r="M622" s="326"/>
    </row>
    <row r="623" spans="1:13" customFormat="1" ht="12.75">
      <c r="A623" s="1638"/>
      <c r="F623" s="1"/>
      <c r="G623" s="1"/>
      <c r="H623" s="1"/>
      <c r="I623" s="1"/>
      <c r="L623" s="326"/>
      <c r="M623" s="326"/>
    </row>
    <row r="624" spans="1:13" customFormat="1" ht="12.75">
      <c r="A624" s="1638"/>
      <c r="F624" s="1"/>
      <c r="G624" s="1"/>
      <c r="H624" s="1"/>
      <c r="I624" s="1"/>
      <c r="L624" s="326"/>
      <c r="M624" s="326"/>
    </row>
    <row r="625" spans="1:13" customFormat="1" ht="12.75">
      <c r="A625" s="1638"/>
      <c r="F625" s="1"/>
      <c r="G625" s="1"/>
      <c r="H625" s="1"/>
      <c r="I625" s="1"/>
      <c r="L625" s="326"/>
      <c r="M625" s="326"/>
    </row>
    <row r="626" spans="1:13" customFormat="1" ht="12.75">
      <c r="A626" s="1638"/>
      <c r="F626" s="1"/>
      <c r="G626" s="1"/>
      <c r="H626" s="1"/>
      <c r="I626" s="1"/>
      <c r="L626" s="326"/>
      <c r="M626" s="326"/>
    </row>
    <row r="627" spans="1:13" customFormat="1" ht="12.75">
      <c r="A627" s="1638"/>
      <c r="F627" s="1"/>
      <c r="G627" s="1"/>
      <c r="H627" s="1"/>
      <c r="I627" s="1"/>
      <c r="L627" s="326"/>
      <c r="M627" s="326"/>
    </row>
    <row r="628" spans="1:13" customFormat="1" ht="12.75">
      <c r="A628" s="1638"/>
      <c r="F628" s="1"/>
      <c r="G628" s="1"/>
      <c r="H628" s="1"/>
      <c r="I628" s="1"/>
      <c r="L628" s="326"/>
      <c r="M628" s="326"/>
    </row>
    <row r="629" spans="1:13" customFormat="1" ht="12.75">
      <c r="A629" s="1638"/>
      <c r="F629" s="1"/>
      <c r="G629" s="1"/>
      <c r="H629" s="1"/>
      <c r="I629" s="1"/>
      <c r="L629" s="326"/>
      <c r="M629" s="326"/>
    </row>
    <row r="630" spans="1:13" customFormat="1" ht="12.75">
      <c r="A630" s="1638"/>
      <c r="F630" s="1"/>
      <c r="G630" s="1"/>
      <c r="H630" s="1"/>
      <c r="I630" s="1"/>
      <c r="L630" s="326"/>
      <c r="M630" s="326"/>
    </row>
    <row r="631" spans="1:13" customFormat="1" ht="12.75">
      <c r="A631" s="1638"/>
      <c r="F631" s="1"/>
      <c r="G631" s="1"/>
      <c r="H631" s="1"/>
      <c r="I631" s="1"/>
      <c r="L631" s="326"/>
      <c r="M631" s="326"/>
    </row>
    <row r="632" spans="1:13" customFormat="1" ht="12.75">
      <c r="A632" s="1638"/>
      <c r="F632" s="1"/>
      <c r="G632" s="1"/>
      <c r="H632" s="1"/>
      <c r="I632" s="1"/>
      <c r="L632" s="326"/>
      <c r="M632" s="326"/>
    </row>
    <row r="633" spans="1:13" customFormat="1" ht="12.75">
      <c r="A633" s="1638"/>
      <c r="F633" s="1"/>
      <c r="G633" s="1"/>
      <c r="H633" s="1"/>
      <c r="I633" s="1"/>
      <c r="L633" s="326"/>
      <c r="M633" s="326"/>
    </row>
    <row r="634" spans="1:13" customFormat="1" ht="12.75">
      <c r="A634" s="1638"/>
      <c r="F634" s="1"/>
      <c r="G634" s="1"/>
      <c r="H634" s="1"/>
      <c r="I634" s="1"/>
      <c r="L634" s="326"/>
      <c r="M634" s="326"/>
    </row>
    <row r="635" spans="1:13" customFormat="1" ht="12.75">
      <c r="A635" s="1638"/>
      <c r="F635" s="1"/>
      <c r="G635" s="1"/>
      <c r="H635" s="1"/>
      <c r="I635" s="1"/>
      <c r="L635" s="326"/>
      <c r="M635" s="326"/>
    </row>
    <row r="636" spans="1:13" customFormat="1" ht="12.75">
      <c r="A636" s="1638"/>
      <c r="F636" s="1"/>
      <c r="G636" s="1"/>
      <c r="H636" s="1"/>
      <c r="I636" s="1"/>
      <c r="L636" s="326"/>
      <c r="M636" s="326"/>
    </row>
    <row r="637" spans="1:13" customFormat="1" ht="12.75">
      <c r="A637" s="1638"/>
      <c r="F637" s="1"/>
      <c r="G637" s="1"/>
      <c r="H637" s="1"/>
      <c r="I637" s="1"/>
      <c r="L637" s="326"/>
      <c r="M637" s="326"/>
    </row>
    <row r="638" spans="1:13" customFormat="1" ht="12.75">
      <c r="A638" s="1638"/>
      <c r="F638" s="1"/>
      <c r="G638" s="1"/>
      <c r="H638" s="1"/>
      <c r="I638" s="1"/>
      <c r="L638" s="326"/>
      <c r="M638" s="326"/>
    </row>
    <row r="639" spans="1:13" customFormat="1" ht="12.75">
      <c r="A639" s="1638"/>
      <c r="F639" s="1"/>
      <c r="G639" s="1"/>
      <c r="H639" s="1"/>
      <c r="I639" s="1"/>
      <c r="L639" s="326"/>
      <c r="M639" s="326"/>
    </row>
    <row r="640" spans="1:13" customFormat="1" ht="12.75">
      <c r="A640" s="1638"/>
      <c r="F640" s="1"/>
      <c r="G640" s="1"/>
      <c r="H640" s="1"/>
      <c r="I640" s="1"/>
      <c r="L640" s="326"/>
      <c r="M640" s="326"/>
    </row>
    <row r="641" spans="1:13" customFormat="1" ht="12.75">
      <c r="A641" s="1638"/>
      <c r="F641" s="1"/>
      <c r="G641" s="1"/>
      <c r="H641" s="1"/>
      <c r="I641" s="1"/>
      <c r="L641" s="326"/>
      <c r="M641" s="326"/>
    </row>
    <row r="642" spans="1:13" customFormat="1" ht="12.75">
      <c r="A642" s="1638"/>
      <c r="F642" s="1"/>
      <c r="G642" s="1"/>
      <c r="H642" s="1"/>
      <c r="I642" s="1"/>
      <c r="L642" s="326"/>
      <c r="M642" s="326"/>
    </row>
    <row r="643" spans="1:13" customFormat="1" ht="12.75">
      <c r="A643" s="1638"/>
      <c r="F643" s="1"/>
      <c r="G643" s="1"/>
      <c r="H643" s="1"/>
      <c r="I643" s="1"/>
      <c r="L643" s="326"/>
      <c r="M643" s="326"/>
    </row>
    <row r="644" spans="1:13" customFormat="1" ht="12.75">
      <c r="A644" s="1638"/>
      <c r="F644" s="1"/>
      <c r="G644" s="1"/>
      <c r="H644" s="1"/>
      <c r="I644" s="1"/>
      <c r="L644" s="326"/>
      <c r="M644" s="326"/>
    </row>
    <row r="645" spans="1:13" customFormat="1" ht="12.75">
      <c r="A645" s="1638"/>
      <c r="F645" s="1"/>
      <c r="G645" s="1"/>
      <c r="H645" s="1"/>
      <c r="I645" s="1"/>
      <c r="L645" s="326"/>
      <c r="M645" s="326"/>
    </row>
    <row r="646" spans="1:13" customFormat="1" ht="12.75">
      <c r="A646" s="1638"/>
      <c r="F646" s="1"/>
      <c r="G646" s="1"/>
      <c r="H646" s="1"/>
      <c r="I646" s="1"/>
      <c r="L646" s="326"/>
      <c r="M646" s="326"/>
    </row>
    <row r="647" spans="1:13" customFormat="1" ht="12.75">
      <c r="A647" s="1638"/>
      <c r="F647" s="1"/>
      <c r="G647" s="1"/>
      <c r="H647" s="1"/>
      <c r="I647" s="1"/>
      <c r="L647" s="326"/>
      <c r="M647" s="326"/>
    </row>
    <row r="648" spans="1:13" customFormat="1" ht="12.75">
      <c r="A648" s="1638"/>
      <c r="F648" s="1"/>
      <c r="G648" s="1"/>
      <c r="H648" s="1"/>
      <c r="I648" s="1"/>
      <c r="L648" s="326"/>
      <c r="M648" s="326"/>
    </row>
    <row r="649" spans="1:13" customFormat="1" ht="12.75">
      <c r="A649" s="1638"/>
      <c r="F649" s="1"/>
      <c r="G649" s="1"/>
      <c r="H649" s="1"/>
      <c r="I649" s="1"/>
      <c r="L649" s="326"/>
      <c r="M649" s="326"/>
    </row>
    <row r="650" spans="1:13" customFormat="1" ht="12.75">
      <c r="A650" s="1638"/>
      <c r="F650" s="1"/>
      <c r="G650" s="1"/>
      <c r="H650" s="1"/>
      <c r="I650" s="1"/>
      <c r="L650" s="326"/>
      <c r="M650" s="326"/>
    </row>
    <row r="651" spans="1:13" customFormat="1" ht="12.75">
      <c r="A651" s="1638"/>
      <c r="F651" s="1"/>
      <c r="G651" s="1"/>
      <c r="H651" s="1"/>
      <c r="I651" s="1"/>
      <c r="L651" s="326"/>
      <c r="M651" s="326"/>
    </row>
    <row r="652" spans="1:13" customFormat="1" ht="12.75">
      <c r="A652" s="1638"/>
      <c r="F652" s="1"/>
      <c r="G652" s="1"/>
      <c r="H652" s="1"/>
      <c r="I652" s="1"/>
      <c r="L652" s="326"/>
      <c r="M652" s="326"/>
    </row>
    <row r="653" spans="1:13" customFormat="1" ht="12.75">
      <c r="A653" s="1638"/>
      <c r="F653" s="1"/>
      <c r="G653" s="1"/>
      <c r="H653" s="1"/>
      <c r="I653" s="1"/>
      <c r="L653" s="326"/>
      <c r="M653" s="326"/>
    </row>
    <row r="654" spans="1:13" customFormat="1" ht="12.75">
      <c r="A654" s="1638"/>
      <c r="F654" s="1"/>
      <c r="G654" s="1"/>
      <c r="H654" s="1"/>
      <c r="I654" s="1"/>
      <c r="L654" s="326"/>
      <c r="M654" s="326"/>
    </row>
    <row r="655" spans="1:13" customFormat="1" ht="12.75">
      <c r="A655" s="1638"/>
      <c r="F655" s="1"/>
      <c r="G655" s="1"/>
      <c r="H655" s="1"/>
      <c r="I655" s="1"/>
      <c r="L655" s="326"/>
      <c r="M655" s="326"/>
    </row>
    <row r="656" spans="1:13" customFormat="1" ht="12.75">
      <c r="A656" s="1638"/>
      <c r="F656" s="1"/>
      <c r="G656" s="1"/>
      <c r="H656" s="1"/>
      <c r="I656" s="1"/>
      <c r="L656" s="326"/>
      <c r="M656" s="326"/>
    </row>
    <row r="657" spans="1:13" customFormat="1" ht="12.75">
      <c r="A657" s="1638"/>
      <c r="F657" s="1"/>
      <c r="G657" s="1"/>
      <c r="H657" s="1"/>
      <c r="I657" s="1"/>
      <c r="L657" s="326"/>
      <c r="M657" s="326"/>
    </row>
    <row r="658" spans="1:13" customFormat="1" ht="12.75">
      <c r="A658" s="1638"/>
      <c r="F658" s="1"/>
      <c r="G658" s="1"/>
      <c r="H658" s="1"/>
      <c r="I658" s="1"/>
      <c r="L658" s="326"/>
      <c r="M658" s="326"/>
    </row>
    <row r="659" spans="1:13" customFormat="1" ht="12.75">
      <c r="A659" s="1638"/>
      <c r="F659" s="1"/>
      <c r="G659" s="1"/>
      <c r="H659" s="1"/>
      <c r="I659" s="1"/>
      <c r="L659" s="326"/>
      <c r="M659" s="326"/>
    </row>
    <row r="660" spans="1:13" customFormat="1" ht="12.75">
      <c r="A660" s="1638"/>
      <c r="F660" s="1"/>
      <c r="G660" s="1"/>
      <c r="H660" s="1"/>
      <c r="I660" s="1"/>
      <c r="L660" s="326"/>
      <c r="M660" s="326"/>
    </row>
    <row r="661" spans="1:13" customFormat="1" ht="12.75">
      <c r="A661" s="1638"/>
      <c r="F661" s="1"/>
      <c r="G661" s="1"/>
      <c r="H661" s="1"/>
      <c r="I661" s="1"/>
      <c r="L661" s="326"/>
      <c r="M661" s="326"/>
    </row>
    <row r="662" spans="1:13" customFormat="1" ht="12.75">
      <c r="A662" s="1638"/>
      <c r="F662" s="1"/>
      <c r="G662" s="1"/>
      <c r="H662" s="1"/>
      <c r="I662" s="1"/>
      <c r="L662" s="326"/>
      <c r="M662" s="326"/>
    </row>
    <row r="663" spans="1:13" customFormat="1" ht="12.75">
      <c r="A663" s="1638"/>
      <c r="F663" s="1"/>
      <c r="G663" s="1"/>
      <c r="H663" s="1"/>
      <c r="I663" s="1"/>
      <c r="L663" s="326"/>
      <c r="M663" s="326"/>
    </row>
    <row r="664" spans="1:13" customFormat="1" ht="12.75">
      <c r="A664" s="1638"/>
      <c r="F664" s="1"/>
      <c r="G664" s="1"/>
      <c r="H664" s="1"/>
      <c r="I664" s="1"/>
      <c r="L664" s="326"/>
      <c r="M664" s="326"/>
    </row>
    <row r="665" spans="1:13" customFormat="1" ht="12.75">
      <c r="A665" s="1638"/>
      <c r="F665" s="1"/>
      <c r="G665" s="1"/>
      <c r="H665" s="1"/>
      <c r="I665" s="1"/>
      <c r="L665" s="326"/>
      <c r="M665" s="326"/>
    </row>
    <row r="666" spans="1:13" customFormat="1" ht="12.75">
      <c r="A666" s="1638"/>
      <c r="F666" s="1"/>
      <c r="G666" s="1"/>
      <c r="H666" s="1"/>
      <c r="I666" s="1"/>
      <c r="L666" s="326"/>
      <c r="M666" s="326"/>
    </row>
    <row r="667" spans="1:13" customFormat="1" ht="12.75">
      <c r="A667" s="1638"/>
      <c r="F667" s="1"/>
      <c r="G667" s="1"/>
      <c r="H667" s="1"/>
      <c r="I667" s="1"/>
      <c r="L667" s="326"/>
      <c r="M667" s="326"/>
    </row>
    <row r="668" spans="1:13" customFormat="1" ht="12.75">
      <c r="A668" s="1638"/>
      <c r="F668" s="1"/>
      <c r="G668" s="1"/>
      <c r="H668" s="1"/>
      <c r="I668" s="1"/>
      <c r="L668" s="326"/>
      <c r="M668" s="326"/>
    </row>
    <row r="669" spans="1:13" customFormat="1" ht="12.75">
      <c r="A669" s="1638"/>
      <c r="F669" s="1"/>
      <c r="G669" s="1"/>
      <c r="H669" s="1"/>
      <c r="I669" s="1"/>
      <c r="L669" s="326"/>
      <c r="M669" s="326"/>
    </row>
    <row r="670" spans="1:13" customFormat="1" ht="12.75">
      <c r="A670" s="1638"/>
      <c r="F670" s="1"/>
      <c r="G670" s="1"/>
      <c r="H670" s="1"/>
      <c r="I670" s="1"/>
      <c r="L670" s="326"/>
      <c r="M670" s="326"/>
    </row>
    <row r="671" spans="1:13" customFormat="1" ht="12.75">
      <c r="A671" s="1638"/>
      <c r="F671" s="1"/>
      <c r="G671" s="1"/>
      <c r="H671" s="1"/>
      <c r="I671" s="1"/>
      <c r="L671" s="326"/>
      <c r="M671" s="326"/>
    </row>
    <row r="672" spans="1:13" customFormat="1" ht="12.75">
      <c r="A672" s="1638"/>
      <c r="F672" s="1"/>
      <c r="G672" s="1"/>
      <c r="H672" s="1"/>
      <c r="I672" s="1"/>
      <c r="L672" s="326"/>
      <c r="M672" s="326"/>
    </row>
    <row r="673" spans="1:13" customFormat="1" ht="12.75">
      <c r="A673" s="1638"/>
      <c r="F673" s="1"/>
      <c r="G673" s="1"/>
      <c r="H673" s="1"/>
      <c r="I673" s="1"/>
      <c r="L673" s="326"/>
      <c r="M673" s="326"/>
    </row>
    <row r="674" spans="1:13" customFormat="1" ht="12.75">
      <c r="A674" s="1638"/>
      <c r="F674" s="1"/>
      <c r="G674" s="1"/>
      <c r="H674" s="1"/>
      <c r="I674" s="1"/>
      <c r="L674" s="326"/>
      <c r="M674" s="326"/>
    </row>
    <row r="675" spans="1:13" customFormat="1" ht="12.75">
      <c r="A675" s="1638"/>
      <c r="F675" s="1"/>
      <c r="G675" s="1"/>
      <c r="H675" s="1"/>
      <c r="I675" s="1"/>
      <c r="L675" s="326"/>
      <c r="M675" s="326"/>
    </row>
    <row r="676" spans="1:13" customFormat="1" ht="12.75">
      <c r="A676" s="1638"/>
      <c r="F676" s="1"/>
      <c r="G676" s="1"/>
      <c r="H676" s="1"/>
      <c r="I676" s="1"/>
      <c r="L676" s="326"/>
      <c r="M676" s="326"/>
    </row>
    <row r="677" spans="1:13" customFormat="1" ht="12.75">
      <c r="A677" s="1638"/>
      <c r="F677" s="1"/>
      <c r="G677" s="1"/>
      <c r="H677" s="1"/>
      <c r="I677" s="1"/>
      <c r="L677" s="326"/>
      <c r="M677" s="326"/>
    </row>
    <row r="678" spans="1:13" customFormat="1" ht="12.75">
      <c r="A678" s="1638"/>
      <c r="F678" s="1"/>
      <c r="G678" s="1"/>
      <c r="H678" s="1"/>
      <c r="I678" s="1"/>
      <c r="L678" s="326"/>
      <c r="M678" s="326"/>
    </row>
    <row r="679" spans="1:13" customFormat="1" ht="12.75">
      <c r="A679" s="1638"/>
      <c r="F679" s="1"/>
      <c r="G679" s="1"/>
      <c r="H679" s="1"/>
      <c r="I679" s="1"/>
      <c r="L679" s="326"/>
      <c r="M679" s="326"/>
    </row>
    <row r="680" spans="1:13" customFormat="1" ht="12.75">
      <c r="A680" s="1638"/>
      <c r="F680" s="1"/>
      <c r="G680" s="1"/>
      <c r="H680" s="1"/>
      <c r="I680" s="1"/>
      <c r="L680" s="326"/>
      <c r="M680" s="326"/>
    </row>
    <row r="681" spans="1:13" customFormat="1" ht="12.75">
      <c r="A681" s="1638"/>
      <c r="F681" s="1"/>
      <c r="G681" s="1"/>
      <c r="H681" s="1"/>
      <c r="I681" s="1"/>
      <c r="L681" s="326"/>
      <c r="M681" s="326"/>
    </row>
    <row r="682" spans="1:13" customFormat="1" ht="12.75">
      <c r="A682" s="1638"/>
      <c r="F682" s="1"/>
      <c r="G682" s="1"/>
      <c r="H682" s="1"/>
      <c r="I682" s="1"/>
      <c r="L682" s="326"/>
      <c r="M682" s="326"/>
    </row>
    <row r="683" spans="1:13" customFormat="1" ht="12.75">
      <c r="A683" s="1638"/>
      <c r="F683" s="1"/>
      <c r="G683" s="1"/>
      <c r="H683" s="1"/>
      <c r="I683" s="1"/>
      <c r="L683" s="326"/>
      <c r="M683" s="326"/>
    </row>
    <row r="684" spans="1:13" customFormat="1" ht="12.75">
      <c r="A684" s="1638"/>
      <c r="F684" s="1"/>
      <c r="G684" s="1"/>
      <c r="H684" s="1"/>
      <c r="I684" s="1"/>
      <c r="L684" s="326"/>
      <c r="M684" s="326"/>
    </row>
    <row r="685" spans="1:13" customFormat="1" ht="12.75">
      <c r="A685" s="1638"/>
      <c r="F685" s="1"/>
      <c r="G685" s="1"/>
      <c r="H685" s="1"/>
      <c r="I685" s="1"/>
      <c r="L685" s="326"/>
      <c r="M685" s="326"/>
    </row>
    <row r="686" spans="1:13" customFormat="1" ht="12.75">
      <c r="A686" s="1638"/>
      <c r="F686" s="1"/>
      <c r="G686" s="1"/>
      <c r="H686" s="1"/>
      <c r="I686" s="1"/>
      <c r="L686" s="326"/>
      <c r="M686" s="326"/>
    </row>
    <row r="687" spans="1:13" customFormat="1" ht="12.75">
      <c r="A687" s="1638"/>
      <c r="F687" s="1"/>
      <c r="G687" s="1"/>
      <c r="H687" s="1"/>
      <c r="I687" s="1"/>
      <c r="L687" s="326"/>
      <c r="M687" s="326"/>
    </row>
    <row r="688" spans="1:13" customFormat="1" ht="12.75">
      <c r="A688" s="1638"/>
      <c r="F688" s="1"/>
      <c r="G688" s="1"/>
      <c r="H688" s="1"/>
      <c r="I688" s="1"/>
      <c r="L688" s="326"/>
      <c r="M688" s="326"/>
    </row>
    <row r="689" spans="1:13" customFormat="1" ht="12.75">
      <c r="A689" s="1638"/>
      <c r="F689" s="1"/>
      <c r="G689" s="1"/>
      <c r="H689" s="1"/>
      <c r="I689" s="1"/>
      <c r="L689" s="326"/>
      <c r="M689" s="326"/>
    </row>
    <row r="690" spans="1:13" customFormat="1" ht="12.75">
      <c r="A690" s="1638"/>
      <c r="F690" s="1"/>
      <c r="G690" s="1"/>
      <c r="H690" s="1"/>
      <c r="I690" s="1"/>
      <c r="L690" s="326"/>
      <c r="M690" s="326"/>
    </row>
    <row r="691" spans="1:13" customFormat="1" ht="12.75">
      <c r="A691" s="1638"/>
      <c r="F691" s="1"/>
      <c r="G691" s="1"/>
      <c r="H691" s="1"/>
      <c r="I691" s="1"/>
      <c r="L691" s="326"/>
      <c r="M691" s="326"/>
    </row>
    <row r="692" spans="1:13" customFormat="1" ht="12.75">
      <c r="A692" s="1638"/>
      <c r="F692" s="1"/>
      <c r="G692" s="1"/>
      <c r="H692" s="1"/>
      <c r="I692" s="1"/>
      <c r="L692" s="326"/>
      <c r="M692" s="326"/>
    </row>
    <row r="693" spans="1:13" customFormat="1" ht="12.75">
      <c r="A693" s="1638"/>
      <c r="F693" s="1"/>
      <c r="G693" s="1"/>
      <c r="H693" s="1"/>
      <c r="I693" s="1"/>
      <c r="L693" s="326"/>
      <c r="M693" s="326"/>
    </row>
    <row r="694" spans="1:13" customFormat="1" ht="12.75">
      <c r="A694" s="1638"/>
      <c r="F694" s="1"/>
      <c r="G694" s="1"/>
      <c r="H694" s="1"/>
      <c r="I694" s="1"/>
      <c r="L694" s="326"/>
      <c r="M694" s="326"/>
    </row>
    <row r="695" spans="1:13" customFormat="1" ht="12.75">
      <c r="A695" s="1638"/>
      <c r="F695" s="1"/>
      <c r="G695" s="1"/>
      <c r="H695" s="1"/>
      <c r="I695" s="1"/>
      <c r="L695" s="326"/>
      <c r="M695" s="326"/>
    </row>
    <row r="696" spans="1:13" customFormat="1" ht="12.75">
      <c r="A696" s="1638"/>
      <c r="F696" s="1"/>
      <c r="G696" s="1"/>
      <c r="H696" s="1"/>
      <c r="I696" s="1"/>
      <c r="L696" s="326"/>
      <c r="M696" s="326"/>
    </row>
    <row r="697" spans="1:13" customFormat="1" ht="12.75">
      <c r="A697" s="1638"/>
      <c r="F697" s="1"/>
      <c r="G697" s="1"/>
      <c r="H697" s="1"/>
      <c r="I697" s="1"/>
      <c r="L697" s="326"/>
      <c r="M697" s="326"/>
    </row>
    <row r="698" spans="1:13" customFormat="1" ht="12.75">
      <c r="A698" s="1638"/>
      <c r="F698" s="1"/>
      <c r="G698" s="1"/>
      <c r="H698" s="1"/>
      <c r="I698" s="1"/>
      <c r="L698" s="326"/>
      <c r="M698" s="326"/>
    </row>
    <row r="699" spans="1:13" customFormat="1" ht="12.75">
      <c r="A699" s="1638"/>
      <c r="F699" s="1"/>
      <c r="G699" s="1"/>
      <c r="H699" s="1"/>
      <c r="I699" s="1"/>
      <c r="L699" s="326"/>
      <c r="M699" s="326"/>
    </row>
    <row r="700" spans="1:13" customFormat="1" ht="12.75">
      <c r="A700" s="1638"/>
      <c r="F700" s="1"/>
      <c r="G700" s="1"/>
      <c r="H700" s="1"/>
      <c r="I700" s="1"/>
      <c r="L700" s="326"/>
      <c r="M700" s="326"/>
    </row>
    <row r="701" spans="1:13" customFormat="1" ht="12.75">
      <c r="A701" s="1638"/>
      <c r="F701" s="1"/>
      <c r="G701" s="1"/>
      <c r="H701" s="1"/>
      <c r="I701" s="1"/>
      <c r="L701" s="326"/>
      <c r="M701" s="326"/>
    </row>
    <row r="702" spans="1:13" customFormat="1" ht="12.75">
      <c r="A702" s="1638"/>
      <c r="F702" s="1"/>
      <c r="G702" s="1"/>
      <c r="H702" s="1"/>
      <c r="I702" s="1"/>
      <c r="L702" s="326"/>
      <c r="M702" s="326"/>
    </row>
    <row r="703" spans="1:13" customFormat="1" ht="12.75">
      <c r="A703" s="1638"/>
      <c r="F703" s="1"/>
      <c r="G703" s="1"/>
      <c r="H703" s="1"/>
      <c r="I703" s="1"/>
      <c r="L703" s="326"/>
      <c r="M703" s="326"/>
    </row>
    <row r="704" spans="1:13" customFormat="1" ht="12.75">
      <c r="A704" s="1638"/>
      <c r="F704" s="1"/>
      <c r="G704" s="1"/>
      <c r="H704" s="1"/>
      <c r="I704" s="1"/>
      <c r="L704" s="326"/>
      <c r="M704" s="326"/>
    </row>
    <row r="705" spans="1:13" customFormat="1" ht="12.75">
      <c r="A705" s="1638"/>
      <c r="F705" s="1"/>
      <c r="G705" s="1"/>
      <c r="H705" s="1"/>
      <c r="I705" s="1"/>
      <c r="L705" s="326"/>
      <c r="M705" s="326"/>
    </row>
    <row r="706" spans="1:13" customFormat="1" ht="12.75">
      <c r="A706" s="1638"/>
      <c r="F706" s="1"/>
      <c r="G706" s="1"/>
      <c r="H706" s="1"/>
      <c r="I706" s="1"/>
      <c r="L706" s="326"/>
      <c r="M706" s="326"/>
    </row>
    <row r="707" spans="1:13" customFormat="1" ht="12.75">
      <c r="A707" s="1638"/>
      <c r="F707" s="1"/>
      <c r="G707" s="1"/>
      <c r="H707" s="1"/>
      <c r="I707" s="1"/>
      <c r="L707" s="326"/>
      <c r="M707" s="326"/>
    </row>
    <row r="708" spans="1:13" customFormat="1" ht="12.75">
      <c r="A708" s="1638"/>
      <c r="F708" s="1"/>
      <c r="G708" s="1"/>
      <c r="H708" s="1"/>
      <c r="I708" s="1"/>
      <c r="L708" s="326"/>
      <c r="M708" s="326"/>
    </row>
    <row r="709" spans="1:13" customFormat="1" ht="12.75">
      <c r="A709" s="1638"/>
      <c r="F709" s="1"/>
      <c r="G709" s="1"/>
      <c r="H709" s="1"/>
      <c r="I709" s="1"/>
      <c r="L709" s="326"/>
      <c r="M709" s="326"/>
    </row>
    <row r="710" spans="1:13" customFormat="1" ht="12.75">
      <c r="A710" s="1638"/>
      <c r="F710" s="1"/>
      <c r="G710" s="1"/>
      <c r="H710" s="1"/>
      <c r="I710" s="1"/>
      <c r="L710" s="326"/>
      <c r="M710" s="326"/>
    </row>
    <row r="711" spans="1:13" customFormat="1" ht="12.75">
      <c r="A711" s="1638"/>
      <c r="F711" s="1"/>
      <c r="G711" s="1"/>
      <c r="H711" s="1"/>
      <c r="I711" s="1"/>
      <c r="L711" s="326"/>
      <c r="M711" s="326"/>
    </row>
    <row r="712" spans="1:13" customFormat="1" ht="12.75">
      <c r="A712" s="1638"/>
      <c r="F712" s="1"/>
      <c r="G712" s="1"/>
      <c r="H712" s="1"/>
      <c r="I712" s="1"/>
      <c r="L712" s="326"/>
      <c r="M712" s="326"/>
    </row>
    <row r="713" spans="1:13" customFormat="1" ht="12.75">
      <c r="A713" s="1638"/>
      <c r="F713" s="1"/>
      <c r="G713" s="1"/>
      <c r="H713" s="1"/>
      <c r="I713" s="1"/>
      <c r="L713" s="326"/>
      <c r="M713" s="326"/>
    </row>
    <row r="714" spans="1:13" customFormat="1" ht="12.75">
      <c r="A714" s="1638"/>
      <c r="F714" s="1"/>
      <c r="G714" s="1"/>
      <c r="H714" s="1"/>
      <c r="I714" s="1"/>
      <c r="L714" s="326"/>
      <c r="M714" s="326"/>
    </row>
    <row r="715" spans="1:13" customFormat="1" ht="12.75">
      <c r="A715" s="1638"/>
      <c r="F715" s="1"/>
      <c r="G715" s="1"/>
      <c r="H715" s="1"/>
      <c r="I715" s="1"/>
      <c r="L715" s="326"/>
      <c r="M715" s="326"/>
    </row>
    <row r="716" spans="1:13" customFormat="1" ht="12.75">
      <c r="A716" s="1638"/>
      <c r="F716" s="1"/>
      <c r="G716" s="1"/>
      <c r="H716" s="1"/>
      <c r="I716" s="1"/>
      <c r="L716" s="326"/>
      <c r="M716" s="326"/>
    </row>
    <row r="717" spans="1:13" customFormat="1" ht="12.75">
      <c r="A717" s="1638"/>
      <c r="F717" s="1"/>
      <c r="G717" s="1"/>
      <c r="H717" s="1"/>
      <c r="I717" s="1"/>
      <c r="L717" s="326"/>
      <c r="M717" s="326"/>
    </row>
    <row r="718" spans="1:13" customFormat="1" ht="12.75">
      <c r="A718" s="1638"/>
      <c r="F718" s="1"/>
      <c r="G718" s="1"/>
      <c r="H718" s="1"/>
      <c r="I718" s="1"/>
      <c r="L718" s="326"/>
      <c r="M718" s="326"/>
    </row>
    <row r="719" spans="1:13" customFormat="1" ht="12.75">
      <c r="A719" s="1638"/>
      <c r="F719" s="1"/>
      <c r="G719" s="1"/>
      <c r="H719" s="1"/>
      <c r="I719" s="1"/>
      <c r="L719" s="326"/>
      <c r="M719" s="326"/>
    </row>
    <row r="720" spans="1:13" customFormat="1" ht="12.75">
      <c r="A720" s="1638"/>
      <c r="F720" s="1"/>
      <c r="G720" s="1"/>
      <c r="H720" s="1"/>
      <c r="I720" s="1"/>
      <c r="L720" s="326"/>
      <c r="M720" s="326"/>
    </row>
    <row r="721" spans="1:13" customFormat="1" ht="12.75">
      <c r="A721" s="1638"/>
      <c r="F721" s="1"/>
      <c r="G721" s="1"/>
      <c r="H721" s="1"/>
      <c r="I721" s="1"/>
      <c r="L721" s="326"/>
      <c r="M721" s="326"/>
    </row>
    <row r="722" spans="1:13" customFormat="1" ht="12.75">
      <c r="A722" s="1638"/>
      <c r="F722" s="1"/>
      <c r="G722" s="1"/>
      <c r="H722" s="1"/>
      <c r="I722" s="1"/>
      <c r="L722" s="326"/>
      <c r="M722" s="326"/>
    </row>
    <row r="723" spans="1:13" customFormat="1" ht="12.75">
      <c r="A723" s="1638"/>
      <c r="F723" s="1"/>
      <c r="G723" s="1"/>
      <c r="H723" s="1"/>
      <c r="I723" s="1"/>
      <c r="L723" s="326"/>
      <c r="M723" s="326"/>
    </row>
    <row r="724" spans="1:13" customFormat="1" ht="12.75">
      <c r="A724" s="1638"/>
      <c r="F724" s="1"/>
      <c r="G724" s="1"/>
      <c r="H724" s="1"/>
      <c r="I724" s="1"/>
      <c r="L724" s="326"/>
      <c r="M724" s="326"/>
    </row>
    <row r="725" spans="1:13" customFormat="1" ht="12.75">
      <c r="A725" s="1638"/>
      <c r="F725" s="1"/>
      <c r="G725" s="1"/>
      <c r="H725" s="1"/>
      <c r="I725" s="1"/>
      <c r="L725" s="326"/>
      <c r="M725" s="326"/>
    </row>
    <row r="726" spans="1:13" customFormat="1" ht="12.75">
      <c r="A726" s="1638"/>
      <c r="F726" s="1"/>
      <c r="G726" s="1"/>
      <c r="H726" s="1"/>
      <c r="I726" s="1"/>
      <c r="L726" s="326"/>
      <c r="M726" s="326"/>
    </row>
    <row r="727" spans="1:13" customFormat="1" ht="12.75">
      <c r="A727" s="1638"/>
      <c r="F727" s="1"/>
      <c r="G727" s="1"/>
      <c r="H727" s="1"/>
      <c r="I727" s="1"/>
      <c r="L727" s="326"/>
      <c r="M727" s="326"/>
    </row>
    <row r="728" spans="1:13" customFormat="1" ht="12.75">
      <c r="A728" s="1638"/>
      <c r="F728" s="1"/>
      <c r="G728" s="1"/>
      <c r="H728" s="1"/>
      <c r="I728" s="1"/>
      <c r="L728" s="326"/>
      <c r="M728" s="326"/>
    </row>
    <row r="729" spans="1:13" customFormat="1" ht="12.75">
      <c r="A729" s="1638"/>
      <c r="F729" s="1"/>
      <c r="G729" s="1"/>
      <c r="H729" s="1"/>
      <c r="I729" s="1"/>
      <c r="L729" s="326"/>
      <c r="M729" s="326"/>
    </row>
    <row r="730" spans="1:13" customFormat="1" ht="12.75">
      <c r="A730" s="1638"/>
      <c r="F730" s="1"/>
      <c r="G730" s="1"/>
      <c r="H730" s="1"/>
      <c r="I730" s="1"/>
      <c r="L730" s="326"/>
      <c r="M730" s="326"/>
    </row>
    <row r="731" spans="1:13" customFormat="1" ht="12.75">
      <c r="A731" s="1638"/>
      <c r="F731" s="1"/>
      <c r="G731" s="1"/>
      <c r="H731" s="1"/>
      <c r="I731" s="1"/>
      <c r="L731" s="326"/>
      <c r="M731" s="326"/>
    </row>
    <row r="732" spans="1:13" customFormat="1" ht="12.75">
      <c r="A732" s="1638"/>
      <c r="F732" s="1"/>
      <c r="G732" s="1"/>
      <c r="H732" s="1"/>
      <c r="I732" s="1"/>
      <c r="L732" s="326"/>
      <c r="M732" s="326"/>
    </row>
    <row r="733" spans="1:13" customFormat="1" ht="12.75">
      <c r="A733" s="1638"/>
      <c r="F733" s="1"/>
      <c r="G733" s="1"/>
      <c r="H733" s="1"/>
      <c r="I733" s="1"/>
      <c r="L733" s="326"/>
      <c r="M733" s="326"/>
    </row>
    <row r="734" spans="1:13" customFormat="1" ht="12.75">
      <c r="A734" s="1638"/>
      <c r="F734" s="1"/>
      <c r="G734" s="1"/>
      <c r="H734" s="1"/>
      <c r="I734" s="1"/>
      <c r="L734" s="326"/>
      <c r="M734" s="326"/>
    </row>
    <row r="735" spans="1:13" customFormat="1" ht="12.75">
      <c r="A735" s="1638"/>
      <c r="F735" s="1"/>
      <c r="G735" s="1"/>
      <c r="H735" s="1"/>
      <c r="I735" s="1"/>
      <c r="L735" s="326"/>
      <c r="M735" s="326"/>
    </row>
    <row r="736" spans="1:13" customFormat="1" ht="12.75">
      <c r="A736" s="1638"/>
      <c r="F736" s="1"/>
      <c r="G736" s="1"/>
      <c r="H736" s="1"/>
      <c r="I736" s="1"/>
      <c r="L736" s="326"/>
      <c r="M736" s="326"/>
    </row>
    <row r="737" spans="1:13" customFormat="1" ht="12.75">
      <c r="A737" s="1638"/>
      <c r="F737" s="1"/>
      <c r="G737" s="1"/>
      <c r="H737" s="1"/>
      <c r="I737" s="1"/>
      <c r="L737" s="326"/>
      <c r="M737" s="326"/>
    </row>
    <row r="738" spans="1:13" customFormat="1" ht="12.75">
      <c r="A738" s="1638"/>
      <c r="F738" s="1"/>
      <c r="G738" s="1"/>
      <c r="H738" s="1"/>
      <c r="I738" s="1"/>
      <c r="L738" s="326"/>
      <c r="M738" s="326"/>
    </row>
    <row r="739" spans="1:13" customFormat="1" ht="12.75">
      <c r="A739" s="1638"/>
      <c r="F739" s="1"/>
      <c r="G739" s="1"/>
      <c r="H739" s="1"/>
      <c r="I739" s="1"/>
      <c r="L739" s="326"/>
      <c r="M739" s="326"/>
    </row>
    <row r="740" spans="1:13" customFormat="1" ht="12.75">
      <c r="A740" s="1638"/>
      <c r="F740" s="1"/>
      <c r="G740" s="1"/>
      <c r="H740" s="1"/>
      <c r="I740" s="1"/>
      <c r="L740" s="326"/>
      <c r="M740" s="326"/>
    </row>
    <row r="741" spans="1:13" customFormat="1" ht="12.75">
      <c r="A741" s="1638"/>
      <c r="F741" s="1"/>
      <c r="G741" s="1"/>
      <c r="H741" s="1"/>
      <c r="I741" s="1"/>
      <c r="L741" s="326"/>
      <c r="M741" s="326"/>
    </row>
    <row r="742" spans="1:13" customFormat="1" ht="12.75">
      <c r="A742" s="1638"/>
      <c r="F742" s="1"/>
      <c r="G742" s="1"/>
      <c r="H742" s="1"/>
      <c r="I742" s="1"/>
      <c r="L742" s="326"/>
      <c r="M742" s="326"/>
    </row>
    <row r="743" spans="1:13" customFormat="1" ht="12.75">
      <c r="A743" s="1638"/>
      <c r="F743" s="1"/>
      <c r="G743" s="1"/>
      <c r="H743" s="1"/>
      <c r="I743" s="1"/>
      <c r="L743" s="326"/>
      <c r="M743" s="326"/>
    </row>
    <row r="744" spans="1:13" customFormat="1" ht="12.75">
      <c r="A744" s="1638"/>
      <c r="F744" s="1"/>
      <c r="G744" s="1"/>
      <c r="H744" s="1"/>
      <c r="I744" s="1"/>
      <c r="L744" s="326"/>
      <c r="M744" s="326"/>
    </row>
    <row r="745" spans="1:13" customFormat="1" ht="12.75">
      <c r="A745" s="1638"/>
      <c r="F745" s="1"/>
      <c r="G745" s="1"/>
      <c r="H745" s="1"/>
      <c r="I745" s="1"/>
      <c r="L745" s="326"/>
      <c r="M745" s="326"/>
    </row>
    <row r="746" spans="1:13" customFormat="1" ht="12.75">
      <c r="A746" s="1638"/>
      <c r="F746" s="1"/>
      <c r="G746" s="1"/>
      <c r="H746" s="1"/>
      <c r="I746" s="1"/>
      <c r="L746" s="326"/>
      <c r="M746" s="326"/>
    </row>
    <row r="747" spans="1:13" customFormat="1" ht="12.75">
      <c r="A747" s="1638"/>
      <c r="F747" s="1"/>
      <c r="G747" s="1"/>
      <c r="H747" s="1"/>
      <c r="I747" s="1"/>
      <c r="L747" s="326"/>
      <c r="M747" s="326"/>
    </row>
    <row r="748" spans="1:13" customFormat="1" ht="12.75">
      <c r="A748" s="1638"/>
      <c r="F748" s="1"/>
      <c r="G748" s="1"/>
      <c r="H748" s="1"/>
      <c r="I748" s="1"/>
      <c r="L748" s="326"/>
      <c r="M748" s="326"/>
    </row>
    <row r="749" spans="1:13" customFormat="1" ht="12.75">
      <c r="A749" s="1638"/>
      <c r="F749" s="1"/>
      <c r="G749" s="1"/>
      <c r="H749" s="1"/>
      <c r="I749" s="1"/>
      <c r="L749" s="326"/>
      <c r="M749" s="326"/>
    </row>
    <row r="750" spans="1:13" customFormat="1" ht="12.75">
      <c r="A750" s="1638"/>
      <c r="F750" s="1"/>
      <c r="G750" s="1"/>
      <c r="H750" s="1"/>
      <c r="I750" s="1"/>
      <c r="L750" s="326"/>
      <c r="M750" s="326"/>
    </row>
    <row r="751" spans="1:13" customFormat="1" ht="12.75">
      <c r="A751" s="1638"/>
      <c r="F751" s="1"/>
      <c r="G751" s="1"/>
      <c r="H751" s="1"/>
      <c r="I751" s="1"/>
      <c r="L751" s="326"/>
      <c r="M751" s="326"/>
    </row>
    <row r="752" spans="1:13" customFormat="1" ht="12.75">
      <c r="A752" s="1638"/>
      <c r="F752" s="1"/>
      <c r="G752" s="1"/>
      <c r="H752" s="1"/>
      <c r="I752" s="1"/>
      <c r="L752" s="326"/>
      <c r="M752" s="326"/>
    </row>
    <row r="753" spans="1:13" customFormat="1" ht="12.75">
      <c r="A753" s="1638"/>
      <c r="F753" s="1"/>
      <c r="G753" s="1"/>
      <c r="H753" s="1"/>
      <c r="I753" s="1"/>
      <c r="L753" s="326"/>
      <c r="M753" s="326"/>
    </row>
    <row r="754" spans="1:13" customFormat="1" ht="12.75">
      <c r="A754" s="1638"/>
      <c r="F754" s="1"/>
      <c r="G754" s="1"/>
      <c r="H754" s="1"/>
      <c r="I754" s="1"/>
      <c r="L754" s="326"/>
      <c r="M754" s="326"/>
    </row>
    <row r="755" spans="1:13" customFormat="1" ht="12.75">
      <c r="A755" s="1638"/>
      <c r="F755" s="1"/>
      <c r="G755" s="1"/>
      <c r="H755" s="1"/>
      <c r="I755" s="1"/>
      <c r="L755" s="326"/>
      <c r="M755" s="326"/>
    </row>
    <row r="756" spans="1:13" customFormat="1" ht="12.75">
      <c r="A756" s="1638"/>
      <c r="F756" s="1"/>
      <c r="G756" s="1"/>
      <c r="H756" s="1"/>
      <c r="I756" s="1"/>
      <c r="L756" s="326"/>
      <c r="M756" s="326"/>
    </row>
    <row r="757" spans="1:13" customFormat="1" ht="12.75">
      <c r="A757" s="1638"/>
      <c r="F757" s="1"/>
      <c r="G757" s="1"/>
      <c r="H757" s="1"/>
      <c r="I757" s="1"/>
      <c r="L757" s="326"/>
      <c r="M757" s="326"/>
    </row>
    <row r="758" spans="1:13" customFormat="1" ht="12.75">
      <c r="A758" s="1638"/>
      <c r="F758" s="1"/>
      <c r="G758" s="1"/>
      <c r="H758" s="1"/>
      <c r="I758" s="1"/>
      <c r="L758" s="326"/>
      <c r="M758" s="326"/>
    </row>
    <row r="759" spans="1:13" customFormat="1" ht="12.75">
      <c r="A759" s="1638"/>
      <c r="F759" s="1"/>
      <c r="G759" s="1"/>
      <c r="H759" s="1"/>
      <c r="I759" s="1"/>
      <c r="L759" s="326"/>
      <c r="M759" s="326"/>
    </row>
    <row r="760" spans="1:13" customFormat="1" ht="12.75">
      <c r="A760" s="1638"/>
      <c r="F760" s="1"/>
      <c r="G760" s="1"/>
      <c r="H760" s="1"/>
      <c r="I760" s="1"/>
      <c r="L760" s="326"/>
      <c r="M760" s="326"/>
    </row>
    <row r="761" spans="1:13" customFormat="1" ht="12.75">
      <c r="A761" s="1638"/>
      <c r="F761" s="1"/>
      <c r="G761" s="1"/>
      <c r="H761" s="1"/>
      <c r="I761" s="1"/>
      <c r="L761" s="326"/>
      <c r="M761" s="326"/>
    </row>
    <row r="762" spans="1:13" customFormat="1" ht="12.75">
      <c r="A762" s="1638"/>
      <c r="F762" s="1"/>
      <c r="G762" s="1"/>
      <c r="H762" s="1"/>
      <c r="I762" s="1"/>
      <c r="L762" s="326"/>
      <c r="M762" s="326"/>
    </row>
    <row r="763" spans="1:13" customFormat="1" ht="12.75">
      <c r="A763" s="1638"/>
      <c r="F763" s="1"/>
      <c r="G763" s="1"/>
      <c r="H763" s="1"/>
      <c r="I763" s="1"/>
      <c r="L763" s="326"/>
      <c r="M763" s="326"/>
    </row>
    <row r="764" spans="1:13" customFormat="1" ht="12.75">
      <c r="A764" s="1638"/>
      <c r="F764" s="1"/>
      <c r="G764" s="1"/>
      <c r="H764" s="1"/>
      <c r="I764" s="1"/>
      <c r="L764" s="326"/>
      <c r="M764" s="326"/>
    </row>
    <row r="765" spans="1:13" customFormat="1" ht="12.75">
      <c r="A765" s="1638"/>
      <c r="F765" s="1"/>
      <c r="G765" s="1"/>
      <c r="H765" s="1"/>
      <c r="I765" s="1"/>
      <c r="L765" s="326"/>
      <c r="M765" s="326"/>
    </row>
    <row r="766" spans="1:13" customFormat="1" ht="12.75">
      <c r="A766" s="1638"/>
      <c r="F766" s="1"/>
      <c r="G766" s="1"/>
      <c r="H766" s="1"/>
      <c r="I766" s="1"/>
      <c r="L766" s="326"/>
      <c r="M766" s="326"/>
    </row>
    <row r="767" spans="1:13" customFormat="1" ht="12.75">
      <c r="A767" s="1638"/>
      <c r="F767" s="1"/>
      <c r="G767" s="1"/>
      <c r="H767" s="1"/>
      <c r="I767" s="1"/>
      <c r="L767" s="326"/>
      <c r="M767" s="326"/>
    </row>
    <row r="768" spans="1:13" customFormat="1" ht="12.75">
      <c r="A768" s="1638"/>
      <c r="F768" s="1"/>
      <c r="G768" s="1"/>
      <c r="H768" s="1"/>
      <c r="I768" s="1"/>
      <c r="L768" s="326"/>
      <c r="M768" s="326"/>
    </row>
    <row r="769" spans="1:13" customFormat="1" ht="12.75">
      <c r="A769" s="1638"/>
      <c r="F769" s="1"/>
      <c r="G769" s="1"/>
      <c r="H769" s="1"/>
      <c r="I769" s="1"/>
      <c r="L769" s="326"/>
      <c r="M769" s="326"/>
    </row>
    <row r="770" spans="1:13" customFormat="1" ht="12.75">
      <c r="A770" s="1638"/>
      <c r="F770" s="1"/>
      <c r="G770" s="1"/>
      <c r="H770" s="1"/>
      <c r="I770" s="1"/>
      <c r="L770" s="326"/>
      <c r="M770" s="326"/>
    </row>
    <row r="771" spans="1:13" customFormat="1" ht="12.75">
      <c r="A771" s="1638"/>
      <c r="F771" s="1"/>
      <c r="G771" s="1"/>
      <c r="H771" s="1"/>
      <c r="I771" s="1"/>
      <c r="L771" s="326"/>
      <c r="M771" s="326"/>
    </row>
    <row r="772" spans="1:13" customFormat="1" ht="12.75">
      <c r="A772" s="1638"/>
      <c r="F772" s="1"/>
      <c r="G772" s="1"/>
      <c r="H772" s="1"/>
      <c r="I772" s="1"/>
      <c r="L772" s="326"/>
      <c r="M772" s="326"/>
    </row>
    <row r="773" spans="1:13" customFormat="1" ht="12.75">
      <c r="A773" s="1638"/>
      <c r="F773" s="1"/>
      <c r="G773" s="1"/>
      <c r="H773" s="1"/>
      <c r="I773" s="1"/>
      <c r="L773" s="326"/>
      <c r="M773" s="326"/>
    </row>
    <row r="774" spans="1:13" customFormat="1" ht="12.75">
      <c r="A774" s="1638"/>
      <c r="F774" s="1"/>
      <c r="G774" s="1"/>
      <c r="H774" s="1"/>
      <c r="I774" s="1"/>
      <c r="L774" s="326"/>
      <c r="M774" s="326"/>
    </row>
    <row r="775" spans="1:13" customFormat="1" ht="12.75">
      <c r="A775" s="1638"/>
      <c r="F775" s="1"/>
      <c r="G775" s="1"/>
      <c r="H775" s="1"/>
      <c r="I775" s="1"/>
      <c r="L775" s="326"/>
      <c r="M775" s="326"/>
    </row>
    <row r="776" spans="1:13" customFormat="1" ht="12.75">
      <c r="A776" s="1638"/>
      <c r="F776" s="1"/>
      <c r="G776" s="1"/>
      <c r="H776" s="1"/>
      <c r="I776" s="1"/>
      <c r="L776" s="326"/>
      <c r="M776" s="326"/>
    </row>
    <row r="777" spans="1:13" customFormat="1" ht="12.75">
      <c r="A777" s="1638"/>
      <c r="F777" s="1"/>
      <c r="G777" s="1"/>
      <c r="H777" s="1"/>
      <c r="I777" s="1"/>
      <c r="L777" s="326"/>
      <c r="M777" s="326"/>
    </row>
    <row r="778" spans="1:13" customFormat="1" ht="12.75">
      <c r="A778" s="1638"/>
      <c r="F778" s="1"/>
      <c r="G778" s="1"/>
      <c r="H778" s="1"/>
      <c r="I778" s="1"/>
      <c r="L778" s="326"/>
      <c r="M778" s="326"/>
    </row>
    <row r="779" spans="1:13" customFormat="1" ht="12.75">
      <c r="A779" s="1638"/>
      <c r="F779" s="1"/>
      <c r="G779" s="1"/>
      <c r="H779" s="1"/>
      <c r="I779" s="1"/>
      <c r="L779" s="326"/>
      <c r="M779" s="326"/>
    </row>
    <row r="780" spans="1:13" customFormat="1" ht="12.75">
      <c r="A780" s="1638"/>
      <c r="F780" s="1"/>
      <c r="G780" s="1"/>
      <c r="H780" s="1"/>
      <c r="I780" s="1"/>
      <c r="L780" s="326"/>
      <c r="M780" s="326"/>
    </row>
    <row r="781" spans="1:13" customFormat="1" ht="12.75">
      <c r="A781" s="1638"/>
      <c r="F781" s="1"/>
      <c r="G781" s="1"/>
      <c r="H781" s="1"/>
      <c r="I781" s="1"/>
      <c r="L781" s="326"/>
      <c r="M781" s="326"/>
    </row>
    <row r="782" spans="1:13" customFormat="1" ht="12.75">
      <c r="A782" s="1638"/>
      <c r="F782" s="1"/>
      <c r="G782" s="1"/>
      <c r="H782" s="1"/>
      <c r="I782" s="1"/>
      <c r="L782" s="326"/>
      <c r="M782" s="326"/>
    </row>
    <row r="783" spans="1:13" customFormat="1" ht="12.75">
      <c r="A783" s="1638"/>
      <c r="F783" s="1"/>
      <c r="G783" s="1"/>
      <c r="H783" s="1"/>
      <c r="I783" s="1"/>
      <c r="L783" s="326"/>
      <c r="M783" s="326"/>
    </row>
    <row r="784" spans="1:13" customFormat="1" ht="12.75">
      <c r="A784" s="1638"/>
      <c r="F784" s="1"/>
      <c r="G784" s="1"/>
      <c r="H784" s="1"/>
      <c r="I784" s="1"/>
      <c r="L784" s="326"/>
      <c r="M784" s="326"/>
    </row>
    <row r="785" spans="1:13" customFormat="1" ht="12.75">
      <c r="A785" s="1638"/>
      <c r="F785" s="1"/>
      <c r="G785" s="1"/>
      <c r="H785" s="1"/>
      <c r="I785" s="1"/>
      <c r="L785" s="326"/>
      <c r="M785" s="326"/>
    </row>
    <row r="786" spans="1:13" customFormat="1" ht="12.75">
      <c r="A786" s="1638"/>
      <c r="F786" s="1"/>
      <c r="G786" s="1"/>
      <c r="H786" s="1"/>
      <c r="I786" s="1"/>
      <c r="L786" s="326"/>
      <c r="M786" s="326"/>
    </row>
    <row r="787" spans="1:13" customFormat="1" ht="12.75">
      <c r="A787" s="1638"/>
      <c r="F787" s="1"/>
      <c r="G787" s="1"/>
      <c r="H787" s="1"/>
      <c r="I787" s="1"/>
      <c r="L787" s="326"/>
      <c r="M787" s="326"/>
    </row>
    <row r="788" spans="1:13" customFormat="1" ht="12.75">
      <c r="A788" s="1638"/>
      <c r="F788" s="1"/>
      <c r="G788" s="1"/>
      <c r="H788" s="1"/>
      <c r="I788" s="1"/>
      <c r="L788" s="326"/>
      <c r="M788" s="326"/>
    </row>
    <row r="789" spans="1:13" customFormat="1" ht="12.75">
      <c r="A789" s="1638"/>
      <c r="F789" s="1"/>
      <c r="G789" s="1"/>
      <c r="H789" s="1"/>
      <c r="I789" s="1"/>
      <c r="L789" s="326"/>
      <c r="M789" s="326"/>
    </row>
    <row r="790" spans="1:13" customFormat="1" ht="12.75">
      <c r="A790" s="1638"/>
      <c r="F790" s="1"/>
      <c r="G790" s="1"/>
      <c r="H790" s="1"/>
      <c r="I790" s="1"/>
      <c r="L790" s="326"/>
      <c r="M790" s="326"/>
    </row>
    <row r="791" spans="1:13" customFormat="1" ht="12.75">
      <c r="A791" s="1638"/>
      <c r="F791" s="1"/>
      <c r="G791" s="1"/>
      <c r="H791" s="1"/>
      <c r="I791" s="1"/>
      <c r="L791" s="326"/>
      <c r="M791" s="326"/>
    </row>
    <row r="792" spans="1:13" customFormat="1" ht="12.75">
      <c r="A792" s="1638"/>
      <c r="F792" s="1"/>
      <c r="G792" s="1"/>
      <c r="H792" s="1"/>
      <c r="I792" s="1"/>
      <c r="L792" s="326"/>
      <c r="M792" s="326"/>
    </row>
    <row r="793" spans="1:13" customFormat="1" ht="12.75">
      <c r="A793" s="1638"/>
      <c r="F793" s="1"/>
      <c r="G793" s="1"/>
      <c r="H793" s="1"/>
      <c r="I793" s="1"/>
      <c r="L793" s="326"/>
      <c r="M793" s="326"/>
    </row>
    <row r="794" spans="1:13" customFormat="1" ht="12.75">
      <c r="A794" s="1638"/>
      <c r="F794" s="1"/>
      <c r="G794" s="1"/>
      <c r="H794" s="1"/>
      <c r="I794" s="1"/>
      <c r="L794" s="326"/>
      <c r="M794" s="326"/>
    </row>
    <row r="795" spans="1:13" customFormat="1" ht="12.75">
      <c r="A795" s="1638"/>
      <c r="F795" s="1"/>
      <c r="G795" s="1"/>
      <c r="H795" s="1"/>
      <c r="I795" s="1"/>
      <c r="L795" s="326"/>
      <c r="M795" s="326"/>
    </row>
    <row r="796" spans="1:13" customFormat="1" ht="12.75">
      <c r="A796" s="1638"/>
      <c r="F796" s="1"/>
      <c r="G796" s="1"/>
      <c r="H796" s="1"/>
      <c r="I796" s="1"/>
      <c r="L796" s="326"/>
      <c r="M796" s="326"/>
    </row>
    <row r="797" spans="1:13" customFormat="1" ht="12.75">
      <c r="A797" s="1638"/>
      <c r="F797" s="1"/>
      <c r="G797" s="1"/>
      <c r="H797" s="1"/>
      <c r="I797" s="1"/>
      <c r="L797" s="326"/>
      <c r="M797" s="326"/>
    </row>
    <row r="798" spans="1:13" customFormat="1" ht="12.75">
      <c r="A798" s="1638"/>
      <c r="F798" s="1"/>
      <c r="G798" s="1"/>
      <c r="H798" s="1"/>
      <c r="I798" s="1"/>
      <c r="L798" s="326"/>
      <c r="M798" s="326"/>
    </row>
    <row r="799" spans="1:13" customFormat="1" ht="12.75">
      <c r="A799" s="1638"/>
      <c r="F799" s="1"/>
      <c r="G799" s="1"/>
      <c r="H799" s="1"/>
      <c r="I799" s="1"/>
      <c r="L799" s="326"/>
      <c r="M799" s="326"/>
    </row>
    <row r="800" spans="1:13" customFormat="1" ht="12.75">
      <c r="A800" s="1638"/>
      <c r="F800" s="1"/>
      <c r="G800" s="1"/>
      <c r="H800" s="1"/>
      <c r="I800" s="1"/>
      <c r="L800" s="326"/>
      <c r="M800" s="326"/>
    </row>
    <row r="801" spans="1:13" customFormat="1" ht="12.75">
      <c r="A801" s="1638"/>
      <c r="F801" s="1"/>
      <c r="G801" s="1"/>
      <c r="H801" s="1"/>
      <c r="I801" s="1"/>
      <c r="L801" s="326"/>
      <c r="M801" s="326"/>
    </row>
    <row r="802" spans="1:13" customFormat="1" ht="12.75">
      <c r="A802" s="1638"/>
      <c r="F802" s="1"/>
      <c r="G802" s="1"/>
      <c r="H802" s="1"/>
      <c r="I802" s="1"/>
      <c r="L802" s="326"/>
      <c r="M802" s="326"/>
    </row>
    <row r="803" spans="1:13" customFormat="1" ht="12.75">
      <c r="A803" s="1638"/>
      <c r="F803" s="1"/>
      <c r="G803" s="1"/>
      <c r="H803" s="1"/>
      <c r="I803" s="1"/>
      <c r="L803" s="326"/>
      <c r="M803" s="326"/>
    </row>
    <row r="804" spans="1:13" customFormat="1" ht="12.75">
      <c r="A804" s="1638"/>
      <c r="F804" s="1"/>
      <c r="G804" s="1"/>
      <c r="H804" s="1"/>
      <c r="I804" s="1"/>
      <c r="L804" s="326"/>
      <c r="M804" s="326"/>
    </row>
    <row r="805" spans="1:13" customFormat="1" ht="12.75">
      <c r="A805" s="1638"/>
      <c r="F805" s="1"/>
      <c r="G805" s="1"/>
      <c r="H805" s="1"/>
      <c r="I805" s="1"/>
      <c r="L805" s="326"/>
      <c r="M805" s="326"/>
    </row>
    <row r="806" spans="1:13" customFormat="1" ht="12.75">
      <c r="A806" s="1638"/>
      <c r="F806" s="1"/>
      <c r="G806" s="1"/>
      <c r="H806" s="1"/>
      <c r="I806" s="1"/>
      <c r="L806" s="326"/>
      <c r="M806" s="326"/>
    </row>
    <row r="807" spans="1:13" customFormat="1" ht="12.75">
      <c r="A807" s="1638"/>
      <c r="F807" s="1"/>
      <c r="G807" s="1"/>
      <c r="H807" s="1"/>
      <c r="I807" s="1"/>
      <c r="L807" s="326"/>
      <c r="M807" s="326"/>
    </row>
    <row r="808" spans="1:13" customFormat="1" ht="12.75">
      <c r="A808" s="1638"/>
      <c r="F808" s="1"/>
      <c r="G808" s="1"/>
      <c r="H808" s="1"/>
      <c r="I808" s="1"/>
      <c r="L808" s="326"/>
      <c r="M808" s="326"/>
    </row>
    <row r="809" spans="1:13" customFormat="1" ht="12.75">
      <c r="A809" s="1638"/>
      <c r="F809" s="1"/>
      <c r="G809" s="1"/>
      <c r="H809" s="1"/>
      <c r="I809" s="1"/>
      <c r="L809" s="326"/>
      <c r="M809" s="326"/>
    </row>
    <row r="810" spans="1:13" customFormat="1" ht="12.75">
      <c r="A810" s="1638"/>
      <c r="F810" s="1"/>
      <c r="G810" s="1"/>
      <c r="H810" s="1"/>
      <c r="I810" s="1"/>
      <c r="L810" s="326"/>
      <c r="M810" s="326"/>
    </row>
    <row r="811" spans="1:13" customFormat="1" ht="12.75">
      <c r="A811" s="1638"/>
      <c r="F811" s="1"/>
      <c r="G811" s="1"/>
      <c r="H811" s="1"/>
      <c r="I811" s="1"/>
      <c r="L811" s="326"/>
      <c r="M811" s="326"/>
    </row>
    <row r="812" spans="1:13" customFormat="1" ht="12.75">
      <c r="A812" s="1638"/>
      <c r="F812" s="1"/>
      <c r="G812" s="1"/>
      <c r="H812" s="1"/>
      <c r="I812" s="1"/>
      <c r="L812" s="326"/>
      <c r="M812" s="326"/>
    </row>
    <row r="813" spans="1:13" customFormat="1" ht="12.75">
      <c r="A813" s="1638"/>
      <c r="F813" s="1"/>
      <c r="G813" s="1"/>
      <c r="H813" s="1"/>
      <c r="I813" s="1"/>
      <c r="L813" s="326"/>
      <c r="M813" s="326"/>
    </row>
    <row r="814" spans="1:13" customFormat="1" ht="12.75">
      <c r="A814" s="1638"/>
      <c r="F814" s="1"/>
      <c r="G814" s="1"/>
      <c r="H814" s="1"/>
      <c r="I814" s="1"/>
      <c r="L814" s="326"/>
      <c r="M814" s="326"/>
    </row>
    <row r="815" spans="1:13" customFormat="1" ht="12.75">
      <c r="A815" s="1638"/>
      <c r="F815" s="1"/>
      <c r="G815" s="1"/>
      <c r="H815" s="1"/>
      <c r="I815" s="1"/>
      <c r="L815" s="326"/>
      <c r="M815" s="326"/>
    </row>
    <row r="816" spans="1:13" customFormat="1" ht="12.75">
      <c r="A816" s="1638"/>
      <c r="F816" s="1"/>
      <c r="G816" s="1"/>
      <c r="H816" s="1"/>
      <c r="I816" s="1"/>
      <c r="L816" s="326"/>
      <c r="M816" s="326"/>
    </row>
    <row r="817" spans="1:13" customFormat="1" ht="12.75">
      <c r="A817" s="1638"/>
      <c r="F817" s="1"/>
      <c r="G817" s="1"/>
      <c r="H817" s="1"/>
      <c r="I817" s="1"/>
      <c r="L817" s="326"/>
      <c r="M817" s="326"/>
    </row>
    <row r="818" spans="1:13" customFormat="1" ht="12.75">
      <c r="A818" s="1638"/>
      <c r="F818" s="1"/>
      <c r="G818" s="1"/>
      <c r="H818" s="1"/>
      <c r="I818" s="1"/>
      <c r="L818" s="326"/>
      <c r="M818" s="326"/>
    </row>
    <row r="819" spans="1:13" customFormat="1" ht="12.75">
      <c r="A819" s="1638"/>
      <c r="F819" s="1"/>
      <c r="G819" s="1"/>
      <c r="H819" s="1"/>
      <c r="I819" s="1"/>
      <c r="L819" s="326"/>
      <c r="M819" s="326"/>
    </row>
    <row r="820" spans="1:13" customFormat="1" ht="12.75">
      <c r="A820" s="1638"/>
      <c r="F820" s="1"/>
      <c r="G820" s="1"/>
      <c r="H820" s="1"/>
      <c r="I820" s="1"/>
      <c r="L820" s="326"/>
      <c r="M820" s="326"/>
    </row>
    <row r="821" spans="1:13" customFormat="1" ht="12.75">
      <c r="A821" s="1638"/>
      <c r="F821" s="1"/>
      <c r="G821" s="1"/>
      <c r="H821" s="1"/>
      <c r="I821" s="1"/>
      <c r="L821" s="326"/>
      <c r="M821" s="326"/>
    </row>
    <row r="822" spans="1:13" customFormat="1" ht="12.75">
      <c r="A822" s="1638"/>
      <c r="F822" s="1"/>
      <c r="G822" s="1"/>
      <c r="H822" s="1"/>
      <c r="I822" s="1"/>
      <c r="L822" s="326"/>
      <c r="M822" s="326"/>
    </row>
    <row r="823" spans="1:13" customFormat="1" ht="12.75">
      <c r="A823" s="1638"/>
      <c r="F823" s="1"/>
      <c r="G823" s="1"/>
      <c r="H823" s="1"/>
      <c r="I823" s="1"/>
      <c r="L823" s="326"/>
      <c r="M823" s="326"/>
    </row>
    <row r="824" spans="1:13" customFormat="1" ht="12.75">
      <c r="A824" s="1638"/>
      <c r="F824" s="1"/>
      <c r="G824" s="1"/>
      <c r="H824" s="1"/>
      <c r="I824" s="1"/>
      <c r="L824" s="326"/>
      <c r="M824" s="326"/>
    </row>
    <row r="825" spans="1:13" customFormat="1" ht="12.75">
      <c r="A825" s="1638"/>
      <c r="F825" s="1"/>
      <c r="G825" s="1"/>
      <c r="H825" s="1"/>
      <c r="I825" s="1"/>
      <c r="L825" s="326"/>
      <c r="M825" s="326"/>
    </row>
    <row r="826" spans="1:13" customFormat="1" ht="12.75">
      <c r="A826" s="1638"/>
      <c r="F826" s="1"/>
      <c r="G826" s="1"/>
      <c r="H826" s="1"/>
      <c r="I826" s="1"/>
      <c r="L826" s="326"/>
      <c r="M826" s="326"/>
    </row>
    <row r="827" spans="1:13" customFormat="1" ht="12.75">
      <c r="A827" s="1638"/>
      <c r="F827" s="1"/>
      <c r="G827" s="1"/>
      <c r="H827" s="1"/>
      <c r="I827" s="1"/>
      <c r="L827" s="326"/>
      <c r="M827" s="326"/>
    </row>
    <row r="828" spans="1:13" customFormat="1" ht="12.75">
      <c r="A828" s="1638"/>
      <c r="F828" s="1"/>
      <c r="G828" s="1"/>
      <c r="H828" s="1"/>
      <c r="I828" s="1"/>
      <c r="L828" s="326"/>
      <c r="M828" s="326"/>
    </row>
    <row r="829" spans="1:13" customFormat="1" ht="12.75">
      <c r="A829" s="1638"/>
      <c r="F829" s="1"/>
      <c r="G829" s="1"/>
      <c r="H829" s="1"/>
      <c r="I829" s="1"/>
      <c r="L829" s="326"/>
      <c r="M829" s="326"/>
    </row>
    <row r="830" spans="1:13" customFormat="1" ht="12.75">
      <c r="A830" s="1638"/>
      <c r="F830" s="1"/>
      <c r="G830" s="1"/>
      <c r="H830" s="1"/>
      <c r="I830" s="1"/>
      <c r="L830" s="326"/>
      <c r="M830" s="326"/>
    </row>
    <row r="831" spans="1:13" customFormat="1" ht="12.75">
      <c r="A831" s="1638"/>
      <c r="F831" s="1"/>
      <c r="G831" s="1"/>
      <c r="H831" s="1"/>
      <c r="I831" s="1"/>
      <c r="L831" s="326"/>
      <c r="M831" s="326"/>
    </row>
    <row r="832" spans="1:13" customFormat="1" ht="12.75">
      <c r="A832" s="1638"/>
      <c r="F832" s="1"/>
      <c r="G832" s="1"/>
      <c r="H832" s="1"/>
      <c r="I832" s="1"/>
      <c r="L832" s="326"/>
      <c r="M832" s="326"/>
    </row>
    <row r="833" spans="1:13" customFormat="1" ht="12.75">
      <c r="A833" s="1638"/>
      <c r="F833" s="1"/>
      <c r="G833" s="1"/>
      <c r="H833" s="1"/>
      <c r="I833" s="1"/>
      <c r="L833" s="326"/>
      <c r="M833" s="326"/>
    </row>
    <row r="834" spans="1:13" customFormat="1" ht="12.75">
      <c r="A834" s="1638"/>
      <c r="F834" s="1"/>
      <c r="G834" s="1"/>
      <c r="H834" s="1"/>
      <c r="I834" s="1"/>
      <c r="L834" s="326"/>
      <c r="M834" s="326"/>
    </row>
  </sheetData>
  <sheetProtection password="C616" sheet="1" objects="1" scenarios="1"/>
  <mergeCells count="74">
    <mergeCell ref="J65:K65"/>
    <mergeCell ref="D70:H70"/>
    <mergeCell ref="D71:H71"/>
    <mergeCell ref="D66:G66"/>
    <mergeCell ref="J67:K67"/>
    <mergeCell ref="D69:H69"/>
    <mergeCell ref="J69:K69"/>
    <mergeCell ref="AC4:AH11"/>
    <mergeCell ref="C8:H8"/>
    <mergeCell ref="J8:K8"/>
    <mergeCell ref="B15:C15"/>
    <mergeCell ref="D15:E15"/>
    <mergeCell ref="U4:W11"/>
    <mergeCell ref="B17:C17"/>
    <mergeCell ref="B22:C22"/>
    <mergeCell ref="B30:C30"/>
    <mergeCell ref="B33:C33"/>
    <mergeCell ref="B19:C19"/>
    <mergeCell ref="B20:C20"/>
    <mergeCell ref="B18:C18"/>
    <mergeCell ref="B25:C25"/>
    <mergeCell ref="B21:C21"/>
    <mergeCell ref="B26:C26"/>
    <mergeCell ref="G2:K2"/>
    <mergeCell ref="E3:F3"/>
    <mergeCell ref="G3:K3"/>
    <mergeCell ref="G4:K4"/>
    <mergeCell ref="C7:F7"/>
    <mergeCell ref="J7:K7"/>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B50:C50"/>
    <mergeCell ref="B43:D43"/>
    <mergeCell ref="B46:C46"/>
    <mergeCell ref="B65:C65"/>
    <mergeCell ref="B47:C47"/>
    <mergeCell ref="B44:C44"/>
    <mergeCell ref="B63:C63"/>
    <mergeCell ref="D64:G64"/>
    <mergeCell ref="B34:C34"/>
    <mergeCell ref="B39:C39"/>
    <mergeCell ref="B35:C35"/>
    <mergeCell ref="B37:C37"/>
    <mergeCell ref="B40:C40"/>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s>
  <conditionalFormatting sqref="J64">
    <cfRule type="expression" dxfId="173" priority="295" stopIfTrue="1">
      <formula>$B$64=""</formula>
    </cfRule>
  </conditionalFormatting>
  <conditionalFormatting sqref="I65">
    <cfRule type="expression" dxfId="172" priority="313" stopIfTrue="1">
      <formula>$B$65&lt;&gt;""</formula>
    </cfRule>
  </conditionalFormatting>
  <conditionalFormatting sqref="I66">
    <cfRule type="expression" dxfId="171" priority="314" stopIfTrue="1">
      <formula>$B$66&lt;&gt;""</formula>
    </cfRule>
  </conditionalFormatting>
  <conditionalFormatting sqref="I67">
    <cfRule type="expression" dxfId="170" priority="315" stopIfTrue="1">
      <formula>$B$67&lt;&gt;""</formula>
    </cfRule>
  </conditionalFormatting>
  <conditionalFormatting sqref="I68">
    <cfRule type="expression" dxfId="169" priority="316" stopIfTrue="1">
      <formula>OR($B$68&lt;&gt;"",$B$68=0)</formula>
    </cfRule>
  </conditionalFormatting>
  <conditionalFormatting sqref="I70">
    <cfRule type="expression" dxfId="168" priority="317" stopIfTrue="1">
      <formula>$B$70&lt;&gt;""</formula>
    </cfRule>
  </conditionalFormatting>
  <conditionalFormatting sqref="F33:F40">
    <cfRule type="expression" dxfId="167" priority="187">
      <formula>wohnen1</formula>
    </cfRule>
  </conditionalFormatting>
  <conditionalFormatting sqref="H33:H40">
    <cfRule type="expression" dxfId="166" priority="184">
      <formula>wohnen3</formula>
    </cfRule>
  </conditionalFormatting>
  <conditionalFormatting sqref="G33:G40">
    <cfRule type="expression" dxfId="165" priority="177">
      <formula>wohnen2</formula>
    </cfRule>
  </conditionalFormatting>
  <conditionalFormatting sqref="B44:C44">
    <cfRule type="expression" dxfId="164" priority="116">
      <formula>Zweckumbau=FALSE</formula>
    </cfRule>
  </conditionalFormatting>
  <conditionalFormatting sqref="I64">
    <cfRule type="expression" dxfId="163" priority="94" stopIfTrue="1">
      <formula>$B$64&lt;&gt;""</formula>
    </cfRule>
  </conditionalFormatting>
  <conditionalFormatting sqref="I63">
    <cfRule type="expression" dxfId="162" priority="93" stopIfTrue="1">
      <formula>$B$63&lt;&gt;""</formula>
    </cfRule>
  </conditionalFormatting>
  <conditionalFormatting sqref="K64">
    <cfRule type="expression" dxfId="161" priority="90">
      <formula>$B$64=""</formula>
    </cfRule>
  </conditionalFormatting>
  <conditionalFormatting sqref="I71">
    <cfRule type="expression" dxfId="160" priority="77" stopIfTrue="1">
      <formula>OR($B$71&lt;&gt;"",$B$71=0)</formula>
    </cfRule>
  </conditionalFormatting>
  <conditionalFormatting sqref="I69">
    <cfRule type="expression" dxfId="159" priority="76" stopIfTrue="1">
      <formula>$B$69&lt;&gt;""</formula>
    </cfRule>
  </conditionalFormatting>
  <conditionalFormatting sqref="I33:I40">
    <cfRule type="expression" dxfId="158" priority="73">
      <formula>wohnen4</formula>
    </cfRule>
  </conditionalFormatting>
  <conditionalFormatting sqref="B57 E57:K57">
    <cfRule type="expression" dxfId="157" priority="53">
      <formula>OR(minergie=TRUE,minergiep=TRUE,MUKEN=warh)</formula>
    </cfRule>
  </conditionalFormatting>
  <conditionalFormatting sqref="B58:K58">
    <cfRule type="expression" dxfId="156" priority="52" stopIfTrue="1">
      <formula>minergiea=FALSE</formula>
    </cfRule>
  </conditionalFormatting>
  <conditionalFormatting sqref="C61:E61">
    <cfRule type="expression" dxfId="155" priority="49">
      <formula>minergiea=FALSE</formula>
    </cfRule>
  </conditionalFormatting>
  <conditionalFormatting sqref="H41">
    <cfRule type="expression" dxfId="154" priority="46">
      <formula>wohnen3</formula>
    </cfRule>
  </conditionalFormatting>
  <conditionalFormatting sqref="G41">
    <cfRule type="expression" dxfId="153" priority="45">
      <formula>wohnen2</formula>
    </cfRule>
  </conditionalFormatting>
  <conditionalFormatting sqref="I41">
    <cfRule type="expression" dxfId="152" priority="44">
      <formula>wohnen4</formula>
    </cfRule>
  </conditionalFormatting>
  <conditionalFormatting sqref="A59:K59">
    <cfRule type="expression" dxfId="151" priority="43">
      <formula>minergiea=FALSE</formula>
    </cfRule>
  </conditionalFormatting>
  <conditionalFormatting sqref="G18">
    <cfRule type="expression" dxfId="150" priority="34">
      <formula>Zonen&gt;1</formula>
    </cfRule>
  </conditionalFormatting>
  <conditionalFormatting sqref="H18">
    <cfRule type="expression" dxfId="149" priority="33">
      <formula>Zonen&gt;2</formula>
    </cfRule>
  </conditionalFormatting>
  <conditionalFormatting sqref="I18">
    <cfRule type="expression" dxfId="148" priority="32">
      <formula>Zonen&gt;3</formula>
    </cfRule>
  </conditionalFormatting>
  <conditionalFormatting sqref="F45">
    <cfRule type="expression" dxfId="147" priority="28">
      <formula>Kategorie1&gt;3</formula>
    </cfRule>
  </conditionalFormatting>
  <conditionalFormatting sqref="I45">
    <cfRule type="expression" dxfId="146" priority="27">
      <formula>AND(Kategorie4&gt;3,Zonen&gt;3)</formula>
    </cfRule>
  </conditionalFormatting>
  <conditionalFormatting sqref="G45">
    <cfRule type="expression" dxfId="145" priority="26">
      <formula>AND(Kategorie2&gt;3,Zonen&gt;1)</formula>
    </cfRule>
  </conditionalFormatting>
  <conditionalFormatting sqref="H45">
    <cfRule type="expression" dxfId="144" priority="25">
      <formula>AND(Kategorie3&gt;3,Zonen&gt;2)</formula>
    </cfRule>
  </conditionalFormatting>
  <conditionalFormatting sqref="I56:K56">
    <cfRule type="expression" dxfId="143" priority="22">
      <formula>OR($H$56=0,$H$56="")</formula>
    </cfRule>
  </conditionalFormatting>
  <conditionalFormatting sqref="J56">
    <cfRule type="expression" dxfId="142" priority="21">
      <formula>OR($H$56=0,$H$56="")</formula>
    </cfRule>
  </conditionalFormatting>
  <conditionalFormatting sqref="F21">
    <cfRule type="expression" dxfId="141" priority="20">
      <formula>wohnen1</formula>
    </cfRule>
  </conditionalFormatting>
  <conditionalFormatting sqref="H21">
    <cfRule type="expression" dxfId="140" priority="19">
      <formula>wohnen3</formula>
    </cfRule>
  </conditionalFormatting>
  <conditionalFormatting sqref="G21">
    <cfRule type="expression" dxfId="139" priority="18">
      <formula>wohnen2</formula>
    </cfRule>
  </conditionalFormatting>
  <conditionalFormatting sqref="I21">
    <cfRule type="expression" dxfId="138" priority="17">
      <formula>wohnen4</formula>
    </cfRule>
  </conditionalFormatting>
  <conditionalFormatting sqref="F25">
    <cfRule type="expression" dxfId="137" priority="16">
      <formula>wohnen1</formula>
    </cfRule>
  </conditionalFormatting>
  <conditionalFormatting sqref="G25">
    <cfRule type="expression" dxfId="136" priority="15">
      <formula>wohnen2</formula>
    </cfRule>
  </conditionalFormatting>
  <conditionalFormatting sqref="H25">
    <cfRule type="expression" dxfId="135" priority="14">
      <formula>wohnen3</formula>
    </cfRule>
  </conditionalFormatting>
  <conditionalFormatting sqref="I25">
    <cfRule type="expression" dxfId="134" priority="13">
      <formula>wohnen4</formula>
    </cfRule>
  </conditionalFormatting>
  <conditionalFormatting sqref="F26">
    <cfRule type="expression" dxfId="133" priority="12">
      <formula>AND(Kategorie1 &gt;1, Kategorie1&lt;10)</formula>
    </cfRule>
  </conditionalFormatting>
  <conditionalFormatting sqref="G26">
    <cfRule type="expression" dxfId="132" priority="11">
      <formula>AND(Kategorie2 &gt;1, Kategorie2&lt;10)</formula>
    </cfRule>
  </conditionalFormatting>
  <conditionalFormatting sqref="H26">
    <cfRule type="expression" dxfId="131" priority="10">
      <formula>AND(Kategorie3 &gt;1, Kategorie3&lt;10)</formula>
    </cfRule>
  </conditionalFormatting>
  <conditionalFormatting sqref="I26">
    <cfRule type="expression" dxfId="130" priority="9">
      <formula>AND(Kategorie4 &gt;1, Kategorie4&lt;10)</formula>
    </cfRule>
  </conditionalFormatting>
  <conditionalFormatting sqref="I57 I59">
    <cfRule type="cellIs" dxfId="129" priority="561" stopIfTrue="1" operator="equal">
      <formula>$N$12</formula>
    </cfRule>
    <cfRule type="cellIs" dxfId="128" priority="562" stopIfTrue="1" operator="equal">
      <formula>$N$13</formula>
    </cfRule>
  </conditionalFormatting>
  <conditionalFormatting sqref="K66 J65 J71 J69 J63">
    <cfRule type="cellIs" dxfId="127" priority="563" stopIfTrue="1" operator="equal">
      <formula>$Q$12</formula>
    </cfRule>
    <cfRule type="cellIs" dxfId="126" priority="564" stopIfTrue="1" operator="equal">
      <formula>$R$12</formula>
    </cfRule>
  </conditionalFormatting>
  <conditionalFormatting sqref="J50:K50 D50">
    <cfRule type="cellIs" dxfId="125" priority="573" operator="equal">
      <formula>$Q$12</formula>
    </cfRule>
  </conditionalFormatting>
  <conditionalFormatting sqref="D50">
    <cfRule type="cellIs" dxfId="124" priority="575" operator="equal">
      <formula>$R$12</formula>
    </cfRule>
  </conditionalFormatting>
  <conditionalFormatting sqref="F44">
    <cfRule type="expression" dxfId="123" priority="624">
      <formula>$O$85</formula>
    </cfRule>
  </conditionalFormatting>
  <conditionalFormatting sqref="G44">
    <cfRule type="expression" dxfId="122" priority="625">
      <formula>$P$85</formula>
    </cfRule>
  </conditionalFormatting>
  <conditionalFormatting sqref="H44">
    <cfRule type="expression" dxfId="121" priority="626">
      <formula>$Q$85</formula>
    </cfRule>
  </conditionalFormatting>
  <conditionalFormatting sqref="I44">
    <cfRule type="expression" dxfId="120" priority="627">
      <formula>$R$85</formula>
    </cfRule>
  </conditionalFormatting>
  <conditionalFormatting sqref="F46:F47">
    <cfRule type="expression" dxfId="119" priority="648">
      <formula>$O$97</formula>
    </cfRule>
  </conditionalFormatting>
  <conditionalFormatting sqref="G46:G47">
    <cfRule type="expression" dxfId="118" priority="649">
      <formula>$P$97</formula>
    </cfRule>
  </conditionalFormatting>
  <conditionalFormatting sqref="H46:H47">
    <cfRule type="expression" dxfId="117" priority="650">
      <formula>$Q$97</formula>
    </cfRule>
  </conditionalFormatting>
  <conditionalFormatting sqref="I46:I47">
    <cfRule type="expression" dxfId="116" priority="651">
      <formula>$R$97</formula>
    </cfRule>
  </conditionalFormatting>
  <conditionalFormatting sqref="F48:F49">
    <cfRule type="expression" dxfId="115" priority="652">
      <formula>AND($O$89,$O$53=FALSE)</formula>
    </cfRule>
    <cfRule type="expression" dxfId="114" priority="653" stopIfTrue="1">
      <formula>$O$53</formula>
    </cfRule>
  </conditionalFormatting>
  <conditionalFormatting sqref="G48:G49">
    <cfRule type="expression" dxfId="113" priority="654">
      <formula>AND($P$89,$P$53=FALSE)</formula>
    </cfRule>
    <cfRule type="expression" dxfId="112" priority="655" stopIfTrue="1">
      <formula>$P$53</formula>
    </cfRule>
  </conditionalFormatting>
  <conditionalFormatting sqref="H48:H49">
    <cfRule type="expression" dxfId="111" priority="656">
      <formula>AND($Q$89,$Q$53=FALSE)</formula>
    </cfRule>
    <cfRule type="expression" dxfId="110" priority="657" stopIfTrue="1">
      <formula>$Q$53</formula>
    </cfRule>
  </conditionalFormatting>
  <conditionalFormatting sqref="I48:I49">
    <cfRule type="expression" dxfId="109" priority="658">
      <formula>AND($R$89,$R$53=FALSE)</formula>
    </cfRule>
    <cfRule type="expression" dxfId="108" priority="659" stopIfTrue="1">
      <formula>$R$53</formula>
    </cfRule>
  </conditionalFormatting>
  <conditionalFormatting sqref="B26:C26">
    <cfRule type="expression" dxfId="107" priority="8">
      <formula>minergiea</formula>
    </cfRule>
  </conditionalFormatting>
  <conditionalFormatting sqref="D26">
    <cfRule type="expression" dxfId="106" priority="7">
      <formula>minergiea</formula>
    </cfRule>
  </conditionalFormatting>
  <conditionalFormatting sqref="E26">
    <cfRule type="expression" dxfId="105" priority="6">
      <formula>minergiea</formula>
    </cfRule>
  </conditionalFormatting>
  <conditionalFormatting sqref="F41">
    <cfRule type="expression" dxfId="104" priority="5">
      <formula>wohnen1</formula>
    </cfRule>
  </conditionalFormatting>
  <conditionalFormatting sqref="K25">
    <cfRule type="expression" dxfId="103" priority="4">
      <formula>$M$25=1</formula>
    </cfRule>
  </conditionalFormatting>
  <conditionalFormatting sqref="I72">
    <cfRule type="expression" dxfId="102" priority="1" stopIfTrue="1">
      <formula>OR($B$72&lt;&gt;"",$B$72=0)</formula>
    </cfRule>
  </conditionalFormatting>
  <conditionalFormatting sqref="J72">
    <cfRule type="cellIs" dxfId="101" priority="2" stopIfTrue="1" operator="equal">
      <formula>$Q$12</formula>
    </cfRule>
    <cfRule type="cellIs" dxfId="100" priority="3" stopIfTrue="1" operator="equal">
      <formula>$R$12</formula>
    </cfRule>
  </conditionalFormatting>
  <dataValidations count="11">
    <dataValidation type="list" allowBlank="1" showInputMessage="1" showErrorMessage="1" sqref="I42" xr:uid="{00000000-0002-0000-0100-000000000000}">
      <formula1>Kleinanlagen4</formula1>
    </dataValidation>
    <dataValidation type="list" allowBlank="1" showInputMessage="1" showErrorMessage="1" sqref="H42" xr:uid="{00000000-0002-0000-0100-000001000000}">
      <formula1>Kleinanlagen3</formula1>
    </dataValidation>
    <dataValidation type="list" allowBlank="1" showInputMessage="1" showErrorMessage="1" sqref="G42" xr:uid="{00000000-0002-0000-0100-000002000000}">
      <formula1>Kleinanlagen2</formula1>
    </dataValidation>
    <dataValidation type="list" allowBlank="1" showInputMessage="1" showErrorMessage="1" sqref="F42" xr:uid="{00000000-0002-0000-0100-000003000000}">
      <formula1>Kleinanlagen1</formula1>
    </dataValidation>
    <dataValidation type="list" allowBlank="1" showInputMessage="1" showErrorMessage="1" sqref="S34" xr:uid="{00000000-0002-0000-0100-000004000000}">
      <formula1>#REF!</formula1>
    </dataValidation>
    <dataValidation type="list" allowBlank="1" showInputMessage="1" showErrorMessage="1" sqref="F46:I47 I63:I72 F44:I44 F33:I41" xr:uid="{00000000-0002-0000-0100-000005000000}">
      <formula1>$N$12:$N$13</formula1>
    </dataValidation>
    <dataValidation type="list" allowBlank="1" showInputMessage="1" showErrorMessage="1" errorTitle="falsche Eingabe" promptTitle="Auswählen" sqref="F19:I20" xr:uid="{00000000-0002-0000-0100-000006000000}">
      <formula1>$N$12:$N$13</formula1>
    </dataValidation>
    <dataValidation type="list" allowBlank="1" showInputMessage="1" showErrorMessage="1" errorTitle="falsche Eingabe" promptTitle="Auswählen" sqref="F45" xr:uid="{00000000-0002-0000-0100-000007000000}">
      <formula1>$O$49:$O$50</formula1>
    </dataValidation>
    <dataValidation type="list" allowBlank="1" showInputMessage="1" showErrorMessage="1" errorTitle="falsche Eingabe" promptTitle="Auswählen" sqref="G45" xr:uid="{00000000-0002-0000-0100-000008000000}">
      <formula1>$P$49:$P$50</formula1>
    </dataValidation>
    <dataValidation type="list" allowBlank="1" showInputMessage="1" showErrorMessage="1" errorTitle="falsche Eingabe" promptTitle="Auswählen" sqref="H45" xr:uid="{00000000-0002-0000-0100-000009000000}">
      <formula1>$Q$49:$Q$50</formula1>
    </dataValidation>
    <dataValidation type="list" allowBlank="1" showInputMessage="1" showErrorMessage="1" errorTitle="falsche Eingabe" promptTitle="Auswählen" sqref="I45" xr:uid="{00000000-0002-0000-0100-00000A000000}">
      <formula1>$R$49:$R$50</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3"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3"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99"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48"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pageSetUpPr fitToPage="1"/>
  </sheetPr>
  <dimension ref="A1:Y101"/>
  <sheetViews>
    <sheetView workbookViewId="0"/>
  </sheetViews>
  <sheetFormatPr baseColWidth="10" defaultColWidth="11.5703125" defaultRowHeight="12.75"/>
  <cols>
    <col min="1" max="1" width="3.7109375" style="1642"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804" t="str">
        <f>Eingaben!B1</f>
        <v>2019.3</v>
      </c>
      <c r="C1" s="5"/>
      <c r="D1" s="5"/>
      <c r="E1" s="5"/>
      <c r="F1" s="5"/>
      <c r="G1" s="5"/>
      <c r="H1" s="5"/>
      <c r="I1" s="5"/>
      <c r="J1" s="5"/>
      <c r="K1" s="5"/>
      <c r="L1" s="815"/>
      <c r="M1" s="815" t="str">
        <f>Eingaben!K1</f>
        <v>Formular EN101b, v2.3, zu verwenden bis 31. Dezember 2019</v>
      </c>
      <c r="N1" s="1642"/>
    </row>
    <row r="2" spans="1:23" ht="13.15" customHeight="1">
      <c r="B2" s="1801"/>
      <c r="C2" s="860"/>
      <c r="D2" s="860"/>
      <c r="E2" s="860"/>
      <c r="F2" s="860"/>
      <c r="G2" s="1802"/>
      <c r="H2" s="2128" t="str">
        <f>Uebersetzung!D320</f>
        <v>Sommerlicher Wärmeschutz im Minergie-Standard</v>
      </c>
      <c r="I2" s="2129"/>
      <c r="J2" s="2129"/>
      <c r="K2" s="2129"/>
      <c r="L2" s="2129"/>
      <c r="M2" s="2130"/>
      <c r="N2" s="1642"/>
    </row>
    <row r="3" spans="1:23" ht="20.25">
      <c r="B3" s="1159"/>
      <c r="C3" s="147"/>
      <c r="D3" s="42"/>
      <c r="E3" s="42"/>
      <c r="F3" s="2137"/>
      <c r="G3" s="1960"/>
      <c r="H3" s="2131"/>
      <c r="I3" s="2132"/>
      <c r="J3" s="2132"/>
      <c r="K3" s="2132"/>
      <c r="L3" s="2132"/>
      <c r="M3" s="2133"/>
      <c r="N3" s="1642"/>
    </row>
    <row r="4" spans="1:23" ht="13.9" customHeight="1">
      <c r="B4" s="95"/>
      <c r="C4" s="60"/>
      <c r="D4" s="60"/>
      <c r="E4" s="60"/>
      <c r="F4" s="60"/>
      <c r="G4" s="119"/>
      <c r="H4" s="2134"/>
      <c r="I4" s="2135"/>
      <c r="J4" s="2135"/>
      <c r="K4" s="2135"/>
      <c r="L4" s="2135"/>
      <c r="M4" s="2136"/>
      <c r="N4" s="1642"/>
    </row>
    <row r="5" spans="1:23" ht="9.9499999999999993" customHeight="1">
      <c r="N5" s="1642"/>
    </row>
    <row r="6" spans="1:23" ht="15.75" hidden="1">
      <c r="B6" s="1089"/>
      <c r="C6" s="1087"/>
      <c r="D6" s="1087"/>
      <c r="E6" s="1087"/>
      <c r="F6" s="1087"/>
      <c r="G6" s="1087"/>
      <c r="H6" s="1087"/>
      <c r="I6" s="1087"/>
      <c r="J6" s="1087"/>
      <c r="K6" s="1087"/>
      <c r="L6" s="1088"/>
      <c r="N6" s="1642"/>
      <c r="O6" s="1090"/>
      <c r="P6" s="1090"/>
      <c r="Q6" s="1090"/>
      <c r="R6" s="1090"/>
      <c r="S6" s="1090"/>
    </row>
    <row r="7" spans="1:23" ht="20.100000000000001" customHeight="1">
      <c r="A7" s="1642" t="s">
        <v>3389</v>
      </c>
      <c r="B7" s="2138" t="str">
        <f>IF(Projekt1="","",Projekt1)</f>
        <v/>
      </c>
      <c r="C7" s="2139"/>
      <c r="D7" s="2139"/>
      <c r="E7" s="2139"/>
      <c r="F7" s="2139"/>
      <c r="G7" s="2139"/>
      <c r="H7" s="2139"/>
      <c r="I7" s="2139"/>
      <c r="J7" s="2139"/>
      <c r="K7" s="2139"/>
      <c r="L7" s="2139"/>
      <c r="M7" s="2140"/>
      <c r="N7" s="1642"/>
      <c r="O7" s="1090"/>
      <c r="P7" s="1090"/>
      <c r="Q7" s="1090"/>
      <c r="R7" s="1090"/>
      <c r="S7" s="1090"/>
    </row>
    <row r="8" spans="1:23" ht="15" hidden="1" customHeight="1">
      <c r="B8" s="2141"/>
      <c r="C8" s="2142"/>
      <c r="D8" s="2142"/>
      <c r="E8" s="2142"/>
      <c r="F8" s="2142"/>
      <c r="G8" s="2142"/>
      <c r="H8" s="2142"/>
      <c r="I8" s="2142"/>
      <c r="J8" s="2142"/>
      <c r="K8" s="2142"/>
      <c r="L8" s="2142"/>
      <c r="M8" s="2143"/>
      <c r="N8" s="1642"/>
      <c r="O8" s="1090"/>
      <c r="P8" s="1090"/>
      <c r="Q8" s="1090"/>
      <c r="R8" s="1090"/>
      <c r="S8" s="1090"/>
    </row>
    <row r="9" spans="1:23" ht="24.95" customHeight="1">
      <c r="A9" s="1642" t="s">
        <v>3390</v>
      </c>
      <c r="B9" s="2124" t="str">
        <f>IF(Projekt4="","",Projekt4)</f>
        <v/>
      </c>
      <c r="C9" s="2125"/>
      <c r="D9" s="2125"/>
      <c r="E9" s="2125"/>
      <c r="F9" s="2125"/>
      <c r="G9" s="2125"/>
      <c r="H9" s="2125"/>
      <c r="I9" s="2125"/>
      <c r="J9" s="2125"/>
      <c r="K9" s="2125"/>
      <c r="L9" s="2125"/>
      <c r="M9" s="2126"/>
      <c r="N9" s="1642"/>
      <c r="O9" s="1087"/>
      <c r="P9" s="1090"/>
      <c r="Q9" s="1087"/>
      <c r="R9" s="1087"/>
      <c r="S9" s="1087"/>
    </row>
    <row r="10" spans="1:23" ht="39.950000000000003" customHeight="1">
      <c r="A10" s="1642" t="s">
        <v>3576</v>
      </c>
      <c r="B10" s="2127" t="str">
        <f>Uebersetzung!D322</f>
        <v>Variante 1: Globalbeurteilung von Standardfällen für die Nutzungen Wohnen, Einzelbüro, Gruppenbüro, Sitzungszimmer und Lager (ohne Kühlung)</v>
      </c>
      <c r="C10" s="2127"/>
      <c r="D10" s="2127"/>
      <c r="E10" s="2127"/>
      <c r="F10" s="2127"/>
      <c r="G10" s="2127"/>
      <c r="H10" s="2127"/>
      <c r="I10" s="2127"/>
      <c r="J10" s="2127"/>
      <c r="K10" s="2127"/>
      <c r="L10" s="2127"/>
      <c r="M10" s="1796"/>
      <c r="N10" s="1642"/>
      <c r="O10" s="1087"/>
      <c r="P10" s="1090"/>
      <c r="Q10" s="1087"/>
      <c r="R10" s="1087"/>
      <c r="S10" s="1087"/>
    </row>
    <row r="11" spans="1:23" ht="15" customHeight="1">
      <c r="B11" s="2162" t="str">
        <f>Uebersetzung!D323</f>
        <v>Die Globalbeurteilung gilt für Zonen in denen in allen Räumen folgende Bedingungen eingehalten sind:</v>
      </c>
      <c r="C11" s="2163"/>
      <c r="D11" s="2163"/>
      <c r="E11" s="2163"/>
      <c r="F11" s="2163"/>
      <c r="G11" s="2163"/>
      <c r="H11" s="2163"/>
      <c r="I11" s="2163"/>
      <c r="J11" s="2163"/>
      <c r="K11" s="2163"/>
      <c r="L11" s="2163"/>
      <c r="M11" s="2164"/>
      <c r="N11" s="1642"/>
      <c r="O11" s="1091"/>
      <c r="P11" s="1091"/>
      <c r="Q11" s="1091"/>
      <c r="R11" s="1127">
        <v>1</v>
      </c>
      <c r="S11" s="1414">
        <v>1</v>
      </c>
    </row>
    <row r="12" spans="1:23" ht="15" customHeight="1">
      <c r="A12" s="1644"/>
      <c r="B12" s="2172" t="str">
        <f>Uebersetzung!D537</f>
        <v>- Keine Oblichter</v>
      </c>
      <c r="C12" s="2173"/>
      <c r="D12" s="2173"/>
      <c r="E12" s="2173"/>
      <c r="F12" s="2173"/>
      <c r="G12" s="2173"/>
      <c r="H12" s="2173"/>
      <c r="I12" s="2173"/>
      <c r="J12" s="2173"/>
      <c r="K12" s="2173"/>
      <c r="L12" s="2173"/>
      <c r="M12" s="2174"/>
      <c r="N12" s="1642"/>
      <c r="O12" s="1811" t="str">
        <f>Uebersetzung!D27</f>
        <v>n.a.</v>
      </c>
      <c r="P12" s="1806" t="str">
        <f>O12</f>
        <v>n.a.</v>
      </c>
      <c r="Q12" s="1806" t="str">
        <f>Uebersetzung!D350</f>
        <v>Rollläden</v>
      </c>
      <c r="R12" s="1093">
        <v>2</v>
      </c>
      <c r="S12" s="1094">
        <v>4</v>
      </c>
    </row>
    <row r="13" spans="1:23" ht="15" customHeight="1">
      <c r="B13" s="2172" t="str">
        <f>Uebersetzung!D538</f>
        <v>- Aussen liegender beweglicher Sonnenschutz mit Rolläden oder Rafflamellenstoren (g-Wert-total max 0.1)</v>
      </c>
      <c r="C13" s="2173"/>
      <c r="D13" s="2173"/>
      <c r="E13" s="2173"/>
      <c r="F13" s="2173"/>
      <c r="G13" s="2173"/>
      <c r="H13" s="2173"/>
      <c r="I13" s="2173"/>
      <c r="J13" s="2173"/>
      <c r="K13" s="2173"/>
      <c r="L13" s="2173"/>
      <c r="M13" s="2174"/>
      <c r="N13" s="1642"/>
      <c r="O13" s="1096" t="str">
        <f>Uebersetzung!D25</f>
        <v>Ja</v>
      </c>
      <c r="P13" s="1096" t="str">
        <f>O13</f>
        <v>Ja</v>
      </c>
      <c r="Q13" s="1096" t="str">
        <f>Uebersetzung!D351</f>
        <v>Rafflamellen</v>
      </c>
      <c r="R13" s="1127">
        <v>3</v>
      </c>
      <c r="S13" s="1414">
        <v>2</v>
      </c>
    </row>
    <row r="14" spans="1:23" ht="15" customHeight="1">
      <c r="B14" s="1862" t="str">
        <f>Uebersetzung!D539</f>
        <v>- Eine Nachauskühlung mit Fensterlüftung ist möglich (Hinweis: Der Einbruchschutz wird im Rahmen der Minergie-Zertifizierung generell nicht geprüft.);</v>
      </c>
      <c r="C14" s="1863"/>
      <c r="D14" s="1863"/>
      <c r="E14" s="1863"/>
      <c r="F14" s="1863"/>
      <c r="G14" s="1863"/>
      <c r="H14" s="1863"/>
      <c r="I14" s="1863"/>
      <c r="J14" s="1863"/>
      <c r="K14" s="1863"/>
      <c r="L14" s="1863"/>
      <c r="M14" s="1864"/>
      <c r="N14" s="1642"/>
      <c r="O14" s="1096" t="str">
        <f>Uebersetzung!D26</f>
        <v>Nein</v>
      </c>
      <c r="P14" s="1096" t="str">
        <f>O14</f>
        <v>Nein</v>
      </c>
      <c r="Q14" s="1096" t="str">
        <f>Uebersetzung!D352</f>
        <v>Modul Minergie</v>
      </c>
      <c r="R14" s="1127">
        <v>4</v>
      </c>
      <c r="S14" s="1414">
        <v>3</v>
      </c>
    </row>
    <row r="15" spans="1:23" ht="15" customHeight="1">
      <c r="B15" s="2175" t="str">
        <f>Uebersetzung!D327</f>
        <v>- interne Wärmelasten nicht höher als die Standardwerte im Merkblatt SIA 2024.</v>
      </c>
      <c r="C15" s="2176"/>
      <c r="D15" s="2176"/>
      <c r="E15" s="2176"/>
      <c r="F15" s="2176"/>
      <c r="G15" s="2176"/>
      <c r="H15" s="2176"/>
      <c r="I15" s="2176"/>
      <c r="J15" s="2176"/>
      <c r="K15" s="2176"/>
      <c r="L15" s="2176"/>
      <c r="M15" s="2177"/>
      <c r="N15" s="1642"/>
      <c r="O15" s="1098"/>
      <c r="P15" s="1098"/>
      <c r="Q15" s="1098" t="str">
        <f>Uebersetzung!D353</f>
        <v>andere</v>
      </c>
      <c r="R15" s="1127">
        <v>5</v>
      </c>
      <c r="S15" s="1087"/>
    </row>
    <row r="16" spans="1:23" ht="17.100000000000001" customHeight="1">
      <c r="B16" s="2165" t="str">
        <f>Uebersetzung!D558</f>
        <v>- Windfestigkeit des aussenliegenden beweglichen Sonnenschutzes mindestens Windwiderstandsklasse 5</v>
      </c>
      <c r="C16" s="2166"/>
      <c r="D16" s="2166"/>
      <c r="E16" s="2166"/>
      <c r="F16" s="2166"/>
      <c r="G16" s="2166"/>
      <c r="H16" s="2166"/>
      <c r="I16" s="2166"/>
      <c r="J16" s="2166"/>
      <c r="K16" s="2166"/>
      <c r="L16" s="2166"/>
      <c r="M16" s="2167"/>
      <c r="N16" s="1642"/>
      <c r="O16" s="1091"/>
      <c r="P16" s="1091"/>
      <c r="Q16" s="1091"/>
      <c r="R16" s="1091"/>
      <c r="S16" s="1087"/>
      <c r="T16" s="1807" t="s">
        <v>1744</v>
      </c>
      <c r="U16" s="1099"/>
      <c r="V16" s="1099"/>
      <c r="W16" s="1808"/>
    </row>
    <row r="17" spans="1:23" ht="20.100000000000001" customHeight="1">
      <c r="B17" s="1861"/>
      <c r="C17" s="1868"/>
      <c r="D17" s="1868"/>
      <c r="E17" s="1868"/>
      <c r="F17" s="1868"/>
      <c r="G17" s="1868"/>
      <c r="H17" s="1869" t="s">
        <v>1745</v>
      </c>
      <c r="I17" s="1870">
        <v>1</v>
      </c>
      <c r="J17" s="1870">
        <v>2</v>
      </c>
      <c r="K17" s="1870">
        <v>3</v>
      </c>
      <c r="L17" s="1871">
        <v>4</v>
      </c>
      <c r="M17" s="1872"/>
      <c r="N17" s="1642"/>
      <c r="O17" s="1853">
        <v>1</v>
      </c>
      <c r="P17" s="692">
        <v>2</v>
      </c>
      <c r="Q17" s="692">
        <v>3</v>
      </c>
      <c r="R17" s="1854">
        <v>4</v>
      </c>
      <c r="S17" s="1838"/>
      <c r="T17" s="1855">
        <v>1</v>
      </c>
      <c r="U17" s="1856">
        <v>2</v>
      </c>
      <c r="V17" s="1856">
        <v>3</v>
      </c>
      <c r="W17" s="1857">
        <v>4</v>
      </c>
    </row>
    <row r="18" spans="1:23" ht="15" customHeight="1">
      <c r="B18" s="1105" t="str">
        <f>Uebersetzung!D328</f>
        <v>Erfüllen die Räume in der Zone die Kriterien?</v>
      </c>
      <c r="C18" s="1797"/>
      <c r="D18" s="1797"/>
      <c r="E18" s="1797"/>
      <c r="F18" s="1797"/>
      <c r="G18" s="1797"/>
      <c r="H18" s="1797"/>
      <c r="I18" s="1106"/>
      <c r="J18" s="1106"/>
      <c r="K18" s="1106"/>
      <c r="L18" s="1107"/>
      <c r="M18" s="1104"/>
      <c r="N18" s="1642"/>
      <c r="O18" s="1817"/>
      <c r="P18" s="1818"/>
      <c r="Q18" s="1818"/>
      <c r="R18" s="1816"/>
      <c r="S18" s="1087"/>
      <c r="T18" s="1108"/>
      <c r="U18" s="1109"/>
      <c r="V18" s="1109"/>
      <c r="W18" s="1110"/>
    </row>
    <row r="19" spans="1:23" ht="24" customHeight="1">
      <c r="A19" s="2146" t="s">
        <v>3391</v>
      </c>
      <c r="B19" s="2147" t="str">
        <f>Uebersetzung!D329</f>
        <v>Aussenliegender beweglicher Sonnenschutz. Bei "andere" hier deklarieren:</v>
      </c>
      <c r="C19" s="2148"/>
      <c r="D19" s="2148"/>
      <c r="E19" s="2148"/>
      <c r="F19" s="2148"/>
      <c r="G19" s="2148"/>
      <c r="H19" s="2149"/>
      <c r="I19" s="2150"/>
      <c r="J19" s="2150"/>
      <c r="K19" s="2150"/>
      <c r="L19" s="2152"/>
      <c r="M19" s="1111"/>
      <c r="N19" s="1642"/>
      <c r="O19" s="1112" t="b">
        <f>OR(I19=$Q$12,I19=$Q$13,I19=$Q$14,I19=$Q$15)</f>
        <v>0</v>
      </c>
      <c r="P19" s="1113" t="b">
        <f>OR(J19=$Q$12,J19=$Q$13,J19=$Q$14,J19=$Q$15)</f>
        <v>0</v>
      </c>
      <c r="Q19" s="1113" t="b">
        <f>OR(K19=$Q$12,K19=$Q$13,K19=$Q$14,K19=$Q$15)</f>
        <v>0</v>
      </c>
      <c r="R19" s="1095" t="b">
        <f>OR(L19=$Q$12,L19=$Q$13,L19=$Q$14,L19=$Q$15)</f>
        <v>0</v>
      </c>
      <c r="S19" s="1087"/>
      <c r="T19" s="1114"/>
      <c r="U19" s="1115"/>
      <c r="V19" s="1115"/>
      <c r="W19" s="1116"/>
    </row>
    <row r="20" spans="1:23" s="1834" customFormat="1" ht="24" customHeight="1">
      <c r="A20" s="2146"/>
      <c r="B20" s="2154"/>
      <c r="C20" s="2155"/>
      <c r="D20" s="2155"/>
      <c r="E20" s="2155"/>
      <c r="F20" s="2155"/>
      <c r="G20" s="2155"/>
      <c r="H20" s="1819"/>
      <c r="I20" s="2151"/>
      <c r="J20" s="2151"/>
      <c r="K20" s="2151"/>
      <c r="L20" s="2153"/>
      <c r="M20" s="1840"/>
      <c r="N20" s="1642"/>
      <c r="O20" s="132"/>
      <c r="P20" s="1137"/>
      <c r="Q20" s="1137"/>
      <c r="R20" s="1839"/>
      <c r="S20" s="1838"/>
      <c r="T20" s="1837"/>
      <c r="U20" s="1836"/>
      <c r="V20" s="1836"/>
      <c r="W20" s="1835"/>
    </row>
    <row r="21" spans="1:23" ht="18" customHeight="1">
      <c r="A21" s="1642" t="s">
        <v>1756</v>
      </c>
      <c r="B21" s="2122" t="str">
        <f>Uebersetzung!D530</f>
        <v>Wohnen (EFH, MFH), Räume mit bis zu 2 Fassaden, Betondecke (&gt;80% frei)</v>
      </c>
      <c r="C21" s="2123"/>
      <c r="D21" s="2123"/>
      <c r="E21" s="2123"/>
      <c r="F21" s="2123"/>
      <c r="G21" s="2123"/>
      <c r="H21" s="1809"/>
      <c r="I21" s="2106"/>
      <c r="J21" s="2106"/>
      <c r="K21" s="2106"/>
      <c r="L21" s="2102"/>
      <c r="M21" s="2093"/>
      <c r="N21" s="1642"/>
      <c r="O21" s="2095" t="b">
        <f>OR(I21=$O$12,I21=$O$13)</f>
        <v>0</v>
      </c>
      <c r="P21" s="2116" t="b">
        <f>OR(J21=$O$12,J21=$O$13)</f>
        <v>0</v>
      </c>
      <c r="Q21" s="2116" t="b">
        <f>OR(K21=$O$12,K21=$O$13)</f>
        <v>0</v>
      </c>
      <c r="R21" s="2119" t="b">
        <f>OR(L21=$O$12,L21=$O$13)</f>
        <v>0</v>
      </c>
      <c r="S21" s="1087"/>
      <c r="T21" s="2117" t="b">
        <f>I21&lt;&gt;$O$12</f>
        <v>1</v>
      </c>
      <c r="U21" s="2118" t="b">
        <f>J21&lt;&gt;$O$12</f>
        <v>1</v>
      </c>
      <c r="V21" s="2118" t="b">
        <f>K21&lt;&gt;$O$12</f>
        <v>1</v>
      </c>
      <c r="W21" s="2120" t="b">
        <f>L21&lt;&gt;$O$12</f>
        <v>1</v>
      </c>
    </row>
    <row r="22" spans="1:23" ht="18" customHeight="1">
      <c r="B22" s="2121" t="str">
        <f>Uebersetzung!D531</f>
        <v>- Maximale Glasflächenzahl:</v>
      </c>
      <c r="C22" s="2115"/>
      <c r="D22" s="2115"/>
      <c r="E22" s="2115"/>
      <c r="F22" s="2115"/>
      <c r="G22" s="2115"/>
      <c r="H22" s="1810" t="str">
        <f>Standardwerte!F210</f>
        <v/>
      </c>
      <c r="I22" s="2107"/>
      <c r="J22" s="2107"/>
      <c r="K22" s="2107"/>
      <c r="L22" s="2103"/>
      <c r="M22" s="2094"/>
      <c r="N22" s="1642"/>
      <c r="O22" s="2095"/>
      <c r="P22" s="2116"/>
      <c r="Q22" s="2116"/>
      <c r="R22" s="2119"/>
      <c r="S22" s="1087"/>
      <c r="T22" s="2117"/>
      <c r="U22" s="2118"/>
      <c r="V22" s="2118"/>
      <c r="W22" s="2120"/>
    </row>
    <row r="23" spans="1:23" ht="27.95" customHeight="1">
      <c r="A23" s="1642" t="s">
        <v>1758</v>
      </c>
      <c r="B23" s="2104" t="str">
        <f>Uebersetzung!D532</f>
        <v>Wohnen (EFH, MFH), Räume mit bis zu 2 Fassaden, Holzdecke und Zementunterlagsboden mit min. 6 cm oder Anhydrit min. 5 cm Stärke</v>
      </c>
      <c r="C23" s="2105"/>
      <c r="D23" s="2105"/>
      <c r="E23" s="2105"/>
      <c r="F23" s="2105"/>
      <c r="G23" s="2105"/>
      <c r="H23" s="1809"/>
      <c r="I23" s="2106"/>
      <c r="J23" s="2106"/>
      <c r="K23" s="2106"/>
      <c r="L23" s="2102"/>
      <c r="M23" s="2093"/>
      <c r="N23" s="1642"/>
      <c r="O23" s="2095" t="b">
        <f>OR(I23=$O$12,I23=$O$13)</f>
        <v>0</v>
      </c>
      <c r="P23" s="2116" t="b">
        <f>OR(J23=$O$12,J23=$O$13)</f>
        <v>0</v>
      </c>
      <c r="Q23" s="2116" t="b">
        <f>OR(K23=$O$12,K23=$O$13)</f>
        <v>0</v>
      </c>
      <c r="R23" s="2119" t="b">
        <f>OR(L23=$O$12,L23=$O$13)</f>
        <v>0</v>
      </c>
      <c r="S23" s="1087"/>
      <c r="T23" s="2117" t="b">
        <f>I23&lt;&gt;$O$12</f>
        <v>1</v>
      </c>
      <c r="U23" s="2118" t="b">
        <f>J23&lt;&gt;$O$12</f>
        <v>1</v>
      </c>
      <c r="V23" s="2118" t="b">
        <f>K23&lt;&gt;$O$12</f>
        <v>1</v>
      </c>
      <c r="W23" s="2120" t="b">
        <f>L23&lt;&gt;$O$12</f>
        <v>1</v>
      </c>
    </row>
    <row r="24" spans="1:23" ht="18" customHeight="1">
      <c r="B24" s="2114" t="str">
        <f>Uebersetzung!D531</f>
        <v>- Maximale Glasflächenzahl:</v>
      </c>
      <c r="C24" s="2115"/>
      <c r="D24" s="2115"/>
      <c r="E24" s="2115"/>
      <c r="F24" s="2115"/>
      <c r="G24" s="2115"/>
      <c r="H24" s="1810" t="str">
        <f>Standardwerte!G210</f>
        <v/>
      </c>
      <c r="I24" s="2107"/>
      <c r="J24" s="2107"/>
      <c r="K24" s="2107"/>
      <c r="L24" s="2103"/>
      <c r="M24" s="2094"/>
      <c r="N24" s="1642"/>
      <c r="O24" s="2095"/>
      <c r="P24" s="2116"/>
      <c r="Q24" s="2116"/>
      <c r="R24" s="2119"/>
      <c r="S24" s="1087"/>
      <c r="T24" s="2117"/>
      <c r="U24" s="2118"/>
      <c r="V24" s="2118"/>
      <c r="W24" s="2120"/>
    </row>
    <row r="25" spans="1:23" ht="32.1" customHeight="1">
      <c r="A25" s="1642" t="s">
        <v>1760</v>
      </c>
      <c r="B25" s="2104" t="str">
        <f>Uebersetzung!D533</f>
        <v>Wohnen (EFH, MFH), Räume mit 1 Fassade, Betondecke (&gt;80% frei) SSE-SSW-Orientierung und Verschattung durch Balkon mit 1 Meter Tiefe</v>
      </c>
      <c r="C25" s="2105"/>
      <c r="D25" s="2105"/>
      <c r="E25" s="2105"/>
      <c r="F25" s="2105"/>
      <c r="G25" s="2105"/>
      <c r="H25" s="1809"/>
      <c r="I25" s="2106"/>
      <c r="J25" s="2106"/>
      <c r="K25" s="2106"/>
      <c r="L25" s="2102"/>
      <c r="M25" s="2093"/>
      <c r="N25" s="1642"/>
      <c r="O25" s="2095" t="b">
        <f>OR(I25=$O$12,I25=$O$13)</f>
        <v>0</v>
      </c>
      <c r="P25" s="2116" t="b">
        <f>OR(J25=$O$12,J25=$O$13)</f>
        <v>0</v>
      </c>
      <c r="Q25" s="2116" t="b">
        <f>OR(K25=$O$12,K25=$O$13)</f>
        <v>0</v>
      </c>
      <c r="R25" s="2119" t="b">
        <f>OR(L25=$O$12,L25=$O$13)</f>
        <v>0</v>
      </c>
      <c r="S25" s="1087"/>
      <c r="T25" s="2117" t="b">
        <f>I25&lt;&gt;$O$12</f>
        <v>1</v>
      </c>
      <c r="U25" s="2118" t="b">
        <f>J25&lt;&gt;$O$12</f>
        <v>1</v>
      </c>
      <c r="V25" s="2118" t="b">
        <f>K25&lt;&gt;$O$12</f>
        <v>1</v>
      </c>
      <c r="W25" s="2120" t="b">
        <f>L25&lt;&gt;$O$12</f>
        <v>1</v>
      </c>
    </row>
    <row r="26" spans="1:23" ht="18" customHeight="1">
      <c r="B26" s="2114" t="str">
        <f>Uebersetzung!D531</f>
        <v>- Maximale Glasflächenzahl:</v>
      </c>
      <c r="C26" s="2115"/>
      <c r="D26" s="2115"/>
      <c r="E26" s="2115"/>
      <c r="F26" s="2115"/>
      <c r="G26" s="2115"/>
      <c r="H26" s="1810" t="str">
        <f>Standardwerte!H210</f>
        <v/>
      </c>
      <c r="I26" s="2107"/>
      <c r="J26" s="2107"/>
      <c r="K26" s="2107"/>
      <c r="L26" s="2103"/>
      <c r="M26" s="2094"/>
      <c r="N26" s="1642"/>
      <c r="O26" s="2095"/>
      <c r="P26" s="2116"/>
      <c r="Q26" s="2116"/>
      <c r="R26" s="2119"/>
      <c r="S26" s="1087"/>
      <c r="T26" s="2117"/>
      <c r="U26" s="2118"/>
      <c r="V26" s="2118"/>
      <c r="W26" s="2120"/>
    </row>
    <row r="27" spans="1:23" ht="32.1" customHeight="1">
      <c r="A27" s="1642" t="s">
        <v>3409</v>
      </c>
      <c r="B27" s="2104" t="str">
        <f>Uebersetzung!D534</f>
        <v>Einzelbüro, Gruppenbüro, Räume mit bis zu 2 Fassaden, Betondecke (&gt; 40% frei) und automat. Steuerung des Sonnenschutzes. G-Wert Glas ≤ 30%</v>
      </c>
      <c r="C27" s="2105"/>
      <c r="D27" s="2105"/>
      <c r="E27" s="2105"/>
      <c r="F27" s="2105"/>
      <c r="G27" s="2105"/>
      <c r="H27" s="1809"/>
      <c r="I27" s="2106"/>
      <c r="J27" s="2106"/>
      <c r="K27" s="2106"/>
      <c r="L27" s="2102"/>
      <c r="M27" s="2093"/>
      <c r="N27" s="1642"/>
      <c r="O27" s="2095" t="b">
        <f>OR(I27=$O$12,I27=$O$13)</f>
        <v>0</v>
      </c>
      <c r="P27" s="2116" t="b">
        <f>OR(J27=$O$12,J27=$O$13)</f>
        <v>0</v>
      </c>
      <c r="Q27" s="2116" t="b">
        <f>OR(K27=$O$12,K27=$O$13)</f>
        <v>0</v>
      </c>
      <c r="R27" s="2119" t="b">
        <f>OR(L27=$O$12,L27=$O$13)</f>
        <v>0</v>
      </c>
      <c r="S27" s="1087"/>
      <c r="T27" s="2117" t="b">
        <f>I27&lt;&gt;$O$12</f>
        <v>1</v>
      </c>
      <c r="U27" s="2118" t="b">
        <f>J27&lt;&gt;$O$12</f>
        <v>1</v>
      </c>
      <c r="V27" s="2118" t="b">
        <f>K27&lt;&gt;$O$12</f>
        <v>1</v>
      </c>
      <c r="W27" s="2120" t="b">
        <f>L27&lt;&gt;$O$12</f>
        <v>1</v>
      </c>
    </row>
    <row r="28" spans="1:23" ht="18" customHeight="1">
      <c r="B28" s="2114" t="str">
        <f>Uebersetzung!D531</f>
        <v>- Maximale Glasflächenzahl:</v>
      </c>
      <c r="C28" s="2115"/>
      <c r="D28" s="2115"/>
      <c r="E28" s="2115"/>
      <c r="F28" s="2115"/>
      <c r="G28" s="2115"/>
      <c r="H28" s="1810" t="str">
        <f>Standardwerte!I210</f>
        <v/>
      </c>
      <c r="I28" s="2107"/>
      <c r="J28" s="2107"/>
      <c r="K28" s="2107"/>
      <c r="L28" s="2103"/>
      <c r="M28" s="2094"/>
      <c r="N28" s="1642"/>
      <c r="O28" s="2095"/>
      <c r="P28" s="2116"/>
      <c r="Q28" s="2116"/>
      <c r="R28" s="2119"/>
      <c r="S28" s="1087"/>
      <c r="T28" s="2117"/>
      <c r="U28" s="2118"/>
      <c r="V28" s="2118"/>
      <c r="W28" s="2120"/>
    </row>
    <row r="29" spans="1:23" ht="15.95" customHeight="1">
      <c r="A29" s="1642" t="s">
        <v>3392</v>
      </c>
      <c r="B29" s="2099" t="str">
        <f>Uebersetzung!D337</f>
        <v>Lager mit geringen internen Wärmelasten</v>
      </c>
      <c r="C29" s="2100"/>
      <c r="D29" s="2100"/>
      <c r="E29" s="2100"/>
      <c r="F29" s="2100"/>
      <c r="G29" s="2100"/>
      <c r="H29" s="2100"/>
      <c r="I29" s="1119"/>
      <c r="J29" s="1119"/>
      <c r="K29" s="1119"/>
      <c r="L29" s="1120"/>
      <c r="M29" s="1104"/>
      <c r="N29" s="1642"/>
      <c r="O29" s="1112" t="b">
        <f>OR(I29=$O$12,I29=$O$13,minergiea)</f>
        <v>0</v>
      </c>
      <c r="P29" s="1113" t="b">
        <f>OR(J29=$O$12,J29=$O$13,minergiea)</f>
        <v>0</v>
      </c>
      <c r="Q29" s="1113" t="b">
        <f>OR(K29=$O$12,K29=$O$13,minergiea)</f>
        <v>0</v>
      </c>
      <c r="R29" s="1095" t="b">
        <f>OR(L29=$O$12,L29=$O$13,minergiea)</f>
        <v>0</v>
      </c>
      <c r="S29" s="1087"/>
      <c r="T29" s="1114" t="b">
        <f>IF(minergiea,FALSE,I29&lt;&gt;$O$12)</f>
        <v>1</v>
      </c>
      <c r="U29" s="1115" t="b">
        <f>IF(minergiea,FALSE,J29&lt;&gt;$O$12)</f>
        <v>1</v>
      </c>
      <c r="V29" s="1115" t="b">
        <f>IF(minergiea,FALSE,K29&lt;&gt;$O$12)</f>
        <v>1</v>
      </c>
      <c r="W29" s="1116" t="b">
        <f>IF(minergiea,FALSE,L29&lt;&gt;$O$12)</f>
        <v>1</v>
      </c>
    </row>
    <row r="30" spans="1:23" ht="39.950000000000003" customHeight="1">
      <c r="A30" s="1642" t="s">
        <v>2956</v>
      </c>
      <c r="B30" s="2111" t="str">
        <f>Uebersetzung!D338</f>
        <v>"n.a.":    Nicht vorhanden. Ein solcher Raumtyp existiert nicht.
"ja":       Ein solcher Raumtyp ist vorhanden und alle Kriterien sind erfüllt.
"nein":   Ein solcher Raumtyp ist vorhanden, aber die Kriterien sind nicht erfüllt (z.B. zu hoher Glasanteil)</v>
      </c>
      <c r="C30" s="2112"/>
      <c r="D30" s="2112"/>
      <c r="E30" s="2112"/>
      <c r="F30" s="2112"/>
      <c r="G30" s="2112"/>
      <c r="H30" s="2112"/>
      <c r="I30" s="2112"/>
      <c r="J30" s="2112"/>
      <c r="K30" s="2112"/>
      <c r="L30" s="2113"/>
      <c r="M30" s="1121"/>
      <c r="N30" s="1642"/>
      <c r="O30" s="1122" t="b">
        <f>AND(O19:O29,T30)</f>
        <v>0</v>
      </c>
      <c r="P30" s="1123" t="b">
        <f>AND(P19:P29,U30)</f>
        <v>0</v>
      </c>
      <c r="Q30" s="1123" t="b">
        <f>AND(Q19:Q29,V30)</f>
        <v>0</v>
      </c>
      <c r="R30" s="1124" t="b">
        <f>AND(R19:R29,W30)</f>
        <v>0</v>
      </c>
      <c r="S30" s="1087"/>
      <c r="T30" s="1125" t="b">
        <f>OR(T21:T29)</f>
        <v>1</v>
      </c>
      <c r="U30" s="1126" t="b">
        <f>OR(U19:U29)</f>
        <v>1</v>
      </c>
      <c r="V30" s="1126" t="b">
        <f>OR(V19:V29)</f>
        <v>1</v>
      </c>
      <c r="W30" s="1126" t="b">
        <f>OR(W19:W29)</f>
        <v>1</v>
      </c>
    </row>
    <row r="31" spans="1:23" ht="9.9499999999999993" customHeight="1">
      <c r="B31" s="1127"/>
      <c r="C31" s="1127"/>
      <c r="D31" s="1127"/>
      <c r="E31" s="1127"/>
      <c r="F31" s="1127"/>
      <c r="G31" s="1127"/>
      <c r="H31" s="1127"/>
      <c r="I31" s="1092"/>
      <c r="J31" s="1092"/>
      <c r="K31" s="1092"/>
      <c r="L31" s="1092"/>
      <c r="M31" s="1092"/>
      <c r="N31" s="1642"/>
      <c r="O31" s="1091"/>
      <c r="P31" s="1091"/>
      <c r="Q31" s="1091"/>
      <c r="R31" s="1091"/>
      <c r="S31" s="1087"/>
    </row>
    <row r="32" spans="1:23" ht="12.75" customHeight="1">
      <c r="A32" s="1642" t="s">
        <v>1764</v>
      </c>
      <c r="B32" s="1128" t="str">
        <f>Uebersetzung!D535</f>
        <v>Variante 2: Externer Nachweis der Kriterien gemäss SIA382/1 und SIA 180 (ohne Kühlung)</v>
      </c>
      <c r="C32" s="1091"/>
      <c r="D32" s="1091"/>
      <c r="E32" s="1091"/>
      <c r="F32" s="1091"/>
      <c r="G32" s="1091"/>
      <c r="H32" s="1091"/>
      <c r="I32" s="1091"/>
      <c r="J32" s="1091"/>
      <c r="K32" s="1091"/>
      <c r="L32" s="1091"/>
      <c r="M32" s="1091"/>
      <c r="N32" s="1642"/>
      <c r="O32" s="1811" t="str">
        <f>Uebersetzung!D25</f>
        <v>Ja</v>
      </c>
      <c r="P32" s="1091"/>
      <c r="Q32" s="1091"/>
      <c r="R32" s="1091"/>
      <c r="S32" s="1087"/>
    </row>
    <row r="33" spans="1:24" ht="15.95" customHeight="1">
      <c r="B33" s="1148" t="str">
        <f>Uebersetzung!D342</f>
        <v>Die Erfüllung dieser Kriterien wird in Beilagen beschrieben und dokumentiert.</v>
      </c>
      <c r="C33" s="1091"/>
      <c r="D33" s="1091"/>
      <c r="E33" s="1091"/>
      <c r="F33" s="1091"/>
      <c r="G33" s="1091"/>
      <c r="H33" s="1091"/>
      <c r="I33" s="1812" t="str">
        <f>IF(AND(OR(AND(O35=TRUE,O36=FALSE),AND(P35=TRUE,P36=FALSE),AND(Q35=TRUE,Q36=FALSE),AND(R35=TRUE,R36=FALSE)),U33=1),Uebersetzung!D542,"")</f>
        <v/>
      </c>
      <c r="J33" s="1091"/>
      <c r="K33" s="1091"/>
      <c r="L33" s="1091"/>
      <c r="M33" s="1091"/>
      <c r="N33" s="1642"/>
      <c r="O33" s="1098" t="str">
        <f>Uebersetzung!D26</f>
        <v>Nein</v>
      </c>
      <c r="P33" s="1091"/>
      <c r="Q33" s="1091"/>
      <c r="R33" s="1091"/>
      <c r="S33" s="1087"/>
      <c r="T33" s="1813" t="s">
        <v>3393</v>
      </c>
      <c r="U33" s="1814">
        <v>1</v>
      </c>
      <c r="V33" s="1813" t="s">
        <v>3394</v>
      </c>
      <c r="W33" s="1813"/>
    </row>
    <row r="34" spans="1:24" ht="20.100000000000001" customHeight="1">
      <c r="B34" s="1129"/>
      <c r="C34" s="2108" t="str">
        <f>Uebersetzung!D29</f>
        <v>Zone</v>
      </c>
      <c r="D34" s="2109"/>
      <c r="E34" s="2109"/>
      <c r="F34" s="2109"/>
      <c r="G34" s="2109"/>
      <c r="H34" s="2110"/>
      <c r="I34" s="1102">
        <v>1</v>
      </c>
      <c r="J34" s="1102">
        <v>2</v>
      </c>
      <c r="K34" s="1102">
        <v>3</v>
      </c>
      <c r="L34" s="1103">
        <v>4</v>
      </c>
      <c r="M34" s="1811"/>
      <c r="N34" s="1642"/>
      <c r="O34" s="1852">
        <v>1</v>
      </c>
      <c r="P34" s="1850">
        <v>2</v>
      </c>
      <c r="Q34" s="1850">
        <v>3</v>
      </c>
      <c r="R34" s="1851">
        <v>4</v>
      </c>
      <c r="S34" s="1838"/>
      <c r="T34" s="1849">
        <v>1</v>
      </c>
      <c r="U34" s="1850">
        <v>2</v>
      </c>
      <c r="V34" s="1850">
        <v>3</v>
      </c>
      <c r="W34" s="1851">
        <v>4</v>
      </c>
    </row>
    <row r="35" spans="1:24" ht="33.950000000000003" customHeight="1">
      <c r="A35" s="1642" t="s">
        <v>2957</v>
      </c>
      <c r="B35" s="2096" t="str">
        <f>Uebersetzung!D536</f>
        <v>Anforderungen an den baulichen sommerlichen Wärmeschutz gemäss Nachweis Sommerlicher Wärmeschutz Variante 2 erfüllt?</v>
      </c>
      <c r="C35" s="2097"/>
      <c r="D35" s="2097"/>
      <c r="E35" s="2097"/>
      <c r="F35" s="2097"/>
      <c r="G35" s="2097"/>
      <c r="H35" s="2098"/>
      <c r="I35" s="1117"/>
      <c r="J35" s="1117"/>
      <c r="K35" s="1117"/>
      <c r="L35" s="1118"/>
      <c r="M35" s="1130"/>
      <c r="N35" s="1642"/>
      <c r="O35" s="1815" t="b">
        <f t="shared" ref="O35:R36" si="0">I35=$O$32</f>
        <v>0</v>
      </c>
      <c r="P35" s="1131" t="b">
        <f t="shared" si="0"/>
        <v>0</v>
      </c>
      <c r="Q35" s="1131" t="b">
        <f t="shared" si="0"/>
        <v>0</v>
      </c>
      <c r="R35" s="1805" t="b">
        <f t="shared" si="0"/>
        <v>0</v>
      </c>
      <c r="S35" s="1087"/>
      <c r="T35" s="1815" t="b">
        <f t="shared" ref="T35:W36" si="1">I35=$O$32</f>
        <v>0</v>
      </c>
      <c r="U35" s="1131" t="b">
        <f t="shared" si="1"/>
        <v>0</v>
      </c>
      <c r="V35" s="1131" t="b">
        <f t="shared" si="1"/>
        <v>0</v>
      </c>
      <c r="W35" s="1805" t="b">
        <f t="shared" si="1"/>
        <v>0</v>
      </c>
    </row>
    <row r="36" spans="1:24" ht="31.5" customHeight="1">
      <c r="A36" s="1642" t="s">
        <v>3410</v>
      </c>
      <c r="B36" s="2099" t="str">
        <f>Uebersetzung!D541</f>
        <v>Anforderungen an Komfortkriterien gemäss Nachweis Sommerlicher Wärmeschutz erfüllt?</v>
      </c>
      <c r="C36" s="2100"/>
      <c r="D36" s="2100"/>
      <c r="E36" s="2100"/>
      <c r="F36" s="2100"/>
      <c r="G36" s="2100"/>
      <c r="H36" s="2101"/>
      <c r="I36" s="1119"/>
      <c r="J36" s="1119"/>
      <c r="K36" s="1119"/>
      <c r="L36" s="1120"/>
      <c r="M36" s="1130"/>
      <c r="N36" s="1642"/>
      <c r="O36" s="1134" t="b">
        <f t="shared" si="0"/>
        <v>0</v>
      </c>
      <c r="P36" s="1135" t="b">
        <f t="shared" si="0"/>
        <v>0</v>
      </c>
      <c r="Q36" s="1135" t="b">
        <f t="shared" si="0"/>
        <v>0</v>
      </c>
      <c r="R36" s="1097" t="b">
        <f t="shared" si="0"/>
        <v>0</v>
      </c>
      <c r="S36" s="1087"/>
      <c r="T36" s="1134" t="b">
        <f t="shared" si="1"/>
        <v>0</v>
      </c>
      <c r="U36" s="1135" t="b">
        <f t="shared" si="1"/>
        <v>0</v>
      </c>
      <c r="V36" s="1135" t="b">
        <f t="shared" si="1"/>
        <v>0</v>
      </c>
      <c r="W36" s="1097" t="b">
        <f t="shared" si="1"/>
        <v>0</v>
      </c>
    </row>
    <row r="37" spans="1:24" hidden="1">
      <c r="A37" s="1642" t="s">
        <v>1758</v>
      </c>
      <c r="B37" s="1132"/>
      <c r="C37" s="2161"/>
      <c r="D37" s="2100"/>
      <c r="E37" s="2100"/>
      <c r="F37" s="2100"/>
      <c r="G37" s="2100"/>
      <c r="H37" s="2100"/>
      <c r="I37" s="1119"/>
      <c r="J37" s="1119"/>
      <c r="K37" s="1119"/>
      <c r="L37" s="1120"/>
      <c r="M37" s="1130"/>
      <c r="N37" s="1642"/>
      <c r="O37" s="1113"/>
      <c r="P37" s="1113"/>
      <c r="Q37" s="1113"/>
      <c r="R37" s="1095"/>
      <c r="S37" s="1087"/>
      <c r="T37" s="1112"/>
      <c r="U37" s="1113"/>
      <c r="V37" s="1113"/>
      <c r="W37" s="1095"/>
    </row>
    <row r="38" spans="1:24" hidden="1">
      <c r="A38" s="1642" t="s">
        <v>1759</v>
      </c>
      <c r="B38" s="1133"/>
      <c r="C38" s="2159"/>
      <c r="D38" s="2160"/>
      <c r="E38" s="2160"/>
      <c r="F38" s="2160"/>
      <c r="G38" s="2160"/>
      <c r="H38" s="2160"/>
      <c r="I38" s="1119"/>
      <c r="J38" s="1119"/>
      <c r="K38" s="1119"/>
      <c r="L38" s="1120"/>
      <c r="M38" s="1130"/>
      <c r="N38" s="1642"/>
      <c r="O38" s="1112"/>
      <c r="P38" s="1113"/>
      <c r="Q38" s="1113"/>
      <c r="R38" s="1095"/>
      <c r="S38" s="1087"/>
      <c r="T38" s="1112"/>
      <c r="U38" s="1113"/>
      <c r="V38" s="1113"/>
      <c r="W38" s="1095"/>
    </row>
    <row r="39" spans="1:24" hidden="1">
      <c r="A39" s="1642" t="s">
        <v>1760</v>
      </c>
      <c r="B39" s="1133"/>
      <c r="C39" s="2159"/>
      <c r="D39" s="2160"/>
      <c r="E39" s="2160"/>
      <c r="F39" s="2160"/>
      <c r="G39" s="2160"/>
      <c r="H39" s="2160"/>
      <c r="I39" s="1119"/>
      <c r="J39" s="1119"/>
      <c r="K39" s="1119"/>
      <c r="L39" s="1120"/>
      <c r="M39" s="1130"/>
      <c r="N39" s="1642"/>
      <c r="O39" s="1112"/>
      <c r="P39" s="1113"/>
      <c r="Q39" s="1113"/>
      <c r="R39" s="1095"/>
      <c r="S39" s="1087"/>
      <c r="T39" s="1112"/>
      <c r="U39" s="1113"/>
      <c r="V39" s="1113"/>
      <c r="W39" s="1095"/>
    </row>
    <row r="40" spans="1:24" hidden="1">
      <c r="A40" s="1642" t="s">
        <v>1761</v>
      </c>
      <c r="B40" s="1133"/>
      <c r="C40" s="2159"/>
      <c r="D40" s="2160"/>
      <c r="E40" s="2160"/>
      <c r="F40" s="2160"/>
      <c r="G40" s="2160"/>
      <c r="H40" s="2160"/>
      <c r="I40" s="1119"/>
      <c r="J40" s="1119"/>
      <c r="K40" s="1119"/>
      <c r="L40" s="1120"/>
      <c r="M40" s="1130"/>
      <c r="N40" s="1642"/>
      <c r="O40" s="1112"/>
      <c r="P40" s="1113"/>
      <c r="Q40" s="1113"/>
      <c r="R40" s="1095"/>
      <c r="S40" s="1087"/>
      <c r="T40" s="1112"/>
      <c r="U40" s="1113"/>
      <c r="V40" s="1113"/>
      <c r="W40" s="1095"/>
    </row>
    <row r="41" spans="1:24" hidden="1">
      <c r="A41" s="1642" t="s">
        <v>1761</v>
      </c>
      <c r="B41" s="1133"/>
      <c r="C41" s="2159"/>
      <c r="D41" s="2160"/>
      <c r="E41" s="2160"/>
      <c r="F41" s="2160"/>
      <c r="G41" s="2160"/>
      <c r="H41" s="2160"/>
      <c r="I41" s="1119"/>
      <c r="J41" s="1119"/>
      <c r="K41" s="1119"/>
      <c r="L41" s="1120"/>
      <c r="M41" s="1130"/>
      <c r="N41" s="1642"/>
      <c r="O41" s="1134"/>
      <c r="P41" s="1135"/>
      <c r="Q41" s="1135"/>
      <c r="R41" s="1097"/>
      <c r="S41" s="1087"/>
      <c r="T41" s="1112"/>
      <c r="U41" s="1113"/>
      <c r="V41" s="1113"/>
      <c r="W41" s="1095"/>
    </row>
    <row r="42" spans="1:24" ht="15.95" customHeight="1">
      <c r="B42" s="1136" t="str">
        <f>Uebersetzung!D345</f>
        <v>Bemerkungen zum externen Nachweis (Art, Beilage, z.B. Hilfskriterien gemäss Anwendungshilfe):</v>
      </c>
      <c r="C42" s="1137"/>
      <c r="D42" s="1137"/>
      <c r="E42" s="1137"/>
      <c r="F42" s="1137"/>
      <c r="G42" s="1137"/>
      <c r="H42" s="1137"/>
      <c r="I42" s="1113"/>
      <c r="J42" s="1113"/>
      <c r="K42" s="1113"/>
      <c r="L42" s="1095"/>
      <c r="M42" s="1096"/>
      <c r="N42" s="1642"/>
      <c r="O42" s="1122" t="b">
        <f>AND(O35:O41)</f>
        <v>0</v>
      </c>
      <c r="P42" s="1123" t="b">
        <f>AND(P35:P41)</f>
        <v>0</v>
      </c>
      <c r="Q42" s="1123" t="b">
        <f>AND(Q35:Q41)</f>
        <v>0</v>
      </c>
      <c r="R42" s="1124" t="b">
        <f>AND(R35:R41)</f>
        <v>0</v>
      </c>
      <c r="S42" s="1091"/>
      <c r="T42" s="1122" t="b">
        <f>OR(AND(T35:T41),T35)</f>
        <v>0</v>
      </c>
      <c r="U42" s="1123" t="b">
        <f>OR(AND(U35:U41),U35)</f>
        <v>0</v>
      </c>
      <c r="V42" s="1123" t="b">
        <f>OR(AND(V35:V41),V35)</f>
        <v>0</v>
      </c>
      <c r="W42" s="1124" t="b">
        <f>OR(AND(W35:W41),W35)</f>
        <v>0</v>
      </c>
    </row>
    <row r="43" spans="1:24" ht="24" customHeight="1">
      <c r="A43" s="1642" t="s">
        <v>2958</v>
      </c>
      <c r="B43" s="2154"/>
      <c r="C43" s="2155"/>
      <c r="D43" s="2155"/>
      <c r="E43" s="2155"/>
      <c r="F43" s="2155"/>
      <c r="G43" s="2155"/>
      <c r="H43" s="2155"/>
      <c r="I43" s="2155"/>
      <c r="J43" s="2155"/>
      <c r="K43" s="2155"/>
      <c r="L43" s="2181"/>
      <c r="M43" s="1098"/>
      <c r="N43" s="1642"/>
      <c r="O43" s="1091"/>
      <c r="P43" s="1091"/>
      <c r="Q43" s="1091"/>
      <c r="R43" s="1091"/>
      <c r="S43" s="1091"/>
    </row>
    <row r="44" spans="1:24" ht="9" customHeight="1">
      <c r="B44" s="1091"/>
      <c r="C44" s="1091"/>
      <c r="D44" s="1091"/>
      <c r="E44" s="1091"/>
      <c r="F44" s="1091"/>
      <c r="G44" s="1091"/>
      <c r="H44" s="1091"/>
      <c r="I44" s="1091"/>
      <c r="J44" s="1091"/>
      <c r="K44" s="1091"/>
      <c r="L44" s="1091"/>
      <c r="M44" s="1091"/>
      <c r="N44" s="1642"/>
      <c r="O44" s="1091"/>
      <c r="P44" s="1091"/>
      <c r="Q44" s="1091"/>
      <c r="R44" s="1091"/>
      <c r="S44" s="1087"/>
    </row>
    <row r="45" spans="1:24" ht="15.95" customHeight="1">
      <c r="A45" s="1642" t="s">
        <v>2959</v>
      </c>
      <c r="B45" s="1128" t="str">
        <f>Uebersetzung!D556</f>
        <v>Variante 3: Externer Nachweis der Kriterien gemäss SIA180 und SIA382/1 (mit Kühlung)</v>
      </c>
      <c r="C45" s="1091"/>
      <c r="D45" s="1091"/>
      <c r="E45" s="1091"/>
      <c r="F45" s="1091"/>
      <c r="G45" s="1091"/>
      <c r="H45" s="1091"/>
      <c r="I45" s="1091"/>
      <c r="J45" s="1091"/>
      <c r="K45" s="1091"/>
      <c r="L45" s="1091"/>
      <c r="M45" s="1091"/>
      <c r="N45" s="1642"/>
      <c r="O45" s="1091"/>
      <c r="P45" s="1091"/>
      <c r="Q45" s="1091"/>
      <c r="R45" s="1091"/>
      <c r="S45" s="1087"/>
      <c r="U45" s="773" t="s">
        <v>3395</v>
      </c>
    </row>
    <row r="46" spans="1:24" ht="20.100000000000001" customHeight="1">
      <c r="B46" s="1100"/>
      <c r="C46" s="2109" t="str">
        <f>Uebersetzung!D29</f>
        <v>Zone</v>
      </c>
      <c r="D46" s="2109"/>
      <c r="E46" s="2109"/>
      <c r="F46" s="2109"/>
      <c r="G46" s="2109"/>
      <c r="H46" s="2110"/>
      <c r="I46" s="1102">
        <v>1</v>
      </c>
      <c r="J46" s="1102">
        <v>2</v>
      </c>
      <c r="K46" s="1102">
        <v>3</v>
      </c>
      <c r="L46" s="1103">
        <v>4</v>
      </c>
      <c r="M46" s="1138"/>
      <c r="N46" s="1642"/>
      <c r="O46" s="1849">
        <v>1</v>
      </c>
      <c r="P46" s="1850">
        <v>2</v>
      </c>
      <c r="Q46" s="1850">
        <v>3</v>
      </c>
      <c r="R46" s="1851">
        <v>4</v>
      </c>
      <c r="S46" s="1838"/>
      <c r="T46" s="1834"/>
      <c r="U46" s="1849">
        <v>1</v>
      </c>
      <c r="V46" s="1850">
        <v>2</v>
      </c>
      <c r="W46" s="1850">
        <v>3</v>
      </c>
      <c r="X46" s="1851">
        <v>4</v>
      </c>
    </row>
    <row r="47" spans="1:24" ht="44.1" customHeight="1">
      <c r="A47" s="1642" t="s">
        <v>2960</v>
      </c>
      <c r="B47" s="2182" t="str">
        <f>Uebersetzung!D557</f>
        <v>Nachweis der baulichen Grundanforderungen muss eingehalten sein. Die sommerlichen Raumlufttemperaturen wurden gemäss SIA 382/1, Ziffer 4.5 berechnet.  Die Grenzwert- kurve gemäss SIA 180/1, Figur 4 wird ohne Kühlung an weniger als 100h überschritten.</v>
      </c>
      <c r="C47" s="2183"/>
      <c r="D47" s="2183"/>
      <c r="E47" s="2183"/>
      <c r="F47" s="2183"/>
      <c r="G47" s="2183"/>
      <c r="H47" s="2184"/>
      <c r="I47" s="1117"/>
      <c r="J47" s="1117"/>
      <c r="K47" s="1117"/>
      <c r="L47" s="1118"/>
      <c r="M47" s="1130"/>
      <c r="N47" s="1642"/>
      <c r="O47" s="1815" t="b">
        <f t="shared" ref="O47:R50" si="2">I47=$O$32</f>
        <v>0</v>
      </c>
      <c r="P47" s="1131" t="b">
        <f t="shared" si="2"/>
        <v>0</v>
      </c>
      <c r="Q47" s="1131" t="b">
        <f t="shared" si="2"/>
        <v>0</v>
      </c>
      <c r="R47" s="1805" t="b">
        <f t="shared" si="2"/>
        <v>0</v>
      </c>
      <c r="S47" s="1087"/>
      <c r="U47" s="1846" t="str">
        <f>IF(O30,1,IF(IF($U$33=1,T42,O42),2,IF(O51,3,"")))</f>
        <v/>
      </c>
      <c r="V47" s="1847" t="str">
        <f>IF(P30,1,IF(IF($U$33=1,U42,P42),2,IF(P51,3,"")))</f>
        <v/>
      </c>
      <c r="W47" s="1847" t="str">
        <f>IF(Q30,1,IF(IF($U$33=1,V42,Q42),2,IF(Q51,3,"")))</f>
        <v/>
      </c>
      <c r="X47" s="1848" t="str">
        <f>IF(R30,1,IF(IF($U$33=1,W42,R42),2,IF(R51,3,"")))</f>
        <v/>
      </c>
    </row>
    <row r="48" spans="1:24" ht="38.1" customHeight="1">
      <c r="A48" s="1642" t="s">
        <v>2961</v>
      </c>
      <c r="B48" s="2099" t="str">
        <f>Uebersetzung!D348</f>
        <v>Die Zone ist gekühlt und der Energiebedarf wurde berechnet. 
Es treten keinen hohen sommerlichen Raumlufttemperaturen auf.</v>
      </c>
      <c r="C48" s="2100"/>
      <c r="D48" s="2100"/>
      <c r="E48" s="2100"/>
      <c r="F48" s="2100"/>
      <c r="G48" s="2100"/>
      <c r="H48" s="2100"/>
      <c r="I48" s="1119"/>
      <c r="J48" s="1119"/>
      <c r="K48" s="1119"/>
      <c r="L48" s="1120"/>
      <c r="M48" s="1130"/>
      <c r="N48" s="1642"/>
      <c r="O48" s="1112" t="b">
        <f t="shared" si="2"/>
        <v>0</v>
      </c>
      <c r="P48" s="1113" t="b">
        <f t="shared" si="2"/>
        <v>0</v>
      </c>
      <c r="Q48" s="1113" t="b">
        <f t="shared" si="2"/>
        <v>0</v>
      </c>
      <c r="R48" s="1095" t="b">
        <f t="shared" si="2"/>
        <v>0</v>
      </c>
      <c r="S48" s="1087"/>
      <c r="U48" s="2168" t="str">
        <f>IF(O30,Uebersetzung!$D322,IF(IF($U$33=1,T42,O42),Uebersetzung!$D535,IF(O51,Uebersetzung!$D346,"")))</f>
        <v/>
      </c>
      <c r="V48" s="2170" t="str">
        <f>IF(P30,Uebersetzung!$D322,IF(IF($U$33=1,U42,P42),Uebersetzung!$D535,IF(P51,Uebersetzung!$D346,"")))</f>
        <v/>
      </c>
      <c r="W48" s="2170" t="str">
        <f>IF(Q30,Uebersetzung!$D322,IF(IF($U$33=1,V42,Q42),Uebersetzung!$D535,IF(Q51,Uebersetzung!$D346,"")))</f>
        <v/>
      </c>
      <c r="X48" s="2144" t="str">
        <f>IF(R30,Uebersetzung!$D322,IF(IF($U$33=1,W42,R42),Uebersetzung!$D535,IF(R51,Uebersetzung!$D346,"")))</f>
        <v/>
      </c>
    </row>
    <row r="49" spans="1:24" ht="12.75" hidden="1" customHeight="1">
      <c r="A49" s="1642" t="s">
        <v>1766</v>
      </c>
      <c r="B49" s="2178"/>
      <c r="C49" s="2160"/>
      <c r="D49" s="2160"/>
      <c r="E49" s="2160"/>
      <c r="F49" s="2160"/>
      <c r="G49" s="2160"/>
      <c r="H49" s="2160"/>
      <c r="I49" s="1119"/>
      <c r="J49" s="1119"/>
      <c r="K49" s="1119"/>
      <c r="L49" s="1120"/>
      <c r="M49" s="1130"/>
      <c r="N49" s="1642"/>
      <c r="O49" s="1112" t="b">
        <f t="shared" si="2"/>
        <v>0</v>
      </c>
      <c r="P49" s="1113" t="b">
        <f t="shared" si="2"/>
        <v>0</v>
      </c>
      <c r="Q49" s="1113" t="b">
        <f t="shared" si="2"/>
        <v>0</v>
      </c>
      <c r="R49" s="1095" t="b">
        <f t="shared" si="2"/>
        <v>0</v>
      </c>
      <c r="S49" s="1087"/>
      <c r="U49" s="2168"/>
      <c r="V49" s="2170"/>
      <c r="W49" s="2170"/>
      <c r="X49" s="2144"/>
    </row>
    <row r="50" spans="1:24" ht="12.75" hidden="1" customHeight="1">
      <c r="A50" s="1642" t="s">
        <v>1767</v>
      </c>
      <c r="B50" s="2179"/>
      <c r="C50" s="2180"/>
      <c r="D50" s="2180"/>
      <c r="E50" s="2180"/>
      <c r="F50" s="2180"/>
      <c r="G50" s="2180"/>
      <c r="H50" s="2180"/>
      <c r="I50" s="1139"/>
      <c r="J50" s="1139"/>
      <c r="K50" s="1139"/>
      <c r="L50" s="1140"/>
      <c r="M50" s="1141"/>
      <c r="N50" s="1642"/>
      <c r="O50" s="1134" t="b">
        <f t="shared" si="2"/>
        <v>0</v>
      </c>
      <c r="P50" s="1135" t="b">
        <f t="shared" si="2"/>
        <v>0</v>
      </c>
      <c r="Q50" s="1135" t="b">
        <f t="shared" si="2"/>
        <v>0</v>
      </c>
      <c r="R50" s="1097" t="b">
        <f t="shared" si="2"/>
        <v>0</v>
      </c>
      <c r="S50" s="1087"/>
      <c r="U50" s="2168"/>
      <c r="V50" s="2170"/>
      <c r="W50" s="2170"/>
      <c r="X50" s="2144"/>
    </row>
    <row r="51" spans="1:24" ht="9" customHeight="1">
      <c r="B51" s="1101"/>
      <c r="C51" s="1101"/>
      <c r="D51" s="1101"/>
      <c r="E51" s="1101"/>
      <c r="F51" s="1101"/>
      <c r="G51" s="1101"/>
      <c r="H51" s="1101"/>
      <c r="I51" s="1123"/>
      <c r="J51" s="1123"/>
      <c r="K51" s="1123"/>
      <c r="L51" s="1123"/>
      <c r="M51" s="1123"/>
      <c r="N51" s="1642"/>
      <c r="O51" s="1134" t="b">
        <f>OR(O47:O50)</f>
        <v>0</v>
      </c>
      <c r="P51" s="1135" t="b">
        <f>OR(P47:P50)</f>
        <v>0</v>
      </c>
      <c r="Q51" s="1135" t="b">
        <f>OR(Q47:Q50)</f>
        <v>0</v>
      </c>
      <c r="R51" s="1097" t="b">
        <f>OR(R47:R50)</f>
        <v>0</v>
      </c>
      <c r="S51" s="1142" t="s">
        <v>1768</v>
      </c>
      <c r="U51" s="2168"/>
      <c r="V51" s="2170"/>
      <c r="W51" s="2170"/>
      <c r="X51" s="2144"/>
    </row>
    <row r="52" spans="1:24" ht="32.1" customHeight="1">
      <c r="A52" s="1642" t="s">
        <v>2962</v>
      </c>
      <c r="B52" s="2156" t="str">
        <f>Uebersetzung!D349</f>
        <v>Gemäss Deklaration sind Anforderungen an den sommerlichen Wärmeschutz erfüllt.</v>
      </c>
      <c r="C52" s="2157"/>
      <c r="D52" s="2157"/>
      <c r="E52" s="2157"/>
      <c r="F52" s="2157"/>
      <c r="G52" s="2157"/>
      <c r="H52" s="2158"/>
      <c r="I52" s="1143" t="str">
        <f>IF(O52,$O32,$O33)</f>
        <v>Nein</v>
      </c>
      <c r="J52" s="1143" t="str">
        <f>IF(P52,$O32,$O33)</f>
        <v>Nein</v>
      </c>
      <c r="K52" s="1143" t="str">
        <f>IF(Q52,$O32,$O33)</f>
        <v>Nein</v>
      </c>
      <c r="L52" s="1144" t="str">
        <f>IF(R52,$O32,$O33)</f>
        <v>Nein</v>
      </c>
      <c r="M52" s="1145"/>
      <c r="N52" s="1642"/>
      <c r="O52" s="1134" t="b">
        <f>IF($U$33=1,OR(O30,T42,O51),OR(O30,O42,O51))</f>
        <v>0</v>
      </c>
      <c r="P52" s="1134" t="b">
        <f>IF($U$33=1,OR(P30,U42,P51),OR(P30,P42,P51))</f>
        <v>0</v>
      </c>
      <c r="Q52" s="1134" t="b">
        <f>IF($U$33=1,OR(Q30,V42,Q51),OR(Q30,Q42,Q51))</f>
        <v>0</v>
      </c>
      <c r="R52" s="1134" t="b">
        <f>IF($U$33=1,OR(R30,W42,R51),OR(R30,R42,R51))</f>
        <v>0</v>
      </c>
      <c r="S52" s="1146" t="b">
        <f>IF(Zonen&gt;3,AND(O52,P52,Q52,R52),IF(Zonen&gt;2,AND(O52,P52,Q52),IF(Zonen&gt;1,AND(O52,P52),O52)))</f>
        <v>0</v>
      </c>
      <c r="U52" s="2169"/>
      <c r="V52" s="2171"/>
      <c r="W52" s="2171"/>
      <c r="X52" s="2145"/>
    </row>
    <row r="53" spans="1:24">
      <c r="N53" s="1642"/>
    </row>
    <row r="54" spans="1:24">
      <c r="N54" s="1642"/>
    </row>
    <row r="55" spans="1:24">
      <c r="N55" s="1642"/>
    </row>
    <row r="56" spans="1:24">
      <c r="B56" s="1147"/>
      <c r="N56" s="1642"/>
    </row>
    <row r="59" spans="1:24">
      <c r="B59" s="1642"/>
      <c r="C59" s="1642"/>
      <c r="D59" s="1642"/>
      <c r="E59" s="1642"/>
      <c r="F59" s="1642"/>
      <c r="G59" s="1642"/>
      <c r="H59" s="1642"/>
      <c r="I59" s="1642"/>
      <c r="J59" s="1642"/>
      <c r="K59" s="1642"/>
      <c r="L59" s="1642"/>
      <c r="M59" s="1642"/>
      <c r="N59" s="1642"/>
      <c r="O59" s="1642"/>
      <c r="P59" s="1642"/>
      <c r="Q59" s="1642"/>
      <c r="R59" s="1642"/>
    </row>
    <row r="60" spans="1:24">
      <c r="B60" s="1642"/>
      <c r="C60" s="1642"/>
      <c r="D60" s="1642"/>
      <c r="E60" s="1642"/>
      <c r="F60" s="1642"/>
      <c r="G60" s="1642"/>
      <c r="H60" s="1642"/>
      <c r="I60" s="1642"/>
      <c r="J60" s="1642"/>
      <c r="K60" s="1642"/>
      <c r="L60" s="1642"/>
      <c r="M60" s="1642"/>
      <c r="N60" s="1642"/>
      <c r="O60" s="1642"/>
      <c r="P60" s="1642"/>
      <c r="Q60" s="1642"/>
      <c r="R60" s="1642"/>
    </row>
    <row r="61" spans="1:24">
      <c r="B61" s="1642"/>
      <c r="C61" s="1642"/>
      <c r="D61" s="1642"/>
      <c r="E61" s="1642"/>
      <c r="F61" s="1642"/>
      <c r="G61" s="1642"/>
      <c r="H61" s="1642"/>
      <c r="I61" s="1642"/>
      <c r="J61" s="1642"/>
      <c r="K61" s="1642"/>
      <c r="L61" s="1642"/>
      <c r="M61" s="1642"/>
      <c r="N61" s="1642"/>
      <c r="O61" s="1642"/>
      <c r="P61" s="1642"/>
      <c r="Q61" s="1642"/>
      <c r="R61" s="1642"/>
    </row>
    <row r="62" spans="1:24">
      <c r="B62" s="1642"/>
      <c r="C62" s="1642"/>
      <c r="D62" s="1642"/>
      <c r="E62" s="1642"/>
      <c r="F62" s="1642"/>
      <c r="G62" s="1642"/>
      <c r="H62" s="1642"/>
      <c r="I62" s="1642"/>
      <c r="J62" s="1642"/>
      <c r="K62" s="1642"/>
      <c r="L62" s="1642"/>
      <c r="M62" s="1642"/>
      <c r="N62" s="1642"/>
      <c r="O62" s="1642"/>
      <c r="P62" s="1642"/>
      <c r="Q62" s="1642"/>
      <c r="R62" s="1642"/>
    </row>
    <row r="63" spans="1:24" ht="13.15" customHeight="1">
      <c r="B63" s="1642"/>
      <c r="C63" s="1642"/>
      <c r="D63" s="1642"/>
      <c r="E63" s="1642"/>
      <c r="F63" s="1642"/>
      <c r="G63" s="1642"/>
      <c r="H63" s="1642"/>
      <c r="I63" s="1642"/>
      <c r="J63" s="1642"/>
      <c r="K63" s="1642"/>
      <c r="L63" s="1642"/>
      <c r="M63" s="1642"/>
      <c r="N63" s="1642"/>
      <c r="O63" s="1642"/>
      <c r="P63" s="1642"/>
      <c r="Q63" s="1642"/>
      <c r="R63" s="1642"/>
    </row>
    <row r="64" spans="1:24" ht="13.15" customHeight="1">
      <c r="B64" s="1642"/>
      <c r="C64" s="1642"/>
      <c r="D64" s="1642"/>
      <c r="E64" s="1642"/>
      <c r="F64" s="1642"/>
      <c r="G64" s="1642"/>
      <c r="H64" s="1642"/>
      <c r="I64" s="1642"/>
      <c r="J64" s="1642"/>
      <c r="K64" s="1642"/>
      <c r="L64" s="1642"/>
      <c r="M64" s="1642"/>
      <c r="N64" s="1642"/>
      <c r="O64" s="1642"/>
      <c r="P64" s="1642"/>
      <c r="Q64" s="1642"/>
      <c r="R64" s="1642"/>
    </row>
    <row r="65" spans="2:18">
      <c r="B65" s="1642"/>
      <c r="C65" s="1642"/>
      <c r="D65" s="1642"/>
      <c r="E65" s="1642"/>
      <c r="F65" s="1642"/>
      <c r="G65" s="1642"/>
      <c r="H65" s="1642"/>
      <c r="I65" s="1642"/>
      <c r="J65" s="1642"/>
      <c r="K65" s="1642"/>
      <c r="L65" s="1642"/>
      <c r="M65" s="1642"/>
      <c r="N65" s="1642"/>
      <c r="O65" s="1642"/>
      <c r="P65" s="1642"/>
      <c r="Q65" s="1642"/>
      <c r="R65" s="1642"/>
    </row>
    <row r="66" spans="2:18">
      <c r="B66" s="1642"/>
      <c r="C66" s="1642"/>
      <c r="D66" s="1642"/>
      <c r="E66" s="1642"/>
      <c r="F66" s="1642"/>
      <c r="G66" s="1642"/>
      <c r="H66" s="1642"/>
      <c r="I66" s="1642"/>
      <c r="J66" s="1642"/>
      <c r="K66" s="1642"/>
      <c r="L66" s="1642"/>
      <c r="M66" s="1642"/>
      <c r="N66" s="1642"/>
      <c r="O66" s="1642"/>
      <c r="P66" s="1642"/>
      <c r="Q66" s="1642"/>
      <c r="R66" s="1642"/>
    </row>
    <row r="67" spans="2:18">
      <c r="B67" s="1642"/>
      <c r="C67" s="1642"/>
      <c r="D67" s="1642"/>
      <c r="E67" s="1642"/>
      <c r="F67" s="1642"/>
      <c r="G67" s="1642"/>
      <c r="H67" s="1642"/>
      <c r="I67" s="1642"/>
      <c r="J67" s="1642"/>
      <c r="K67" s="1642"/>
      <c r="L67" s="1642"/>
      <c r="M67" s="1642"/>
      <c r="N67" s="1642"/>
      <c r="O67" s="1642"/>
      <c r="P67" s="1642"/>
      <c r="Q67" s="1642"/>
      <c r="R67" s="1642"/>
    </row>
    <row r="68" spans="2:18">
      <c r="B68" s="1642"/>
      <c r="C68" s="1642"/>
      <c r="D68" s="1642"/>
      <c r="E68" s="1642"/>
      <c r="F68" s="1642"/>
      <c r="G68" s="1642"/>
      <c r="H68" s="1642"/>
      <c r="I68" s="1642"/>
      <c r="J68" s="1642"/>
      <c r="K68" s="1642"/>
      <c r="L68" s="1642"/>
      <c r="M68" s="1642"/>
      <c r="N68" s="1642"/>
      <c r="O68" s="1642"/>
      <c r="P68" s="1642"/>
      <c r="Q68" s="1642"/>
      <c r="R68" s="1642"/>
    </row>
    <row r="69" spans="2:18">
      <c r="B69" s="1642"/>
      <c r="C69" s="1642"/>
      <c r="D69" s="1642"/>
      <c r="E69" s="1642"/>
      <c r="F69" s="1642"/>
      <c r="G69" s="1642"/>
      <c r="H69" s="1642"/>
      <c r="I69" s="1642"/>
      <c r="J69" s="1642"/>
      <c r="K69" s="1642"/>
      <c r="L69" s="1642"/>
      <c r="M69" s="1642"/>
      <c r="N69" s="1642"/>
      <c r="O69" s="1642"/>
      <c r="P69" s="1642"/>
      <c r="Q69" s="1642"/>
      <c r="R69" s="1642"/>
    </row>
    <row r="70" spans="2:18">
      <c r="B70" s="1642"/>
      <c r="C70" s="1642"/>
      <c r="D70" s="1642"/>
      <c r="E70" s="1642"/>
      <c r="F70" s="1642"/>
      <c r="G70" s="1642"/>
      <c r="H70" s="1642"/>
      <c r="I70" s="1642"/>
      <c r="J70" s="1642"/>
      <c r="K70" s="1642"/>
      <c r="L70" s="1642"/>
      <c r="M70" s="1642"/>
      <c r="N70" s="1642"/>
      <c r="O70" s="1642"/>
      <c r="P70" s="1642"/>
      <c r="Q70" s="1642"/>
      <c r="R70" s="1642"/>
    </row>
    <row r="71" spans="2:18">
      <c r="B71" s="1642"/>
      <c r="C71" s="1642"/>
      <c r="D71" s="1642"/>
      <c r="E71" s="1642"/>
      <c r="F71" s="1642"/>
      <c r="G71" s="1642"/>
      <c r="H71" s="1642"/>
      <c r="I71" s="1642"/>
      <c r="J71" s="1642"/>
      <c r="K71" s="1642"/>
      <c r="L71" s="1642"/>
      <c r="M71" s="1642"/>
      <c r="N71" s="1642"/>
      <c r="O71" s="1642"/>
      <c r="P71" s="1642"/>
      <c r="Q71" s="1642"/>
      <c r="R71" s="1642"/>
    </row>
    <row r="72" spans="2:18">
      <c r="B72" s="1642"/>
      <c r="C72" s="1642"/>
      <c r="D72" s="1642"/>
      <c r="E72" s="1642"/>
      <c r="F72" s="1642"/>
      <c r="G72" s="1642"/>
      <c r="H72" s="1642"/>
      <c r="I72" s="1642"/>
      <c r="J72" s="1642"/>
      <c r="K72" s="1642"/>
      <c r="L72" s="1642"/>
      <c r="M72" s="1642"/>
      <c r="N72" s="1642"/>
      <c r="O72" s="1642"/>
      <c r="P72" s="1642"/>
      <c r="Q72" s="1642"/>
      <c r="R72" s="1642"/>
    </row>
    <row r="73" spans="2:18">
      <c r="B73" s="1642"/>
      <c r="C73" s="1642"/>
      <c r="D73" s="1642"/>
      <c r="E73" s="1642"/>
      <c r="F73" s="1642"/>
      <c r="G73" s="1642"/>
      <c r="H73" s="1642"/>
      <c r="I73" s="1642"/>
      <c r="J73" s="1642"/>
      <c r="K73" s="1642"/>
      <c r="L73" s="1642"/>
      <c r="M73" s="1642"/>
      <c r="N73" s="1642"/>
      <c r="O73" s="1642"/>
      <c r="P73" s="1642"/>
      <c r="Q73" s="1642"/>
      <c r="R73" s="1642"/>
    </row>
    <row r="74" spans="2:18" ht="12.75" customHeight="1">
      <c r="B74" s="1642"/>
      <c r="C74" s="1642"/>
      <c r="D74" s="1642"/>
      <c r="E74" s="1642"/>
      <c r="F74" s="1642"/>
      <c r="G74" s="1642"/>
      <c r="H74" s="1642"/>
      <c r="I74" s="1642"/>
      <c r="J74" s="1642"/>
      <c r="K74" s="1642"/>
      <c r="L74" s="1642"/>
      <c r="M74" s="1642"/>
      <c r="N74" s="1642"/>
      <c r="O74" s="1642"/>
      <c r="P74" s="1642"/>
      <c r="Q74" s="1642"/>
      <c r="R74" s="1642"/>
    </row>
    <row r="75" spans="2:18">
      <c r="B75" s="1642"/>
      <c r="C75" s="1642"/>
      <c r="D75" s="1642"/>
      <c r="E75" s="1642"/>
      <c r="F75" s="1642"/>
      <c r="G75" s="1642"/>
      <c r="H75" s="1642"/>
      <c r="I75" s="1642"/>
      <c r="J75" s="1642"/>
      <c r="K75" s="1642"/>
      <c r="L75" s="1642"/>
      <c r="M75" s="1642"/>
      <c r="N75" s="1642"/>
      <c r="O75" s="1642"/>
      <c r="P75" s="1642"/>
      <c r="Q75" s="1642"/>
      <c r="R75" s="1642"/>
    </row>
    <row r="76" spans="2:18">
      <c r="B76" s="1642"/>
      <c r="C76" s="1642"/>
      <c r="D76" s="1642"/>
      <c r="E76" s="1642"/>
      <c r="F76" s="1642"/>
      <c r="G76" s="1642"/>
      <c r="H76" s="1642"/>
      <c r="I76" s="1642"/>
      <c r="J76" s="1642"/>
      <c r="K76" s="1642"/>
      <c r="L76" s="1642"/>
      <c r="M76" s="1642"/>
      <c r="N76" s="1642"/>
      <c r="O76" s="1642"/>
      <c r="P76" s="1642"/>
      <c r="Q76" s="1642"/>
      <c r="R76" s="1642"/>
    </row>
    <row r="77" spans="2:18">
      <c r="B77" s="1642"/>
      <c r="C77" s="1642"/>
      <c r="D77" s="1642"/>
      <c r="E77" s="1642"/>
      <c r="F77" s="1642"/>
      <c r="G77" s="1642"/>
      <c r="H77" s="1642"/>
      <c r="I77" s="1642"/>
      <c r="J77" s="1642"/>
      <c r="K77" s="1642"/>
      <c r="L77" s="1642"/>
      <c r="M77" s="1642"/>
      <c r="N77" s="1642"/>
      <c r="O77" s="1642"/>
      <c r="P77" s="1642"/>
      <c r="Q77" s="1642"/>
      <c r="R77" s="1642"/>
    </row>
    <row r="78" spans="2:18">
      <c r="B78" s="1642"/>
      <c r="C78" s="1642"/>
      <c r="D78" s="1642"/>
      <c r="E78" s="1642"/>
      <c r="F78" s="1642"/>
      <c r="G78" s="1642"/>
      <c r="H78" s="1642"/>
      <c r="I78" s="1642"/>
      <c r="J78" s="1642"/>
      <c r="K78" s="1642"/>
      <c r="L78" s="1642"/>
      <c r="M78" s="1642"/>
      <c r="N78" s="1642"/>
      <c r="O78" s="1642"/>
      <c r="P78" s="1642"/>
      <c r="Q78" s="1642"/>
      <c r="R78" s="1642"/>
    </row>
    <row r="79" spans="2:18">
      <c r="B79" s="1642"/>
      <c r="C79" s="1642"/>
      <c r="D79" s="1642"/>
      <c r="E79" s="1642"/>
      <c r="F79" s="1642"/>
      <c r="G79" s="1642"/>
      <c r="H79" s="1642"/>
      <c r="I79" s="1642"/>
      <c r="J79" s="1642"/>
      <c r="K79" s="1642"/>
      <c r="L79" s="1642"/>
      <c r="M79" s="1642"/>
      <c r="N79" s="1642"/>
      <c r="O79" s="1642"/>
      <c r="P79" s="1642"/>
      <c r="Q79" s="1642"/>
      <c r="R79" s="1642"/>
    </row>
    <row r="80" spans="2:18">
      <c r="B80" s="1642"/>
      <c r="C80" s="1642"/>
      <c r="D80" s="1642"/>
      <c r="E80" s="1642"/>
      <c r="F80" s="1642"/>
      <c r="G80" s="1642"/>
      <c r="H80" s="1642"/>
      <c r="I80" s="1642"/>
      <c r="J80" s="1642"/>
      <c r="K80" s="1642"/>
      <c r="L80" s="1642"/>
      <c r="M80" s="1642"/>
      <c r="N80" s="1642"/>
      <c r="O80" s="1642"/>
      <c r="P80" s="1642"/>
      <c r="Q80" s="1642"/>
      <c r="R80" s="1642"/>
    </row>
    <row r="81" spans="2:18">
      <c r="B81" s="1642"/>
      <c r="C81" s="1642"/>
      <c r="D81" s="1642"/>
      <c r="E81" s="1642"/>
      <c r="F81" s="1642"/>
      <c r="G81" s="1642"/>
      <c r="H81" s="1642"/>
      <c r="I81" s="1642"/>
      <c r="J81" s="1642"/>
      <c r="K81" s="1642"/>
      <c r="L81" s="1642"/>
      <c r="M81" s="1642"/>
      <c r="N81" s="1642"/>
      <c r="O81" s="1642"/>
      <c r="P81" s="1642"/>
      <c r="Q81" s="1642"/>
      <c r="R81" s="1642"/>
    </row>
    <row r="82" spans="2:18">
      <c r="B82" s="1642"/>
      <c r="C82" s="1642"/>
      <c r="D82" s="1642"/>
      <c r="E82" s="1642"/>
      <c r="F82" s="1642"/>
      <c r="G82" s="1642"/>
      <c r="H82" s="1642"/>
      <c r="I82" s="1642"/>
      <c r="J82" s="1642"/>
      <c r="K82" s="1642"/>
      <c r="L82" s="1642"/>
      <c r="M82" s="1642"/>
      <c r="N82" s="1642"/>
      <c r="O82" s="1642"/>
      <c r="P82" s="1642"/>
      <c r="Q82" s="1642"/>
      <c r="R82" s="1642"/>
    </row>
    <row r="83" spans="2:18">
      <c r="B83" s="1642"/>
      <c r="C83" s="1642"/>
      <c r="D83" s="1642"/>
      <c r="E83" s="1642"/>
      <c r="F83" s="1642"/>
      <c r="G83" s="1642"/>
      <c r="H83" s="1642"/>
      <c r="I83" s="1642"/>
      <c r="J83" s="1642"/>
      <c r="K83" s="1642"/>
      <c r="L83" s="1642"/>
      <c r="M83" s="1642"/>
      <c r="N83" s="1642"/>
      <c r="O83" s="1642"/>
      <c r="P83" s="1642"/>
      <c r="Q83" s="1642"/>
      <c r="R83" s="1642"/>
    </row>
    <row r="84" spans="2:18">
      <c r="B84" s="1642"/>
      <c r="C84" s="1642"/>
      <c r="D84" s="1642"/>
      <c r="E84" s="1642"/>
      <c r="F84" s="1642"/>
      <c r="G84" s="1642"/>
      <c r="H84" s="1642"/>
      <c r="I84" s="1642"/>
      <c r="J84" s="1642"/>
      <c r="K84" s="1642"/>
      <c r="L84" s="1642"/>
      <c r="M84" s="1642"/>
      <c r="N84" s="1642"/>
      <c r="O84" s="1642"/>
      <c r="P84" s="1642"/>
      <c r="Q84" s="1642"/>
      <c r="R84" s="1642"/>
    </row>
    <row r="85" spans="2:18">
      <c r="B85" s="1642"/>
      <c r="C85" s="1642"/>
      <c r="D85" s="1642"/>
      <c r="E85" s="1642"/>
      <c r="F85" s="1642"/>
      <c r="G85" s="1642"/>
      <c r="H85" s="1642"/>
      <c r="I85" s="1642"/>
      <c r="J85" s="1642"/>
      <c r="K85" s="1642"/>
      <c r="L85" s="1642"/>
      <c r="M85" s="1642"/>
      <c r="N85" s="1642"/>
      <c r="O85" s="1642"/>
      <c r="P85" s="1642"/>
      <c r="Q85" s="1642"/>
      <c r="R85" s="1642"/>
    </row>
    <row r="86" spans="2:18">
      <c r="B86" s="1642"/>
      <c r="C86" s="1642"/>
      <c r="D86" s="1642"/>
      <c r="E86" s="1642"/>
      <c r="F86" s="1642"/>
      <c r="G86" s="1642"/>
      <c r="H86" s="1642"/>
      <c r="I86" s="1642"/>
      <c r="J86" s="1642"/>
      <c r="K86" s="1642"/>
      <c r="L86" s="1642"/>
      <c r="M86" s="1642"/>
      <c r="N86" s="1642"/>
      <c r="O86" s="1642"/>
      <c r="P86" s="1642"/>
      <c r="Q86" s="1642"/>
      <c r="R86" s="1642"/>
    </row>
    <row r="87" spans="2:18">
      <c r="B87" s="1642"/>
      <c r="C87" s="1642"/>
      <c r="D87" s="1642"/>
      <c r="E87" s="1642"/>
      <c r="F87" s="1642"/>
      <c r="G87" s="1642"/>
      <c r="H87" s="1642"/>
      <c r="I87" s="1642"/>
      <c r="J87" s="1642"/>
      <c r="K87" s="1642"/>
      <c r="L87" s="1642"/>
      <c r="M87" s="1642"/>
      <c r="N87" s="1642"/>
      <c r="O87" s="1642"/>
      <c r="P87" s="1642"/>
      <c r="Q87" s="1642"/>
      <c r="R87" s="1642"/>
    </row>
    <row r="88" spans="2:18">
      <c r="B88" s="1642"/>
      <c r="C88" s="1642"/>
      <c r="D88" s="1642"/>
      <c r="E88" s="1642"/>
      <c r="F88" s="1642"/>
      <c r="G88" s="1642"/>
      <c r="H88" s="1642"/>
      <c r="I88" s="1642"/>
      <c r="J88" s="1642"/>
      <c r="K88" s="1642"/>
      <c r="L88" s="1642"/>
      <c r="M88" s="1642"/>
      <c r="N88" s="1642"/>
      <c r="O88" s="1642"/>
      <c r="P88" s="1642"/>
      <c r="Q88" s="1642"/>
      <c r="R88" s="1642"/>
    </row>
    <row r="89" spans="2:18">
      <c r="B89" s="1642"/>
      <c r="C89" s="1642"/>
      <c r="D89" s="1642"/>
      <c r="E89" s="1642"/>
      <c r="F89" s="1642"/>
      <c r="G89" s="1642"/>
      <c r="H89" s="1642"/>
      <c r="I89" s="1642"/>
      <c r="J89" s="1642"/>
      <c r="K89" s="1642"/>
      <c r="L89" s="1642"/>
      <c r="M89" s="1642"/>
      <c r="N89" s="1642"/>
      <c r="O89" s="1642"/>
      <c r="P89" s="1642"/>
      <c r="Q89" s="1642"/>
      <c r="R89" s="1642"/>
    </row>
    <row r="90" spans="2:18">
      <c r="B90" s="1642"/>
      <c r="C90" s="1642"/>
      <c r="D90" s="1642"/>
      <c r="E90" s="1642"/>
      <c r="F90" s="1642"/>
      <c r="G90" s="1642"/>
      <c r="H90" s="1642"/>
      <c r="I90" s="1642"/>
      <c r="J90" s="1642"/>
      <c r="K90" s="1642"/>
      <c r="L90" s="1642"/>
      <c r="M90" s="1642"/>
      <c r="N90" s="1642"/>
      <c r="O90" s="1642"/>
      <c r="P90" s="1642"/>
      <c r="Q90" s="1642"/>
      <c r="R90" s="1642"/>
    </row>
    <row r="91" spans="2:18">
      <c r="B91" s="1642"/>
      <c r="C91" s="1642"/>
      <c r="D91" s="1642"/>
      <c r="E91" s="1642"/>
      <c r="F91" s="1642"/>
      <c r="G91" s="1642"/>
      <c r="H91" s="1642"/>
      <c r="I91" s="1642"/>
      <c r="J91" s="1642"/>
      <c r="K91" s="1642"/>
      <c r="L91" s="1642"/>
      <c r="M91" s="1642"/>
      <c r="N91" s="1642"/>
      <c r="O91" s="1642"/>
      <c r="P91" s="1642"/>
      <c r="Q91" s="1642"/>
      <c r="R91" s="1642"/>
    </row>
    <row r="92" spans="2:18">
      <c r="B92" s="1642"/>
      <c r="C92" s="1642"/>
      <c r="D92" s="1642"/>
      <c r="E92" s="1642"/>
      <c r="F92" s="1642"/>
      <c r="G92" s="1642"/>
      <c r="H92" s="1642"/>
      <c r="I92" s="1642"/>
      <c r="J92" s="1642"/>
      <c r="K92" s="1642"/>
      <c r="L92" s="1642"/>
      <c r="M92" s="1642"/>
      <c r="N92" s="1642"/>
      <c r="O92" s="1642"/>
      <c r="P92" s="1642"/>
      <c r="Q92" s="1642"/>
      <c r="R92" s="1642"/>
    </row>
    <row r="93" spans="2:18">
      <c r="B93" s="1642"/>
      <c r="C93" s="1642"/>
      <c r="D93" s="1642"/>
      <c r="E93" s="1642"/>
      <c r="F93" s="1642"/>
      <c r="G93" s="1642"/>
      <c r="H93" s="1642"/>
      <c r="I93" s="1642"/>
      <c r="J93" s="1642"/>
      <c r="K93" s="1642"/>
      <c r="L93" s="1642"/>
      <c r="M93" s="1642"/>
      <c r="N93" s="1642"/>
      <c r="O93" s="1642"/>
      <c r="P93" s="1642"/>
      <c r="Q93" s="1642"/>
      <c r="R93" s="1642"/>
    </row>
    <row r="94" spans="2:18">
      <c r="B94" s="1642"/>
      <c r="C94" s="1642"/>
      <c r="D94" s="1642"/>
      <c r="E94" s="1642"/>
      <c r="F94" s="1642"/>
      <c r="G94" s="1642"/>
      <c r="H94" s="1642"/>
      <c r="I94" s="1642"/>
      <c r="J94" s="1642"/>
      <c r="K94" s="1642"/>
      <c r="L94" s="1642"/>
      <c r="M94" s="1642"/>
      <c r="N94" s="1642"/>
      <c r="O94" s="1642"/>
      <c r="P94" s="1642"/>
      <c r="Q94" s="1642"/>
      <c r="R94" s="1642"/>
    </row>
    <row r="95" spans="2:18">
      <c r="B95" s="1642"/>
      <c r="C95" s="1642"/>
      <c r="D95" s="1642"/>
      <c r="E95" s="1642"/>
      <c r="F95" s="1642"/>
      <c r="G95" s="1642"/>
      <c r="H95" s="1642"/>
      <c r="I95" s="1642"/>
      <c r="J95" s="1642"/>
      <c r="K95" s="1642"/>
      <c r="L95" s="1642"/>
      <c r="M95" s="1642"/>
      <c r="N95" s="1642"/>
      <c r="O95" s="1642"/>
      <c r="P95" s="1642"/>
      <c r="Q95" s="1642"/>
      <c r="R95" s="1642"/>
    </row>
    <row r="96" spans="2:18">
      <c r="B96" s="1642"/>
      <c r="C96" s="1642"/>
      <c r="D96" s="1642"/>
      <c r="E96" s="1642"/>
      <c r="F96" s="1642"/>
      <c r="G96" s="1642"/>
      <c r="H96" s="1642"/>
      <c r="I96" s="1642"/>
      <c r="J96" s="1642"/>
      <c r="K96" s="1642"/>
      <c r="L96" s="1642"/>
      <c r="M96" s="1642"/>
      <c r="N96" s="1642"/>
      <c r="O96" s="1642"/>
      <c r="P96" s="1642"/>
      <c r="Q96" s="1642"/>
      <c r="R96" s="1642"/>
    </row>
    <row r="97" spans="2:18">
      <c r="B97" s="1642"/>
      <c r="C97" s="1642"/>
      <c r="D97" s="1642"/>
      <c r="E97" s="1642"/>
      <c r="F97" s="1642"/>
      <c r="G97" s="1642"/>
      <c r="H97" s="1642"/>
      <c r="I97" s="1642"/>
      <c r="J97" s="1642"/>
      <c r="K97" s="1642"/>
      <c r="L97" s="1642"/>
      <c r="M97" s="1642"/>
      <c r="N97" s="1642"/>
      <c r="O97" s="1642"/>
      <c r="P97" s="1642"/>
      <c r="Q97" s="1642"/>
      <c r="R97" s="1642"/>
    </row>
    <row r="98" spans="2:18">
      <c r="B98" s="1642"/>
      <c r="C98" s="1642"/>
      <c r="D98" s="1642"/>
      <c r="E98" s="1642"/>
      <c r="F98" s="1642"/>
      <c r="G98" s="1642"/>
      <c r="H98" s="1642"/>
      <c r="I98" s="1642"/>
      <c r="J98" s="1642"/>
      <c r="K98" s="1642"/>
      <c r="L98" s="1642"/>
      <c r="M98" s="1642"/>
      <c r="N98" s="1642"/>
      <c r="O98" s="1642"/>
      <c r="P98" s="1642"/>
      <c r="Q98" s="1642"/>
      <c r="R98" s="1642"/>
    </row>
    <row r="99" spans="2:18">
      <c r="B99" s="1642"/>
      <c r="C99" s="1642"/>
      <c r="D99" s="1642"/>
      <c r="E99" s="1642"/>
      <c r="F99" s="1642"/>
      <c r="G99" s="1642"/>
      <c r="H99" s="1642"/>
      <c r="I99" s="1642"/>
      <c r="J99" s="1642"/>
      <c r="K99" s="1642"/>
      <c r="L99" s="1642"/>
      <c r="M99" s="1642"/>
      <c r="N99" s="1642"/>
      <c r="O99" s="1642"/>
      <c r="P99" s="1642"/>
      <c r="Q99" s="1642"/>
      <c r="R99" s="1642"/>
    </row>
    <row r="100" spans="2:18">
      <c r="B100" s="1642"/>
      <c r="C100" s="1642"/>
      <c r="D100" s="1642"/>
      <c r="E100" s="1642"/>
      <c r="F100" s="1642"/>
      <c r="G100" s="1642"/>
      <c r="H100" s="1642"/>
      <c r="I100" s="1642"/>
      <c r="J100" s="1642"/>
      <c r="K100" s="1642"/>
      <c r="L100" s="1642"/>
      <c r="M100" s="1642"/>
      <c r="N100" s="1642"/>
      <c r="O100" s="1642"/>
      <c r="P100" s="1642"/>
      <c r="Q100" s="1642"/>
      <c r="R100" s="1642"/>
    </row>
    <row r="101" spans="2:18">
      <c r="B101" s="1642"/>
      <c r="C101" s="1642"/>
      <c r="D101" s="1642"/>
      <c r="E101" s="1642"/>
      <c r="F101" s="1642"/>
      <c r="G101" s="1642"/>
      <c r="H101" s="1642"/>
      <c r="I101" s="1642"/>
      <c r="J101" s="1642"/>
      <c r="K101" s="1642"/>
      <c r="L101" s="1642"/>
      <c r="M101" s="1642"/>
      <c r="N101" s="1642"/>
      <c r="O101" s="1642"/>
      <c r="P101" s="1642"/>
      <c r="Q101" s="1642"/>
      <c r="R101" s="1642"/>
    </row>
  </sheetData>
  <sheetProtection password="C616" sheet="1" objects="1" scenarios="1"/>
  <mergeCells count="99">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9:M9"/>
    <mergeCell ref="B10:L10"/>
    <mergeCell ref="H2:M4"/>
    <mergeCell ref="F3:G3"/>
    <mergeCell ref="B7:M7"/>
    <mergeCell ref="B8:M8"/>
    <mergeCell ref="W21:W22"/>
    <mergeCell ref="B22:G22"/>
    <mergeCell ref="M21:M22"/>
    <mergeCell ref="O21:O22"/>
    <mergeCell ref="P21:P22"/>
    <mergeCell ref="Q21:Q22"/>
    <mergeCell ref="R21:R22"/>
    <mergeCell ref="B21:G21"/>
    <mergeCell ref="I21:I22"/>
    <mergeCell ref="J21:J22"/>
    <mergeCell ref="K21:K22"/>
    <mergeCell ref="L21:L22"/>
    <mergeCell ref="M23:M24"/>
    <mergeCell ref="O23:O24"/>
    <mergeCell ref="P23:P24"/>
    <mergeCell ref="Q23:Q24"/>
    <mergeCell ref="Q25:Q26"/>
    <mergeCell ref="M25:M26"/>
    <mergeCell ref="O25:O26"/>
    <mergeCell ref="B23:G23"/>
    <mergeCell ref="I23:I24"/>
    <mergeCell ref="J23:J24"/>
    <mergeCell ref="K23:K24"/>
    <mergeCell ref="L23:L24"/>
    <mergeCell ref="B24:G24"/>
    <mergeCell ref="W25:W26"/>
    <mergeCell ref="W27:W28"/>
    <mergeCell ref="W23:W24"/>
    <mergeCell ref="U25:U26"/>
    <mergeCell ref="V25:V26"/>
    <mergeCell ref="P27:P28"/>
    <mergeCell ref="T23:T24"/>
    <mergeCell ref="U23:U24"/>
    <mergeCell ref="V23:V24"/>
    <mergeCell ref="V27:V28"/>
    <mergeCell ref="R23:R24"/>
    <mergeCell ref="T25:T26"/>
    <mergeCell ref="R25:R26"/>
    <mergeCell ref="P25:P26"/>
    <mergeCell ref="Q27:Q28"/>
    <mergeCell ref="U27:U28"/>
    <mergeCell ref="R27:R28"/>
    <mergeCell ref="T27:T28"/>
    <mergeCell ref="B25:G25"/>
    <mergeCell ref="I25:I26"/>
    <mergeCell ref="J25:J26"/>
    <mergeCell ref="K25:K26"/>
    <mergeCell ref="L25:L26"/>
    <mergeCell ref="B26:G26"/>
    <mergeCell ref="M27:M28"/>
    <mergeCell ref="O27:O28"/>
    <mergeCell ref="B35:H35"/>
    <mergeCell ref="B36:H36"/>
    <mergeCell ref="L27:L28"/>
    <mergeCell ref="B27:G27"/>
    <mergeCell ref="I27:I28"/>
    <mergeCell ref="J27:J28"/>
    <mergeCell ref="K27:K28"/>
    <mergeCell ref="C34:H34"/>
    <mergeCell ref="B30:L30"/>
    <mergeCell ref="B28:G28"/>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disablePrompts="1" count="5">
    <dataValidation type="list" allowBlank="1" showInputMessage="1" showErrorMessage="1" sqref="I19:L19" xr:uid="{00000000-0002-0000-0200-000000000000}">
      <formula1>$Q$12:$Q$15</formula1>
    </dataValidation>
    <dataValidation type="list" allowBlank="1" showInputMessage="1" showErrorMessage="1" sqref="I29:L29" xr:uid="{00000000-0002-0000-0200-000001000000}">
      <formula1>$P$12:$P$14</formula1>
    </dataValidation>
    <dataValidation type="list" allowBlank="1" showInputMessage="1" showErrorMessage="1" sqref="I21:L21 I27:L28 I25:L25 I23:L23" xr:uid="{00000000-0002-0000-0200-000002000000}">
      <formula1>$O$12:$O$14</formula1>
    </dataValidation>
    <dataValidation type="list" allowBlank="1" showInputMessage="1" showErrorMessage="1" sqref="I35:L41" xr:uid="{00000000-0002-0000-0200-000003000000}">
      <formula1>$O$32:$O$33</formula1>
    </dataValidation>
    <dataValidation type="list" allowBlank="1" showInputMessage="1" showErrorMessage="1" sqref="I47:L50" xr:uid="{00000000-0002-0000-0200-00000400000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pageSetUpPr fitToPage="1"/>
  </sheetPr>
  <dimension ref="A1:AO87"/>
  <sheetViews>
    <sheetView showZeros="0" zoomScaleNormal="100" workbookViewId="0">
      <selection activeCell="B8" sqref="B8:G8"/>
    </sheetView>
  </sheetViews>
  <sheetFormatPr baseColWidth="10" defaultColWidth="11.42578125" defaultRowHeight="12"/>
  <cols>
    <col min="1" max="1" width="4.28515625" style="1631" customWidth="1"/>
    <col min="2" max="2" width="10.7109375" style="97" customWidth="1"/>
    <col min="3" max="3" width="8.7109375" style="97" customWidth="1"/>
    <col min="4" max="4" width="12.7109375" style="97" customWidth="1"/>
    <col min="5" max="6" width="8.7109375" style="97" customWidth="1"/>
    <col min="7" max="7" width="10.7109375" style="97" customWidth="1"/>
    <col min="8" max="10" width="9.7109375" style="97" customWidth="1"/>
    <col min="11" max="11" width="0.85546875" style="97" hidden="1" customWidth="1"/>
    <col min="12" max="12" width="9.7109375" style="97" customWidth="1"/>
    <col min="13" max="13" width="11.42578125" style="1647" hidden="1" customWidth="1"/>
    <col min="14" max="15" width="11.42578125" style="124" hidden="1" customWidth="1"/>
    <col min="16" max="29" width="11.42578125" style="97" hidden="1" customWidth="1"/>
    <col min="30" max="35" width="11.42578125" style="1446" hidden="1" customWidth="1"/>
    <col min="36" max="39" width="11.42578125" style="97" hidden="1" customWidth="1"/>
    <col min="40" max="40" width="11.42578125" style="1446" hidden="1" customWidth="1"/>
    <col min="41" max="41" width="11.42578125" style="97" hidden="1" customWidth="1"/>
    <col min="42" max="16384" width="11.42578125" style="97"/>
  </cols>
  <sheetData>
    <row r="1" spans="1:41" ht="9.9499999999999993" customHeight="1">
      <c r="B1" s="1898" t="str">
        <f>Eingaben!B1</f>
        <v>2019.3</v>
      </c>
      <c r="L1" s="815" t="str">
        <f>Eingaben!K1</f>
        <v>Formular EN101b, v2.3, zu verwenden bis 31. Dezember 2019</v>
      </c>
      <c r="O1" s="818"/>
    </row>
    <row r="2" spans="1:41" ht="17.100000000000001" customHeight="1">
      <c r="B2" s="36"/>
      <c r="C2" s="860"/>
      <c r="D2" s="860"/>
      <c r="E2" s="118"/>
      <c r="F2" s="860"/>
      <c r="G2" s="118"/>
      <c r="H2" s="1956" t="str">
        <f>Eingaben!G2</f>
        <v>Energienachweis</v>
      </c>
      <c r="I2" s="1957"/>
      <c r="J2" s="1957"/>
      <c r="K2" s="1957"/>
      <c r="L2" s="1958"/>
      <c r="N2" s="816"/>
      <c r="O2" s="819" t="str">
        <f>Uebersetzung!D25</f>
        <v>Ja</v>
      </c>
      <c r="P2" s="817" t="s">
        <v>784</v>
      </c>
      <c r="Q2" s="752" t="b">
        <f>IF(Eingaben!E14=Standardwerte!AJ55,TRUE,FALSE)</f>
        <v>0</v>
      </c>
      <c r="S2" s="753" t="s">
        <v>787</v>
      </c>
      <c r="T2" s="772">
        <f>IF(AND(Neubau1=2,G43&gt;0),_EBF1,0)+IF(AND(Neubau2=2,H43&gt;0),_EBF2,0)+IF(AND(Neubau3=2,I43&gt;0),_EBF3,0)+IF(AND(Neubau4=2,J43&gt;0),_EBF4,0)</f>
        <v>0</v>
      </c>
      <c r="U2" s="5" t="s">
        <v>321</v>
      </c>
      <c r="V2" s="753" t="s">
        <v>789</v>
      </c>
      <c r="W2" s="788">
        <f>IF(MUKEN,L34,Eingaben!K89/3.6)</f>
        <v>0</v>
      </c>
      <c r="X2" s="5" t="s">
        <v>524</v>
      </c>
      <c r="Y2" s="753" t="s">
        <v>790</v>
      </c>
      <c r="Z2" s="788">
        <f>qw</f>
        <v>0</v>
      </c>
      <c r="AA2" s="5" t="s">
        <v>524</v>
      </c>
      <c r="AB2" s="787" t="s">
        <v>802</v>
      </c>
      <c r="AC2" s="752" t="b">
        <f>IF(OR(AND(G43&gt;0,OR(Kategorie1=7,Kategorie1=12,Kategorie1=13)),AND(H43&gt;0,OR(Kategorie2=7,Kategorie2=12,Kategorie2=13)),AND(I43&gt;0,OR(Kategorie3=7,Kategorie3=12,Kategorie3=13)),AND(J43&gt;0,OR(Kategorie4=7,Kategorie4=12,Kategorie4=13))),TRUE,FALSE)</f>
        <v>0</v>
      </c>
      <c r="AK2" s="2254" t="s">
        <v>2273</v>
      </c>
      <c r="AL2" s="2255"/>
      <c r="AN2" s="1184" t="s">
        <v>2598</v>
      </c>
    </row>
    <row r="3" spans="1:41" ht="17.100000000000001" customHeight="1">
      <c r="B3" s="1159">
        <f>IF(MUKEN,1,0)</f>
        <v>0</v>
      </c>
      <c r="C3" s="147">
        <f>IF(MUKEN,0,1)</f>
        <v>1</v>
      </c>
      <c r="D3" s="42"/>
      <c r="E3" s="53"/>
      <c r="F3" s="2137" t="s">
        <v>756</v>
      </c>
      <c r="G3" s="1960"/>
      <c r="H3" s="1961" t="str">
        <f>Eingaben!G3</f>
        <v>Energiebedarf</v>
      </c>
      <c r="I3" s="1962"/>
      <c r="J3" s="1962"/>
      <c r="K3" s="1962"/>
      <c r="L3" s="1963"/>
      <c r="N3" s="741" t="s">
        <v>777</v>
      </c>
      <c r="O3" s="820" t="str">
        <f>Uebersetzung!D26</f>
        <v>Nein</v>
      </c>
      <c r="AK3" s="1025" t="s">
        <v>2272</v>
      </c>
      <c r="AL3" s="1438" t="s">
        <v>2276</v>
      </c>
      <c r="AN3" s="1025" t="s">
        <v>2590</v>
      </c>
    </row>
    <row r="4" spans="1:41" ht="17.100000000000001" customHeight="1">
      <c r="B4" s="95"/>
      <c r="C4" s="60"/>
      <c r="D4" s="60"/>
      <c r="E4" s="119"/>
      <c r="F4" s="60"/>
      <c r="G4" s="119"/>
      <c r="H4" s="1964">
        <f>Eingaben!G4</f>
        <v>0</v>
      </c>
      <c r="I4" s="1965"/>
      <c r="J4" s="1965"/>
      <c r="K4" s="1965"/>
      <c r="L4" s="1966"/>
      <c r="N4" s="761"/>
      <c r="O4" s="599" t="s">
        <v>725</v>
      </c>
      <c r="P4" s="726" t="s">
        <v>726</v>
      </c>
      <c r="Q4" s="599" t="s">
        <v>725</v>
      </c>
      <c r="R4" s="766"/>
      <c r="S4" s="597"/>
      <c r="T4" s="598"/>
      <c r="U4" s="766"/>
      <c r="V4" s="2191" t="s">
        <v>316</v>
      </c>
      <c r="W4" s="2192"/>
      <c r="X4" s="2234" t="s">
        <v>727</v>
      </c>
      <c r="Y4" s="2235"/>
      <c r="Z4" s="2235"/>
      <c r="AA4" s="2236"/>
      <c r="AB4" s="726" t="s">
        <v>728</v>
      </c>
      <c r="AC4" s="596"/>
      <c r="AD4" s="1930"/>
      <c r="AE4" s="1929" t="s">
        <v>38</v>
      </c>
      <c r="AF4" s="2191" t="s">
        <v>38</v>
      </c>
      <c r="AG4" s="2192"/>
      <c r="AK4" s="1451"/>
      <c r="AL4" s="1452"/>
      <c r="AN4" s="1466"/>
    </row>
    <row r="5" spans="1:41" ht="15.95" customHeight="1">
      <c r="B5" s="25"/>
      <c r="C5" s="25"/>
      <c r="D5" s="25"/>
      <c r="E5" s="25"/>
      <c r="F5" s="25"/>
      <c r="G5" s="25"/>
      <c r="H5" s="27"/>
      <c r="I5" s="27"/>
      <c r="J5" s="96"/>
      <c r="L5" s="124"/>
      <c r="N5" s="759"/>
      <c r="O5" s="763"/>
      <c r="P5" s="764" t="s">
        <v>730</v>
      </c>
      <c r="Q5" s="765"/>
      <c r="R5" s="101"/>
      <c r="S5" s="768"/>
      <c r="T5" s="760"/>
      <c r="U5" s="101"/>
      <c r="V5" s="765"/>
      <c r="W5" s="101"/>
      <c r="X5" s="768"/>
      <c r="Y5" s="101"/>
      <c r="Z5" s="101"/>
      <c r="AA5" s="760"/>
      <c r="AB5" s="101"/>
      <c r="AC5" s="765"/>
      <c r="AD5" s="1923"/>
      <c r="AE5" s="600" t="s">
        <v>3065</v>
      </c>
      <c r="AF5" s="2193" t="s">
        <v>3722</v>
      </c>
      <c r="AG5" s="2194"/>
      <c r="AK5" s="1451"/>
      <c r="AL5" s="1452"/>
      <c r="AM5" s="1460" t="s">
        <v>2594</v>
      </c>
      <c r="AN5" s="1507">
        <f>L34</f>
        <v>0</v>
      </c>
      <c r="AO5" s="5" t="s">
        <v>524</v>
      </c>
    </row>
    <row r="6" spans="1:41" s="593" customFormat="1" ht="20.100000000000001" customHeight="1">
      <c r="A6" s="1640"/>
      <c r="B6" s="628" t="str">
        <f>Uebersetzung!D256</f>
        <v>Wärmeerzeugung:</v>
      </c>
      <c r="C6" s="707"/>
      <c r="D6" s="707"/>
      <c r="E6" s="693"/>
      <c r="F6" s="693"/>
      <c r="G6" s="694"/>
      <c r="H6" s="2247" t="str">
        <f>Uebersetzung!D257</f>
        <v>Nutzungsgrad / JAZ</v>
      </c>
      <c r="I6" s="2248"/>
      <c r="J6" s="2244" t="str">
        <f>Uebersetzung!D258</f>
        <v>Deckungsgrad [%]</v>
      </c>
      <c r="K6" s="2245"/>
      <c r="L6" s="2246"/>
      <c r="M6" s="1645"/>
      <c r="N6" s="727" t="s">
        <v>729</v>
      </c>
      <c r="O6" s="600" t="s">
        <v>730</v>
      </c>
      <c r="P6" s="764" t="s">
        <v>1219</v>
      </c>
      <c r="Q6" s="600" t="s">
        <v>731</v>
      </c>
      <c r="R6" s="755" t="s">
        <v>236</v>
      </c>
      <c r="S6" s="2237" t="s">
        <v>732</v>
      </c>
      <c r="T6" s="2238"/>
      <c r="U6" s="764" t="s">
        <v>733</v>
      </c>
      <c r="V6" s="600" t="s">
        <v>734</v>
      </c>
      <c r="W6" s="764" t="s">
        <v>735</v>
      </c>
      <c r="X6" s="2237" t="s">
        <v>736</v>
      </c>
      <c r="Y6" s="2238"/>
      <c r="Z6" s="600" t="s">
        <v>737</v>
      </c>
      <c r="AA6" s="728" t="s">
        <v>737</v>
      </c>
      <c r="AB6" s="764" t="s">
        <v>738</v>
      </c>
      <c r="AC6" s="600" t="s">
        <v>99</v>
      </c>
      <c r="AD6" s="1919" t="s">
        <v>2294</v>
      </c>
      <c r="AE6" s="600" t="s">
        <v>3723</v>
      </c>
      <c r="AF6" s="600" t="s">
        <v>3723</v>
      </c>
      <c r="AG6" s="600" t="s">
        <v>3723</v>
      </c>
      <c r="AH6" s="1446"/>
      <c r="AK6" s="1453"/>
      <c r="AL6" s="1454"/>
      <c r="AM6" s="1461" t="s">
        <v>2595</v>
      </c>
      <c r="AN6" s="614">
        <f>qw</f>
        <v>0</v>
      </c>
      <c r="AO6" s="5" t="s">
        <v>524</v>
      </c>
    </row>
    <row r="7" spans="1:41" s="593" customFormat="1" ht="18" customHeight="1">
      <c r="A7" s="1640" t="s">
        <v>408</v>
      </c>
      <c r="B7" s="2249" t="str">
        <f>Uebersetzung!D259</f>
        <v>Wärmeerzeugung A</v>
      </c>
      <c r="C7" s="2250"/>
      <c r="D7" s="2250"/>
      <c r="E7" s="2250"/>
      <c r="F7" s="2250"/>
      <c r="G7" s="2251"/>
      <c r="H7" s="735" t="str">
        <f>Uebersetzung!D263</f>
        <v>Eingabe</v>
      </c>
      <c r="I7" s="736" t="str">
        <f>Uebersetzung!D264</f>
        <v>Rechenwert</v>
      </c>
      <c r="J7" s="737" t="str">
        <f>Uebersetzung!D265</f>
        <v>Heizung</v>
      </c>
      <c r="K7" s="738"/>
      <c r="L7" s="739" t="str">
        <f>Uebersetzung!D266</f>
        <v>Warmwasser</v>
      </c>
      <c r="M7" s="1645"/>
      <c r="N7" s="604" t="s">
        <v>524</v>
      </c>
      <c r="O7" s="606" t="s">
        <v>524</v>
      </c>
      <c r="P7" s="762" t="s">
        <v>524</v>
      </c>
      <c r="Q7" s="606" t="s">
        <v>524</v>
      </c>
      <c r="R7" s="767"/>
      <c r="S7" s="604" t="s">
        <v>741</v>
      </c>
      <c r="T7" s="605" t="s">
        <v>742</v>
      </c>
      <c r="U7" s="762"/>
      <c r="V7" s="606" t="s">
        <v>743</v>
      </c>
      <c r="W7" s="762" t="s">
        <v>743</v>
      </c>
      <c r="X7" s="604" t="s">
        <v>525</v>
      </c>
      <c r="Y7" s="605" t="s">
        <v>526</v>
      </c>
      <c r="Z7" s="606" t="s">
        <v>525</v>
      </c>
      <c r="AA7" s="605" t="s">
        <v>526</v>
      </c>
      <c r="AB7" s="762" t="s">
        <v>744</v>
      </c>
      <c r="AC7" s="606"/>
      <c r="AD7" s="604" t="s">
        <v>2295</v>
      </c>
      <c r="AE7" s="606" t="s">
        <v>525</v>
      </c>
      <c r="AF7" s="606" t="s">
        <v>525</v>
      </c>
      <c r="AG7" s="605" t="s">
        <v>526</v>
      </c>
      <c r="AH7" s="1446"/>
      <c r="AK7" s="1453"/>
      <c r="AL7" s="1454"/>
      <c r="AM7" s="1508" t="s">
        <v>2596</v>
      </c>
      <c r="AN7" s="614">
        <f>AN5+AN6</f>
        <v>0</v>
      </c>
      <c r="AO7" s="5" t="s">
        <v>524</v>
      </c>
    </row>
    <row r="8" spans="1:41" s="593" customFormat="1" ht="18" customHeight="1">
      <c r="A8" s="1654" t="s">
        <v>409</v>
      </c>
      <c r="B8" s="2203"/>
      <c r="C8" s="2204"/>
      <c r="D8" s="2204"/>
      <c r="E8" s="2204"/>
      <c r="F8" s="2204"/>
      <c r="G8" s="2205"/>
      <c r="H8" s="677"/>
      <c r="I8" s="678">
        <f>IF(H8&lt;&gt;"",IF(H8&gt;W8,W8,H8),V8)</f>
        <v>0</v>
      </c>
      <c r="J8" s="679"/>
      <c r="K8" s="827"/>
      <c r="L8" s="826"/>
      <c r="M8" s="1645">
        <f>IF(B8="",1,VLOOKUP(B8,Standardwerte!$T$108:$AK$155,18,FALSE))</f>
        <v>1</v>
      </c>
      <c r="N8" s="1703">
        <f>S8*qh*IF(J8="",0,MIN(J8,IF(J9&lt;&gt;"",J9,J8))*S8)/100+T8*qw*IF(L8="",0,MIN(L8,IF(L9&lt;&gt;"",L9,L8))*T8)/100</f>
        <v>0</v>
      </c>
      <c r="O8" s="607">
        <f>IF(I8=0,0,N8/I8)</f>
        <v>0</v>
      </c>
      <c r="P8" s="607">
        <f>IF(R8=2,0,O8*R8)</f>
        <v>0</v>
      </c>
      <c r="Q8" s="608">
        <f>IF(AC8,-G9*G10/EBF,IF(U8,-N8/I8*G9,IF(R8=2,N8/I8,0)))</f>
        <v>0</v>
      </c>
      <c r="R8" s="599">
        <f>INDEX(Standardwerte!$Z$108:$Z$155,M8,1)</f>
        <v>0</v>
      </c>
      <c r="S8" s="595">
        <f>INDEX(Standardwerte!$AB$108:$AB$155,M8,1)</f>
        <v>0</v>
      </c>
      <c r="T8" s="603">
        <f>INDEX(Standardwerte!$AA$108:$AA$155,M8,1)</f>
        <v>0</v>
      </c>
      <c r="U8" s="603" t="b">
        <f>INDEX(Standardwerte!$AF$108:$AF$155,M8,1)</f>
        <v>0</v>
      </c>
      <c r="V8" s="1918">
        <f>IF(U8,AB9,INDEX(Standardwerte!$X$108:$X$155,M8,1)-IF(OR(M8=36,M8=35),MAX((F10-30)/3,0),0))</f>
        <v>0</v>
      </c>
      <c r="W8" s="608">
        <f>IF(U8,AB9,INDEX(Standardwerte!$Y$108:$Y$155,M8,1)-IF(OR(M8=36,M8=35),MAX((F10-30)/3,0),0))</f>
        <v>0</v>
      </c>
      <c r="X8" s="2197">
        <f>IF(G9&gt;0,IF(Hoehe&lt;800,(440/((1/G9)+610/(EBF*(qw+qh)))/G9),(490/((1/G9)+610/(EBF*(qw+qh)))/G9)),)</f>
        <v>0</v>
      </c>
      <c r="Y8" s="2198"/>
      <c r="Z8" s="607">
        <f>IF(G9&gt;0,IF(qw&gt;0,IF(Hoehe&lt;800,(640/((1/G9)+380/(EBF*qw))/G9),(700/((1/G9)+380/(EBF*qw))/G9)),),)</f>
        <v>0</v>
      </c>
      <c r="AA8" s="603"/>
      <c r="AB8" s="599">
        <f>IF(U8,IF(G9&gt;0.5,1,0),0)</f>
        <v>0</v>
      </c>
      <c r="AC8" s="603" t="b">
        <f>INDEX(Standardwerte!$AG$108:$AG$155,M8,1)</f>
        <v>0</v>
      </c>
      <c r="AD8" s="1926" t="b">
        <f>(Q8&lt;0)</f>
        <v>0</v>
      </c>
      <c r="AE8" s="1927" t="s">
        <v>3720</v>
      </c>
      <c r="AF8" s="1927" t="s">
        <v>3720</v>
      </c>
      <c r="AG8" s="1927" t="s">
        <v>3720</v>
      </c>
      <c r="AH8" s="1446"/>
      <c r="AJ8" s="1461" t="s">
        <v>2280</v>
      </c>
      <c r="AK8" s="1453">
        <f>INDEX(Standardwerte!$AP$108:$AP$155,M8,1)</f>
        <v>0</v>
      </c>
      <c r="AL8" s="1454">
        <f>IF(WirkungsgradA&gt;0,AK8*WaermebedarfA/WirkungsgradA,0)</f>
        <v>0</v>
      </c>
      <c r="AM8" s="1461" t="s">
        <v>2280</v>
      </c>
      <c r="AN8" s="1510">
        <f>IF(AND(M8=15,G9&lt;0.35),1,1-INDEX(Standardwerte!$AS$108:$AS$155,Nachweis!M8,1))</f>
        <v>1</v>
      </c>
    </row>
    <row r="9" spans="1:41" s="593" customFormat="1" ht="14.1" customHeight="1">
      <c r="A9" s="1654" t="s">
        <v>410</v>
      </c>
      <c r="B9" s="2252" t="str">
        <f>IF(INDEX(Standardwerte!$AD$108:$AD$155,M8,1)=0,"",INDEX(Standardwerte!$AD$108:$AD$155,M8,1))</f>
        <v/>
      </c>
      <c r="C9" s="2253"/>
      <c r="D9" s="2253"/>
      <c r="E9" s="2253"/>
      <c r="F9" s="1924">
        <f>IF(M8=35,IF(G9="",0,MIN(G9,5)),0)</f>
        <v>0</v>
      </c>
      <c r="G9" s="829"/>
      <c r="H9" s="2188" t="str">
        <f>IF(AB8=1,"Deckungs-grad Soll-wert &lt; 0.5","")</f>
        <v/>
      </c>
      <c r="I9" s="680"/>
      <c r="J9" s="731">
        <f>IF(M8=36,MAX(AG11,0),IF(EBF&gt;0,IF(M8=33,Y11,IF(M8=31,AA11,"")),0))</f>
        <v>0</v>
      </c>
      <c r="K9" s="732"/>
      <c r="L9" s="733" t="str">
        <f>IF(M8=36,MAX(AF11,0),IF(M8=35,MAX(AE11,0),IF(M8=32,Z11,IF(M8=33,X11,""))))</f>
        <v/>
      </c>
      <c r="M9" s="1651" t="str">
        <f>IF(INDEX(Standardwerte!$AD$108:$AD$155,M8,1)=0,"",INDEX(Standardwerte!$AL$108:$AL$155,M8,1))</f>
        <v/>
      </c>
      <c r="N9" s="600"/>
      <c r="O9" s="600"/>
      <c r="P9" s="600"/>
      <c r="Q9" s="601"/>
      <c r="R9" s="602"/>
      <c r="S9" s="610"/>
      <c r="T9" s="609"/>
      <c r="U9" s="609"/>
      <c r="V9" s="609"/>
      <c r="W9" s="611"/>
      <c r="X9" s="612">
        <f>IF(G10&lt;&gt;0,G10,X8)</f>
        <v>0</v>
      </c>
      <c r="Y9" s="613">
        <f>IF(Hoehe&lt;800,(440-X8)/610*100,(490-X8)/610*100)</f>
        <v>72.131147540983605</v>
      </c>
      <c r="Z9" s="614">
        <f>IF(G10&lt;&gt;0,G10,Z8)</f>
        <v>0</v>
      </c>
      <c r="AA9" s="601">
        <f>IF(G10&gt;0,G10,0)</f>
        <v>0</v>
      </c>
      <c r="AB9" s="615">
        <f>IF(H8="",IF(M8=15,Standardwerte!$X$122-G9,Standardwerte!$X$123-G9),AB10)</f>
        <v>0.7</v>
      </c>
      <c r="AC9" s="609"/>
      <c r="AD9" s="1919"/>
      <c r="AE9" s="1928" t="str">
        <f>IF(M8=35,F9*Eingaben!$K$42,"")</f>
        <v/>
      </c>
      <c r="AF9" s="600" t="str">
        <f>IF(M8=36,G9,"")</f>
        <v/>
      </c>
      <c r="AG9" s="1932" t="str">
        <f>IF(M8=36,AF9-qw*EBF*L9/100,"")</f>
        <v/>
      </c>
      <c r="AH9" s="1446"/>
      <c r="AK9" s="1453"/>
      <c r="AL9" s="1454"/>
      <c r="AM9" s="1461" t="s">
        <v>2592</v>
      </c>
      <c r="AN9" s="1509">
        <f>J8/100</f>
        <v>0</v>
      </c>
    </row>
    <row r="10" spans="1:41" s="593" customFormat="1" ht="14.1" customHeight="1">
      <c r="A10" s="1640" t="s">
        <v>411</v>
      </c>
      <c r="B10" s="2195" t="str">
        <f>IF(INDEX(Standardwerte!$AD$108:$AE$155,M8,2)=0,"",INDEX(Standardwerte!$AD$108:$AE$155,M8,2))</f>
        <v/>
      </c>
      <c r="C10" s="2196"/>
      <c r="D10" s="2196"/>
      <c r="E10" s="2196"/>
      <c r="F10" s="1925" t="str">
        <f>IF(OR(M8=35,M8=36),IF(G10="",32,MIN(G10,45)),IF(M8=33,IF(G10&gt;0,G10,X8),IF(M8=32,IF(G10&gt;0,G10,Z8),"")))</f>
        <v/>
      </c>
      <c r="G10" s="828"/>
      <c r="H10" s="2189"/>
      <c r="I10" s="680"/>
      <c r="J10" s="2199" t="str">
        <f>IF(AND(J9&gt;0,J9&lt;&gt;""),IF(J8&gt;J9+0.1,"Deckungsgrad zu hoch",""),"")</f>
        <v/>
      </c>
      <c r="K10" s="734"/>
      <c r="L10" s="2201" t="str">
        <f>IF(AND(L9&gt;0,L9&lt;&gt;""),IF(L8&gt;L9+0.1,"Deckungsgrad zu hoch",""),"")</f>
        <v/>
      </c>
      <c r="M10" s="1645"/>
      <c r="N10" s="600"/>
      <c r="O10" s="600"/>
      <c r="P10" s="600"/>
      <c r="Q10" s="601"/>
      <c r="R10" s="602"/>
      <c r="S10" s="610"/>
      <c r="T10" s="609"/>
      <c r="U10" s="609"/>
      <c r="V10" s="609"/>
      <c r="W10" s="611"/>
      <c r="X10" s="612">
        <f>IF(qw&gt;0,IF(EBF&gt;0,IF((qh+qw)=0,,IF(AND(G9&gt;0,G10&gt;0),MIN(100/qw*X9*G9/EBF,100),IF(G9&gt;0,MIN(70,Y9*(qw+qh)/qw),))),),0)</f>
        <v>0</v>
      </c>
      <c r="Y10" s="613">
        <f>IF(EBF&gt;0,IF(AND(G9&gt;0,X9&gt;0),MIN(100/qh*(X9*G9/EBF-X11/100*qw),100),IF(X10&lt;70,0,IF(AND(G9&gt;0,G10&gt;0),G9*X9/EBF,((qw+qh)*Y9/100-qw*0.7)/qh))*100),)</f>
        <v>0</v>
      </c>
      <c r="Z10" s="614">
        <f>IF(EBF&gt;0,IF(G9&gt;0,IF(qw&gt;0,IF(G10&lt;&gt;0,MIN(100/qw*Z9*G9/EBF,80),MIN(IF(Hoehe&lt;800,((640-Z8)/380*100),((700-Z8)/380*100)),80)),0),)*T8,)</f>
        <v>0</v>
      </c>
      <c r="AA10" s="613">
        <f>IF(qh&gt;0,IF((100/qh*AA9*G9/EBF)&gt;100,100,(100/qh*AA9*G9/EBF)),0)*S8</f>
        <v>0</v>
      </c>
      <c r="AB10" s="615">
        <f>IF(M8=15,Standardwerte!$Y$122-G9,Standardwerte!$Y$123-G9)</f>
        <v>0.9</v>
      </c>
      <c r="AC10" s="609"/>
      <c r="AD10" s="1919"/>
      <c r="AE10" s="1931">
        <f>IF(AND(qw&gt;0,EBF&gt;0,AE9&lt;&gt;""),AE9/qw/EBF,0)</f>
        <v>0</v>
      </c>
      <c r="AF10" s="1931">
        <f>IF(AND(qw&gt;0,EBF&gt;0,AF9&lt;&gt;""),AF9/qw/EBF,0)</f>
        <v>0</v>
      </c>
      <c r="AG10" s="1937">
        <f>IF(AND(qh&gt;0,EBF&gt;0,AF9&lt;&gt;""),MIN(AG9/qh/EBF/2,1),0)</f>
        <v>0</v>
      </c>
      <c r="AH10" s="764"/>
      <c r="AK10" s="1453"/>
      <c r="AL10" s="1454"/>
      <c r="AM10" s="1461" t="s">
        <v>2593</v>
      </c>
      <c r="AN10" s="1509">
        <f>L8/100</f>
        <v>0</v>
      </c>
    </row>
    <row r="11" spans="1:41" s="593" customFormat="1" ht="15.95" customHeight="1">
      <c r="A11" s="1640" t="s">
        <v>412</v>
      </c>
      <c r="B11" s="2242" t="str">
        <f>Uebersetzung!D260</f>
        <v>Wärmeerzeugung B</v>
      </c>
      <c r="C11" s="2243"/>
      <c r="D11" s="2243"/>
      <c r="E11" s="2243"/>
      <c r="F11" s="676"/>
      <c r="G11" s="676"/>
      <c r="H11" s="2190"/>
      <c r="I11" s="676"/>
      <c r="J11" s="2200"/>
      <c r="K11" s="734"/>
      <c r="L11" s="2202"/>
      <c r="M11" s="1645"/>
      <c r="N11" s="606"/>
      <c r="O11" s="606"/>
      <c r="P11" s="606"/>
      <c r="Q11" s="605" t="s">
        <v>746</v>
      </c>
      <c r="R11" s="618"/>
      <c r="S11" s="616"/>
      <c r="T11" s="617"/>
      <c r="U11" s="617"/>
      <c r="V11" s="617"/>
      <c r="W11" s="619"/>
      <c r="X11" s="620">
        <f>IF(G9&gt;0,IF(L8&lt;&gt;0,MIN(X10,L8),IF(AND(G10&lt;&gt;0,L8&lt;&gt;0),L8,X10)),)*T8</f>
        <v>0</v>
      </c>
      <c r="Y11" s="621">
        <f>IF(J8&lt;&gt;0,MIN(Y10,J8),IF(AND(G10&lt;&gt;0,J8&lt;&gt;0),J8,Y10))*S8</f>
        <v>0</v>
      </c>
      <c r="Z11" s="622">
        <f>IF(G9&gt;0,IF(L8&lt;&gt;0,MIN(L8,Z10),IF(AND(G10&lt;&gt;0,L8&lt;&gt;0),L8,Z10)),)*T8</f>
        <v>0</v>
      </c>
      <c r="AA11" s="621">
        <f>IF(J8&lt;&gt;0,MIN(AA10,J8),AA10)*S8</f>
        <v>0</v>
      </c>
      <c r="AB11" s="618"/>
      <c r="AC11" s="617"/>
      <c r="AD11" s="1919"/>
      <c r="AE11" s="622">
        <f>IF($M8=35,MIN($L8,MIN(AE10,($F10-10)/50/3)*100),0)</f>
        <v>0</v>
      </c>
      <c r="AF11" s="622">
        <f>IF($M8=36,MIN($L8,MIN(AF10,($F10-10)/50)*100),0)</f>
        <v>0</v>
      </c>
      <c r="AG11" s="621">
        <f>IF($M8=36,MIN($J8,MIN(AG10,(($F10-30)/15))*100),0)</f>
        <v>0</v>
      </c>
      <c r="AH11" s="764"/>
      <c r="AK11" s="1453"/>
      <c r="AL11" s="1454"/>
      <c r="AN11" s="606"/>
    </row>
    <row r="12" spans="1:41" s="593" customFormat="1" ht="18" customHeight="1">
      <c r="A12" s="1654" t="s">
        <v>413</v>
      </c>
      <c r="B12" s="2203"/>
      <c r="C12" s="2204"/>
      <c r="D12" s="2204"/>
      <c r="E12" s="2204"/>
      <c r="F12" s="2204"/>
      <c r="G12" s="2205"/>
      <c r="H12" s="677"/>
      <c r="I12" s="678">
        <f>IF(H12&lt;&gt;"",IF(H12&gt;W12,W12,H12),V12)</f>
        <v>0</v>
      </c>
      <c r="J12" s="679"/>
      <c r="K12" s="824"/>
      <c r="L12" s="826"/>
      <c r="M12" s="1645">
        <f>IF(B12="",1,VLOOKUP(B12,Standardwerte!$T$108:$AK$155,18,FALSE))</f>
        <v>1</v>
      </c>
      <c r="N12" s="1703">
        <f>S12*qh*IF(J12="",0,MIN(J12,IF(J13&lt;&gt;"",J13,J12))*S12)/100+T12*qw*IF(L12="",0,MIN(L12,IF(L13&lt;&gt;"",L13,L12))*T12)/100</f>
        <v>0</v>
      </c>
      <c r="O12" s="607">
        <f>IF(I12=0,0,N12/I12)</f>
        <v>0</v>
      </c>
      <c r="P12" s="607">
        <f>IF(R12=2,0,O12*R12)</f>
        <v>0</v>
      </c>
      <c r="Q12" s="608">
        <f>IF(AC12,-G13*G14/EBF,IF(U12,-N12/I12*G13,IF(R12=2,N12/I12,0)))</f>
        <v>0</v>
      </c>
      <c r="R12" s="599">
        <f>INDEX(Standardwerte!$Z$108:$Z$155,M12,1)</f>
        <v>0</v>
      </c>
      <c r="S12" s="595">
        <f>INDEX(Standardwerte!$AB$108:$AB$155,M12,1)</f>
        <v>0</v>
      </c>
      <c r="T12" s="603">
        <f>INDEX(Standardwerte!$AA$108:$AA$155,M12,1)</f>
        <v>0</v>
      </c>
      <c r="U12" s="702" t="b">
        <f>INDEX(Standardwerte!$AF$108:$AF$155,M12,1)</f>
        <v>0</v>
      </c>
      <c r="V12" s="1918">
        <f>IF(U12,AB13,INDEX(Standardwerte!$X$108:$X$155,M12,1)-IF(OR(M12=36,M12=35),MAX((F14-30)/3,0),0))</f>
        <v>0</v>
      </c>
      <c r="W12" s="608">
        <f>IF(U12,AB13,INDEX(Standardwerte!$Y$108:$Y$155,M12,1)-IF(OR(M12=36,M12=35),MAX((F14-30)/3,0),0))</f>
        <v>0</v>
      </c>
      <c r="X12" s="2197">
        <f>IF(G13&gt;0,IF(Hoehe&lt;800,(440/((1/G13)+610/(EBF*(qw+qh)))/G13),(490/((1/G13)+610/(EBF*(qw+qh)))/G13)),)</f>
        <v>0</v>
      </c>
      <c r="Y12" s="2198"/>
      <c r="Z12" s="614">
        <f>IF(G13&gt;0,IF(qw&gt;0,IF(Hoehe&lt;800,(640/((1/G13)+380/(EBF*qw))/G13),(700/((1/G13)+380/(EBF*qw))/G13)),),)</f>
        <v>0</v>
      </c>
      <c r="AA12" s="601"/>
      <c r="AB12" s="599">
        <f>IF(U12,IF(G13&gt;0.5,1,0),0)</f>
        <v>0</v>
      </c>
      <c r="AC12" s="603" t="b">
        <f>INDEX(Standardwerte!$AG$108:$AG$155,M12,1)</f>
        <v>0</v>
      </c>
      <c r="AD12" s="1926" t="b">
        <f>(Q12&lt;0)</f>
        <v>0</v>
      </c>
      <c r="AE12" s="1927" t="s">
        <v>3720</v>
      </c>
      <c r="AF12" s="1927" t="s">
        <v>3720</v>
      </c>
      <c r="AG12" s="1927" t="s">
        <v>3720</v>
      </c>
      <c r="AH12" s="764"/>
      <c r="AJ12" s="1461" t="s">
        <v>2281</v>
      </c>
      <c r="AK12" s="1453">
        <f>INDEX(Standardwerte!$AP$108:$AP$155,M12,1)</f>
        <v>0</v>
      </c>
      <c r="AL12" s="1454">
        <f>IF(WirkungsgradB&gt;0,AK12*WaermebedarfB/WirkungsgradB,0)</f>
        <v>0</v>
      </c>
      <c r="AM12" s="1461" t="s">
        <v>2281</v>
      </c>
      <c r="AN12" s="1509">
        <f>IF(AND(M12=15,G13&lt;0.35),1,1-INDEX(Standardwerte!$AS$108:$AS$155,Nachweis!M12,1))</f>
        <v>1</v>
      </c>
    </row>
    <row r="13" spans="1:41" s="593" customFormat="1" ht="14.1" customHeight="1">
      <c r="A13" s="1640" t="s">
        <v>414</v>
      </c>
      <c r="B13" s="2252" t="str">
        <f>IF(INDEX(Standardwerte!$AD$108:$AD$155,M12,1)=0,"",INDEX(Standardwerte!$AD$108:$AD$155,M12,1))</f>
        <v/>
      </c>
      <c r="C13" s="2253"/>
      <c r="D13" s="2253"/>
      <c r="E13" s="2253"/>
      <c r="F13" s="1924">
        <f>IF(M12=35,IF(G13="",0,MIN(G13,5)),0)</f>
        <v>0</v>
      </c>
      <c r="G13" s="829"/>
      <c r="H13" s="2188" t="str">
        <f>IF(AB12=1,"Deckungs-grad Soll-wert &lt; 0.5","")</f>
        <v/>
      </c>
      <c r="I13" s="680"/>
      <c r="J13" s="731">
        <f>IF(M12=36,MAX(AG15,0),IF(EBF&gt;0,IF(M12=33,Y15,IF(M12=31,AA15,"")),0))</f>
        <v>0</v>
      </c>
      <c r="K13" s="732"/>
      <c r="L13" s="733" t="str">
        <f>IF(M12=36,MAX(AF15,0),IF(M12=35,MAX(AE15,0),IF(M12=32,Z15,IF(M12=33,X15,""))))</f>
        <v/>
      </c>
      <c r="M13" s="1651" t="str">
        <f>IF(INDEX(Standardwerte!$AD$108:$AD$155,M12,1)=0,"",INDEX(Standardwerte!$AL$108:$AL$155,M12,1))</f>
        <v/>
      </c>
      <c r="N13" s="600"/>
      <c r="O13" s="600"/>
      <c r="P13" s="600"/>
      <c r="Q13" s="601"/>
      <c r="R13" s="602"/>
      <c r="S13" s="610"/>
      <c r="T13" s="609"/>
      <c r="U13" s="609"/>
      <c r="V13" s="609"/>
      <c r="W13" s="611"/>
      <c r="X13" s="612">
        <f>IF(G14&lt;&gt;0,G14,X12)</f>
        <v>0</v>
      </c>
      <c r="Y13" s="613">
        <f>IF(Hoehe&lt;800,(440-X12)/610*100,(490-X12)/610*100)</f>
        <v>72.131147540983605</v>
      </c>
      <c r="Z13" s="614">
        <f>IF(G14&lt;&gt;0,G14,Z12)</f>
        <v>0</v>
      </c>
      <c r="AA13" s="601">
        <f>IF(G14&gt;0,G14,0)</f>
        <v>0</v>
      </c>
      <c r="AB13" s="615">
        <f>IF(H12="",IF(M12=15,Standardwerte!$X$122-G13,Standardwerte!$X$123-G13),AB14)</f>
        <v>0.7</v>
      </c>
      <c r="AC13" s="609"/>
      <c r="AD13" s="1919"/>
      <c r="AE13" s="1928" t="str">
        <f>IF(M12=35,F13*Eingaben!$K$42,"")</f>
        <v/>
      </c>
      <c r="AF13" s="600" t="str">
        <f>IF(M12=36,G13,"")</f>
        <v/>
      </c>
      <c r="AG13" s="1932" t="str">
        <f>IF(M12=36,AF13-qw*EBF*L13/100,"")</f>
        <v/>
      </c>
      <c r="AH13" s="764"/>
      <c r="AK13" s="1453"/>
      <c r="AL13" s="1454"/>
      <c r="AM13" s="1461" t="s">
        <v>2592</v>
      </c>
      <c r="AN13" s="1509">
        <f>J12/100</f>
        <v>0</v>
      </c>
    </row>
    <row r="14" spans="1:41" s="593" customFormat="1" ht="14.1" customHeight="1">
      <c r="A14" s="1654" t="s">
        <v>415</v>
      </c>
      <c r="B14" s="2195" t="str">
        <f>IF(INDEX(Standardwerte!$AD$108:$AE$155,M12,2)=0,"",INDEX(Standardwerte!$AD$108:$AE$155,M12,2))</f>
        <v/>
      </c>
      <c r="C14" s="2196"/>
      <c r="D14" s="2196"/>
      <c r="E14" s="2196"/>
      <c r="F14" s="1925" t="str">
        <f>IF(OR(M12=35,M12=36),IF(G14="",32,MIN(G14,45)),IF(M12=33,IF(G14&gt;0,G14,X12),IF(M12=32,IF(G14&gt;0,G14,Z12),"")))</f>
        <v/>
      </c>
      <c r="G14" s="828"/>
      <c r="H14" s="2189"/>
      <c r="I14" s="680"/>
      <c r="J14" s="2199" t="str">
        <f>IF(AND(J13&gt;0,J13&lt;&gt;""),IF(J12&gt;J13+0.1,"Deckungsgrad zu hoch",""),"")</f>
        <v/>
      </c>
      <c r="K14" s="734"/>
      <c r="L14" s="2201" t="str">
        <f>IF(AND(L13&gt;0,L13&lt;&gt;""),IF(L12&gt;L13+0.1,"Deckungsgrad zu hoch",""),"")</f>
        <v/>
      </c>
      <c r="M14" s="1645"/>
      <c r="N14" s="600"/>
      <c r="O14" s="600"/>
      <c r="P14" s="600"/>
      <c r="Q14" s="601"/>
      <c r="R14" s="602"/>
      <c r="S14" s="610"/>
      <c r="T14" s="609"/>
      <c r="U14" s="609"/>
      <c r="V14" s="609"/>
      <c r="W14" s="611"/>
      <c r="X14" s="612">
        <f>IF(qw&gt;0,IF(EBF&gt;0,IF((qh+qw)=0,,IF(AND(G13&gt;0,G14&gt;0),MIN(100/qw*X13*G13/EBF,100),IF(G13&gt;0,MIN(70,Y13*(qw+qh)/qw),))),),0)</f>
        <v>0</v>
      </c>
      <c r="Y14" s="613">
        <f>IF(EBF&gt;0,IF(AND(G13&gt;0,X13&gt;0),MIN(100/qh*(X13*G13/EBF-X15/100*qw),100),IF(X14&lt;70,0,IF(AND(G13&gt;0,G14&gt;0),G13*X13/EBF,((qw+qh)*Y13/100-qw*0.7)/qh))*100),)</f>
        <v>0</v>
      </c>
      <c r="Z14" s="614">
        <f>IF(EBF&gt;0,IF(G13&gt;0,IF(qw&gt;0,IF(G14&lt;&gt;0,MIN(100/qw*Z13*G13/EBF,80),MIN(IF(Hoehe&lt;800,((640-Z12)/380*100),((700-Z12)/380*100)),80)),0),)*T12,)</f>
        <v>0</v>
      </c>
      <c r="AA14" s="613">
        <f>IF(qh&gt;0,IF((100/qh*AA13*G13/EBF)&gt;100,100,(100/qh*AA13*G13/EBF)),0)*S12</f>
        <v>0</v>
      </c>
      <c r="AB14" s="615">
        <f>IF(M12=15,Standardwerte!$Y$122-G13,Standardwerte!$Y$123-G13)</f>
        <v>0.9</v>
      </c>
      <c r="AC14" s="609"/>
      <c r="AD14" s="1919"/>
      <c r="AE14" s="1931">
        <f>IF(AND(qw&gt;0,EBF&gt;0,AE13&lt;&gt;""),AE13/qw/EBF,0)</f>
        <v>0</v>
      </c>
      <c r="AF14" s="1931">
        <f>IF(AND(qw&gt;0,EBF&gt;0,AF13&lt;&gt;""),AF13/qw/EBF,0)</f>
        <v>0</v>
      </c>
      <c r="AG14" s="1937">
        <f>IF(AND(qh&gt;0,EBF&gt;0,AF13&lt;&gt;""),MIN(AG13/qh/EBF/2,1),0)</f>
        <v>0</v>
      </c>
      <c r="AH14" s="764"/>
      <c r="AK14" s="1453"/>
      <c r="AL14" s="1454"/>
      <c r="AM14" s="1461" t="s">
        <v>2593</v>
      </c>
      <c r="AN14" s="1509">
        <f>L12/100</f>
        <v>0</v>
      </c>
    </row>
    <row r="15" spans="1:41" s="593" customFormat="1" ht="15.95" customHeight="1">
      <c r="A15" s="1640" t="s">
        <v>416</v>
      </c>
      <c r="B15" s="695" t="str">
        <f>Uebersetzung!D261</f>
        <v>Wärmeerzeugung C</v>
      </c>
      <c r="C15" s="700"/>
      <c r="D15" s="700"/>
      <c r="E15" s="676"/>
      <c r="F15" s="676"/>
      <c r="G15" s="676"/>
      <c r="H15" s="2190"/>
      <c r="I15" s="676"/>
      <c r="J15" s="2200"/>
      <c r="K15" s="734"/>
      <c r="L15" s="2202"/>
      <c r="M15" s="1645"/>
      <c r="N15" s="600"/>
      <c r="O15" s="600"/>
      <c r="P15" s="600"/>
      <c r="Q15" s="601"/>
      <c r="R15" s="602"/>
      <c r="S15" s="610"/>
      <c r="T15" s="609"/>
      <c r="U15" s="609"/>
      <c r="V15" s="609"/>
      <c r="W15" s="611"/>
      <c r="X15" s="612">
        <f>IF(G13&gt;0,IF(L12&lt;&gt;0,MIN(X14,L12),IF(AND(G14&lt;&gt;0,L12&lt;&gt;0),L12,X14)),)*T12</f>
        <v>0</v>
      </c>
      <c r="Y15" s="613">
        <f>IF(J12&lt;&gt;0,MIN(Y14,J12),IF(AND(G14&lt;&gt;0,J12&lt;&gt;0),J12,Y14))*S12</f>
        <v>0</v>
      </c>
      <c r="Z15" s="614">
        <f>IF(G13&gt;0,IF(L12&lt;&gt;0,MIN(L12,Z14),IF(AND(G14&lt;&gt;0,L12&lt;&gt;0),L12,Z14)),)*T12</f>
        <v>0</v>
      </c>
      <c r="AA15" s="613">
        <f>IF(J12&lt;&gt;0,MIN(AA14,J12),AA14)*S12</f>
        <v>0</v>
      </c>
      <c r="AB15" s="618"/>
      <c r="AC15" s="609"/>
      <c r="AD15" s="1919"/>
      <c r="AE15" s="622">
        <f>IF($M12=35,MIN($L12,MIN(AE14,($F14-10)/50/3)*100),0)</f>
        <v>0</v>
      </c>
      <c r="AF15" s="622">
        <f>IF($M12=36,MIN($L12,MIN(AF14,($F14-10)/50)*100),0)</f>
        <v>0</v>
      </c>
      <c r="AG15" s="621">
        <f>IF($M12=36,MIN($J12,MIN(AG14,(($F14-30)/15))*100),0)</f>
        <v>0</v>
      </c>
      <c r="AH15" s="764"/>
      <c r="AK15" s="1453"/>
      <c r="AL15" s="1454"/>
      <c r="AN15" s="606"/>
    </row>
    <row r="16" spans="1:41" s="593" customFormat="1" ht="18" customHeight="1">
      <c r="A16" s="1654" t="s">
        <v>417</v>
      </c>
      <c r="B16" s="2203"/>
      <c r="C16" s="2204"/>
      <c r="D16" s="2204"/>
      <c r="E16" s="2204"/>
      <c r="F16" s="2204"/>
      <c r="G16" s="2205"/>
      <c r="H16" s="677"/>
      <c r="I16" s="678">
        <f>IF(H16&lt;&gt;"",IF(H16&gt;W16,W16,H16),V16)</f>
        <v>0</v>
      </c>
      <c r="J16" s="679"/>
      <c r="K16" s="824"/>
      <c r="L16" s="826"/>
      <c r="M16" s="1645">
        <f>IF(B16="",1,VLOOKUP(B16,Standardwerte!$T$108:$AK$155,18,FALSE))</f>
        <v>1</v>
      </c>
      <c r="N16" s="1703">
        <f>S16*qh*IF(J16="",0,MIN(J16,IF(J17&lt;&gt;"",J17,J16))*S16)/100+T16*qw*IF(L16="",0,MIN(L16,IF(L17&lt;&gt;"",L17,L16))*T16)/100</f>
        <v>0</v>
      </c>
      <c r="O16" s="607">
        <f>IF(I16=0,0,N16/I16)</f>
        <v>0</v>
      </c>
      <c r="P16" s="607">
        <f>IF(R16=2,0,O16*R16)</f>
        <v>0</v>
      </c>
      <c r="Q16" s="608">
        <f>IF(AC16,-G17*G18/EBF,IF(U16,-N16/I16*G17,IF(R16=2,N16/I16,0)))</f>
        <v>0</v>
      </c>
      <c r="R16" s="599">
        <f>INDEX(Standardwerte!$Z$108:$Z$155,M16,1)</f>
        <v>0</v>
      </c>
      <c r="S16" s="595">
        <f>INDEX(Standardwerte!$AB$108:$AB$155,M16,1)</f>
        <v>0</v>
      </c>
      <c r="T16" s="603">
        <f>INDEX(Standardwerte!$AA$108:$AA$155,M16,1)</f>
        <v>0</v>
      </c>
      <c r="U16" s="702" t="b">
        <f>INDEX(Standardwerte!$AF$108:$AF$155,M16,1)</f>
        <v>0</v>
      </c>
      <c r="V16" s="1918">
        <f>IF(U16,AB17,INDEX(Standardwerte!$X$108:$X$155,M16,1)-IF(OR(M16=36,M16=35),MAX((F18-30)/3,0),0))</f>
        <v>0</v>
      </c>
      <c r="W16" s="608">
        <f>IF(U16,AB17,INDEX(Standardwerte!$Y$108:$Y$155,M16,1)-IF(OR(M16=36,M16=35),MAX((F18-30)/3,0),0))</f>
        <v>0</v>
      </c>
      <c r="X16" s="2197">
        <f>IF(G17&gt;0,IF(Hoehe&lt;800,(440/((1/G17)+610/(EBF*(qw+qh)))/G17),(490/((1/G17)+610/(EBF*(qw+qh)))/G17)),)</f>
        <v>0</v>
      </c>
      <c r="Y16" s="2198"/>
      <c r="Z16" s="607">
        <f>IF(G17&gt;0,IF(qw&gt;0,IF(Hoehe&lt;800,(640/((1/G17)+380/(EBF*qw))/G17),(700/((1/G17)+380/(EBF*qw))/G17)),),)</f>
        <v>0</v>
      </c>
      <c r="AA16" s="603"/>
      <c r="AB16" s="599">
        <f>IF(U16,IF(G17&gt;0.5,1,0),0)</f>
        <v>0</v>
      </c>
      <c r="AC16" s="1449" t="b">
        <f>INDEX(Standardwerte!$AG$108:$AG$155,M16,1)</f>
        <v>0</v>
      </c>
      <c r="AD16" s="1926" t="b">
        <f>(Q16&lt;0)</f>
        <v>0</v>
      </c>
      <c r="AE16" s="1927" t="s">
        <v>3720</v>
      </c>
      <c r="AF16" s="1927" t="s">
        <v>3720</v>
      </c>
      <c r="AG16" s="1927" t="s">
        <v>3720</v>
      </c>
      <c r="AH16" s="764"/>
      <c r="AJ16" s="1461" t="s">
        <v>2282</v>
      </c>
      <c r="AK16" s="1453">
        <f>INDEX(Standardwerte!$AP$108:$AP$155,M16,1)</f>
        <v>0</v>
      </c>
      <c r="AL16" s="1454">
        <f>IF(WirkungsgradC&gt;0,AK16*WaermebedarfC/WirkungsgradC,0)</f>
        <v>0</v>
      </c>
      <c r="AM16" s="1461" t="s">
        <v>2282</v>
      </c>
      <c r="AN16" s="1510">
        <f>IF(AND(M16=15,G17&lt;0.35),1,1-INDEX(Standardwerte!$AS$108:$AS$155,Nachweis!M16,1))</f>
        <v>1</v>
      </c>
    </row>
    <row r="17" spans="1:40" s="593" customFormat="1" ht="14.1" customHeight="1">
      <c r="A17" s="1640" t="s">
        <v>418</v>
      </c>
      <c r="B17" s="2252" t="str">
        <f>IF(INDEX(Standardwerte!$AD$108:$AD$155,M16,1)=0,"",INDEX(Standardwerte!$AD$108:$AD$155,M16,1))</f>
        <v/>
      </c>
      <c r="C17" s="2253"/>
      <c r="D17" s="2253"/>
      <c r="E17" s="2253"/>
      <c r="F17" s="1924">
        <f>IF(M16=35,IF(G17="",0,MIN(G17,5)),0)</f>
        <v>0</v>
      </c>
      <c r="G17" s="1936"/>
      <c r="H17" s="2188" t="str">
        <f>IF(AB16=1,"Deckungs-grad Soll-wert &lt; 0.5","")</f>
        <v/>
      </c>
      <c r="I17" s="680"/>
      <c r="J17" s="731">
        <f>IF(M16=36,MAX(AG19,0),IF(EBF&gt;0,IF(M16=33,Y19,IF(M16=31,AA19,"")),0))</f>
        <v>0</v>
      </c>
      <c r="K17" s="732"/>
      <c r="L17" s="733" t="str">
        <f>IF(M16=36,MAX(AF19,0),IF(M16=35,MAX(AE19,0),IF(M16=32,Z19,IF(M16=33,X19,""))))</f>
        <v/>
      </c>
      <c r="M17" s="1651" t="str">
        <f>IF(INDEX(Standardwerte!$AD$108:$AD$155,M16,1)=0,"",INDEX(Standardwerte!$AL$108:$AL$155,M16,1))</f>
        <v/>
      </c>
      <c r="N17" s="600"/>
      <c r="O17" s="600"/>
      <c r="P17" s="600"/>
      <c r="Q17" s="601"/>
      <c r="R17" s="602"/>
      <c r="S17" s="610"/>
      <c r="T17" s="609"/>
      <c r="U17" s="609"/>
      <c r="V17" s="609"/>
      <c r="W17" s="611"/>
      <c r="X17" s="612">
        <f>IF(G18&lt;&gt;0,G18,X16)</f>
        <v>0</v>
      </c>
      <c r="Y17" s="613">
        <f>IF(Hoehe&lt;800,(440-X16)/610*100,(490-X16)/610*100)</f>
        <v>72.131147540983605</v>
      </c>
      <c r="Z17" s="614">
        <f>IF(G18&lt;&gt;0,G18,Z16)</f>
        <v>0</v>
      </c>
      <c r="AA17" s="601">
        <f>IF(G18&gt;0,G18,0)</f>
        <v>0</v>
      </c>
      <c r="AB17" s="615">
        <f>IF(H16="",IF(M16=15,Standardwerte!$X$122-G17,Standardwerte!$X$123-G17),AB18)</f>
        <v>0.7</v>
      </c>
      <c r="AC17" s="755"/>
      <c r="AD17" s="1919"/>
      <c r="AE17" s="1928" t="str">
        <f>IF(M16=35,F17*Eingaben!$K$42,"")</f>
        <v/>
      </c>
      <c r="AF17" s="600" t="str">
        <f>IF(M16=36,G17,"")</f>
        <v/>
      </c>
      <c r="AG17" s="1932" t="str">
        <f>IF(M16=36,AF17-qw*EBF*L17/100,"")</f>
        <v/>
      </c>
      <c r="AH17" s="764"/>
      <c r="AK17" s="1453"/>
      <c r="AL17" s="1454"/>
      <c r="AM17" s="1461" t="s">
        <v>2592</v>
      </c>
      <c r="AN17" s="1509">
        <f>J16/100</f>
        <v>0</v>
      </c>
    </row>
    <row r="18" spans="1:40" s="593" customFormat="1" ht="14.1" customHeight="1">
      <c r="A18" s="1654" t="s">
        <v>419</v>
      </c>
      <c r="B18" s="2195" t="str">
        <f>IF(INDEX(Standardwerte!$AD$108:$AE$155,M16,2)=0,"",INDEX(Standardwerte!$AD$108:$AE$155,M16,2))</f>
        <v/>
      </c>
      <c r="C18" s="2196"/>
      <c r="D18" s="2196"/>
      <c r="E18" s="2196"/>
      <c r="F18" s="1925" t="str">
        <f>IF(OR(M16=35,M16=36),IF(G18="",32,MIN(G18,45)),IF(M16=33,IF(G18&gt;0,G18,X16),IF(M16=32,IF(G18&gt;0,G18,Z16),"")))</f>
        <v/>
      </c>
      <c r="G18" s="828"/>
      <c r="H18" s="2189"/>
      <c r="I18" s="680"/>
      <c r="J18" s="2199" t="str">
        <f>IF(AND(J17&gt;0,J17&lt;&gt;""),IF(J16&gt;J17+0.1,"Deckungsgrad zu hoch",""),"")</f>
        <v/>
      </c>
      <c r="K18" s="734"/>
      <c r="L18" s="2201" t="str">
        <f>IF(AND(L17&gt;0,L17&lt;&gt;""),IF(L16&gt;L17+0.1,"Deckungsgrad zu hoch",""),"")</f>
        <v/>
      </c>
      <c r="M18" s="1645"/>
      <c r="N18" s="600"/>
      <c r="O18" s="600"/>
      <c r="P18" s="600"/>
      <c r="Q18" s="601"/>
      <c r="R18" s="602"/>
      <c r="S18" s="610"/>
      <c r="T18" s="609"/>
      <c r="U18" s="609"/>
      <c r="V18" s="609"/>
      <c r="W18" s="611"/>
      <c r="X18" s="612">
        <f>IF(qw&gt;0,IF(EBF&gt;0,IF((qh+qw)=0,,IF(AND(G17&gt;0,G18&gt;0),MIN(100/qw*X17*G17/EBF,100),IF(G17&gt;0,MIN(70,Y17*(qw+qh)/qw),))),),0)</f>
        <v>0</v>
      </c>
      <c r="Y18" s="613">
        <f>IF(EBF&gt;0,IF(AND(G17&gt;0,X17&gt;0),MIN(100/qh*(X17*G17/EBF-X19/100*qw),100),IF(X18&lt;70,0,IF(AND(G17&gt;0,G18&gt;0),G17*X17/EBF,((qw+qh)*Y17/100-qw*0.7)/qh))*100),)</f>
        <v>0</v>
      </c>
      <c r="Z18" s="614">
        <f>IF(EBF&gt;0,IF(G17&gt;0,IF(qw&gt;0,IF(G18&lt;&gt;0,MIN(100/qw*Z17*G17/EBF,80),MIN(IF(Hoehe&lt;800,((640-Z16)/380*100),((700-Z16)/380*100)),80)),0),)*T16,)</f>
        <v>0</v>
      </c>
      <c r="AA18" s="613">
        <f>IF(qh&gt;0,IF((100/qh*AA17*G17/EBF)&gt;100,100,(100/qh*AA17*G17/EBF)),0)*S16</f>
        <v>0</v>
      </c>
      <c r="AB18" s="615">
        <f>IF(M16=15,Standardwerte!$Y$122-G17,Standardwerte!$Y$123-G17)</f>
        <v>0.9</v>
      </c>
      <c r="AC18" s="755"/>
      <c r="AD18" s="1919"/>
      <c r="AE18" s="1931">
        <f>IF(AND(qw&gt;0,EBF&gt;0,AE17&lt;&gt;""),AE17/qw/EBF,0)</f>
        <v>0</v>
      </c>
      <c r="AF18" s="1931">
        <f>IF(AND(qw&gt;0,EBF&gt;0,AF17&lt;&gt;""),AF17/qw/EBF,0)</f>
        <v>0</v>
      </c>
      <c r="AG18" s="1937">
        <f>IF(AND(qh&gt;0,EBF&gt;0,AF17&lt;&gt;""),MIN(AG17/qh/EBF/2,1),0)</f>
        <v>0</v>
      </c>
      <c r="AH18" s="764"/>
      <c r="AK18" s="1453"/>
      <c r="AL18" s="1454"/>
      <c r="AM18" s="1461" t="s">
        <v>2593</v>
      </c>
      <c r="AN18" s="1509">
        <f>L16/100</f>
        <v>0</v>
      </c>
    </row>
    <row r="19" spans="1:40" s="593" customFormat="1" ht="15.95" customHeight="1">
      <c r="A19" s="1640" t="s">
        <v>420</v>
      </c>
      <c r="B19" s="695" t="str">
        <f>Uebersetzung!D262</f>
        <v>Wärmeerzeugung D</v>
      </c>
      <c r="C19" s="700"/>
      <c r="D19" s="700"/>
      <c r="E19" s="676"/>
      <c r="F19" s="676"/>
      <c r="G19" s="676"/>
      <c r="H19" s="2190"/>
      <c r="I19" s="676"/>
      <c r="J19" s="2200"/>
      <c r="K19" s="734"/>
      <c r="L19" s="2202"/>
      <c r="M19" s="1645"/>
      <c r="N19" s="606"/>
      <c r="O19" s="606"/>
      <c r="P19" s="606"/>
      <c r="Q19" s="605"/>
      <c r="R19" s="618"/>
      <c r="S19" s="616"/>
      <c r="T19" s="617"/>
      <c r="U19" s="617"/>
      <c r="V19" s="617"/>
      <c r="W19" s="619"/>
      <c r="X19" s="620">
        <f>IF(G17&gt;0,IF(L16&lt;&gt;0,MIN(X18,L16),IF(AND(G18&lt;&gt;0,L16&lt;&gt;0),L16,X18)),)*T16</f>
        <v>0</v>
      </c>
      <c r="Y19" s="621">
        <f>IF(J16&lt;&gt;0,MIN(Y18,J16),IF(AND(G18&lt;&gt;0,J16&lt;&gt;0),J16,Y18))*S16</f>
        <v>0</v>
      </c>
      <c r="Z19" s="622">
        <f>IF(G17&gt;0,IF(L16&lt;&gt;0,MIN(L16,Z18),IF(AND(G18&lt;&gt;0,L16&lt;&gt;0),L16,Z18)),)*T16</f>
        <v>0</v>
      </c>
      <c r="AA19" s="621">
        <f>IF(J16&lt;&gt;0,MIN(AA18,J16),AA18)*S16</f>
        <v>0</v>
      </c>
      <c r="AB19" s="618"/>
      <c r="AC19" s="767"/>
      <c r="AD19" s="604"/>
      <c r="AE19" s="622">
        <f>IF($M16=35,MIN($L16,MIN(AE18,($F18-10)/50/3)*100),0)</f>
        <v>0</v>
      </c>
      <c r="AF19" s="622">
        <f>IF($M16=36,MIN($L16,MIN(AF18,($F18-10)/50)*100),0)</f>
        <v>0</v>
      </c>
      <c r="AG19" s="621">
        <f>IF($M16=36,MIN($J16,MIN(AG18,(($F18-30)/15))*100),0)</f>
        <v>0</v>
      </c>
      <c r="AH19" s="764"/>
      <c r="AK19" s="1453"/>
      <c r="AL19" s="1454"/>
      <c r="AN19" s="606"/>
    </row>
    <row r="20" spans="1:40" s="593" customFormat="1" ht="18" customHeight="1">
      <c r="A20" s="1654" t="s">
        <v>421</v>
      </c>
      <c r="B20" s="2203"/>
      <c r="C20" s="2204"/>
      <c r="D20" s="2204"/>
      <c r="E20" s="2204"/>
      <c r="F20" s="2204"/>
      <c r="G20" s="2205"/>
      <c r="H20" s="677"/>
      <c r="I20" s="678">
        <f>IF(H20&lt;&gt;"",IF(H20&gt;W20,W20,H20),V20)</f>
        <v>0</v>
      </c>
      <c r="J20" s="679"/>
      <c r="K20" s="824"/>
      <c r="L20" s="826"/>
      <c r="M20" s="1645">
        <f>IF(B20="",1,VLOOKUP(B20,Standardwerte!$T$108:$AK$155,18,FALSE))</f>
        <v>1</v>
      </c>
      <c r="N20" s="1703">
        <f>S20*qh*IF(J20="",0,MIN(J20,IF(J21&lt;&gt;"",J21,J20))*S20)/100+T20*qw*IF(L20="",0,MIN(L20,IF(L21&lt;&gt;"",L21,L20))*T20)/100</f>
        <v>0</v>
      </c>
      <c r="O20" s="607">
        <f>IF(I20=0,0,N20/I20)</f>
        <v>0</v>
      </c>
      <c r="P20" s="607">
        <f>IF(R20=2,0,O20*R20)</f>
        <v>0</v>
      </c>
      <c r="Q20" s="608">
        <f>IF(AC20,-G21*G22/EBF,IF(U20,-N20/I20*G21,IF(R20=2,N20/I20,0)))</f>
        <v>0</v>
      </c>
      <c r="R20" s="599">
        <f>INDEX(Standardwerte!$Z$108:$Z$155,M20,1)</f>
        <v>0</v>
      </c>
      <c r="S20" s="595">
        <f>INDEX(Standardwerte!$AB$108:$AB$155,M20,1)</f>
        <v>0</v>
      </c>
      <c r="T20" s="603">
        <f>INDEX(Standardwerte!$AA$108:$AA$155,M20,1)</f>
        <v>0</v>
      </c>
      <c r="U20" s="702" t="b">
        <f>INDEX(Standardwerte!$AF$108:$AF$155,M20,1)</f>
        <v>0</v>
      </c>
      <c r="V20" s="1918">
        <f>IF(U20,AB21,INDEX(Standardwerte!$X$108:$X$155,M20,1)-IF(OR(M20=36,M20=35),MAX((F22-30)/3,0),0))</f>
        <v>0</v>
      </c>
      <c r="W20" s="608">
        <f>IF(U20,AB21,INDEX(Standardwerte!$Y$108:$Y$155,M20,1)-IF(OR(M20=36,M20=35),MAX((F22-30)/3,0),0))</f>
        <v>0</v>
      </c>
      <c r="X20" s="2197">
        <f>IF(G21&gt;0,IF(Hoehe&lt;800,(440/((1/G21)+610/(EBF*(qw+qh)))/G21),(490/((1/G21)+610/(EBF*(qw+qh)))/G21)),)</f>
        <v>0</v>
      </c>
      <c r="Y20" s="2198"/>
      <c r="Z20" s="614">
        <f>IF(G21&gt;0,IF(qw&gt;0,IF(Hoehe&lt;800,(640/((1/G21)+380/(EBF*qw))/G21),(700/((1/G21)+380/(EBF*qw))/G21)),),)</f>
        <v>0</v>
      </c>
      <c r="AA20" s="601"/>
      <c r="AB20" s="599">
        <f>IF(U20,IF(G21&gt;0.5,1,0),0)</f>
        <v>0</v>
      </c>
      <c r="AC20" s="603" t="b">
        <f>INDEX(Standardwerte!$AG$108:$AG$155,M20,1)</f>
        <v>0</v>
      </c>
      <c r="AD20" s="1919" t="b">
        <f>(Q20&lt;0)</f>
        <v>0</v>
      </c>
      <c r="AE20" s="1927" t="s">
        <v>3720</v>
      </c>
      <c r="AF20" s="1927" t="s">
        <v>3720</v>
      </c>
      <c r="AG20" s="1927" t="s">
        <v>3720</v>
      </c>
      <c r="AH20" s="764"/>
      <c r="AJ20" s="1461" t="s">
        <v>2283</v>
      </c>
      <c r="AK20" s="1453">
        <f>INDEX(Standardwerte!$AP$108:$AP$155,M20,1)</f>
        <v>0</v>
      </c>
      <c r="AL20" s="1453">
        <f>IF(WirkungsgradD&gt;0,AK20*WaermebedarfD/WirkungsgradD,0)</f>
        <v>0</v>
      </c>
      <c r="AM20" s="1461" t="s">
        <v>2283</v>
      </c>
      <c r="AN20" s="1509">
        <f>IF(AND(M20=15,G21&lt;0.35),1,1-INDEX(Standardwerte!$AS$108:$AS$155,Nachweis!M20,1))</f>
        <v>1</v>
      </c>
    </row>
    <row r="21" spans="1:40" s="593" customFormat="1" ht="14.1" customHeight="1">
      <c r="A21" s="1640" t="s">
        <v>422</v>
      </c>
      <c r="B21" s="2252" t="str">
        <f>IF(INDEX(Standardwerte!$AD$108:$AD$155,M20,1)=0,"",INDEX(Standardwerte!$AD$108:$AD$155,M20,1))</f>
        <v/>
      </c>
      <c r="C21" s="2253"/>
      <c r="D21" s="2253"/>
      <c r="E21" s="2253"/>
      <c r="F21" s="1924">
        <f>IF(M20=35,IF(G21="",0,MIN(G21,5)),0)</f>
        <v>0</v>
      </c>
      <c r="G21" s="829"/>
      <c r="H21" s="2188" t="str">
        <f>IF(AB20=1,"Deckungs-grad Soll-wert &lt; 0.5","")</f>
        <v/>
      </c>
      <c r="I21" s="682"/>
      <c r="J21" s="731">
        <f>IF(M20=36,MAX(AG23,0),IF(EBF&gt;0,IF(M20=33,Y23,IF(M20=31,AA23,"")),0))</f>
        <v>0</v>
      </c>
      <c r="K21" s="732"/>
      <c r="L21" s="733" t="str">
        <f>IF(M20=36,MAX(AF23,0),IF(M20=35,MAX(AE23,0),IF(M20=32,Z23,IF(M20=33,X23,""))))</f>
        <v/>
      </c>
      <c r="M21" s="1651" t="str">
        <f>IF(INDEX(Standardwerte!$AD$108:$AD$155,M20,1)=0,"",INDEX(Standardwerte!$AL$108:$AL$155,M20,1))</f>
        <v/>
      </c>
      <c r="N21" s="600"/>
      <c r="O21" s="600"/>
      <c r="P21" s="600"/>
      <c r="Q21" s="601"/>
      <c r="R21" s="602"/>
      <c r="S21" s="610"/>
      <c r="T21" s="609"/>
      <c r="U21" s="609"/>
      <c r="V21" s="609"/>
      <c r="W21" s="609"/>
      <c r="X21" s="612">
        <f>IF(G22&lt;&gt;0,G22,X20)</f>
        <v>0</v>
      </c>
      <c r="Y21" s="613">
        <f>IF(Hoehe&lt;800,(440-X20)/610*100,(490-X20)/610*100)</f>
        <v>72.131147540983605</v>
      </c>
      <c r="Z21" s="614">
        <f>IF(G22&lt;&gt;0,G22,Z20)</f>
        <v>0</v>
      </c>
      <c r="AA21" s="601">
        <f>IF(G22&gt;0,G22,0)</f>
        <v>0</v>
      </c>
      <c r="AB21" s="615">
        <f>IF(H20="",IF(M20=15,Standardwerte!$X$122-G21,Standardwerte!$X$123-G21),AB22)</f>
        <v>0.7</v>
      </c>
      <c r="AC21" s="609"/>
      <c r="AD21" s="1919"/>
      <c r="AE21" s="1928" t="str">
        <f>IF(M20=35,F21*Eingaben!$K$42,"")</f>
        <v/>
      </c>
      <c r="AF21" s="600" t="str">
        <f>IF(M20=36,G21,"")</f>
        <v/>
      </c>
      <c r="AG21" s="1932" t="str">
        <f>IF(M20=36,AF21-qw*EBF*L21/100,"")</f>
        <v/>
      </c>
      <c r="AH21" s="764"/>
      <c r="AK21" s="1453"/>
      <c r="AL21" s="1454"/>
      <c r="AM21" s="1461" t="s">
        <v>2592</v>
      </c>
      <c r="AN21" s="1509">
        <f>J20/100</f>
        <v>0</v>
      </c>
    </row>
    <row r="22" spans="1:40" s="593" customFormat="1" ht="14.1" customHeight="1">
      <c r="A22" s="1654" t="s">
        <v>423</v>
      </c>
      <c r="B22" s="2195" t="str">
        <f>IF(INDEX(Standardwerte!$AD$108:$AE$155,M20,2)=0,"",INDEX(Standardwerte!$AD$108:$AE$155,M20,2))</f>
        <v/>
      </c>
      <c r="C22" s="2196"/>
      <c r="D22" s="2196"/>
      <c r="E22" s="2196"/>
      <c r="F22" s="1925" t="str">
        <f>IF(OR(M20=35,M20=36),IF(G22="",32,MIN(G22,45)),IF(M20=33,IF(G22&gt;0,G22,X20),IF(M20=32,IF(G22&gt;0,G22,Z20),"")))</f>
        <v/>
      </c>
      <c r="G22" s="828"/>
      <c r="H22" s="2189"/>
      <c r="I22" s="680"/>
      <c r="J22" s="2199" t="str">
        <f>IF(AND(J21&gt;0,J21&lt;&gt;""),IF(J20&gt;J21+0.1,"Deckungsgrad zu hoch",""),"")</f>
        <v/>
      </c>
      <c r="K22" s="734"/>
      <c r="L22" s="2201" t="str">
        <f>IF(AND(L21&gt;0,L21&lt;&gt;""),IF(L20&gt;L21+0.1,"Deckungsgrad zu hoch",""),"")</f>
        <v/>
      </c>
      <c r="M22" s="1645"/>
      <c r="N22" s="600"/>
      <c r="O22" s="600"/>
      <c r="P22" s="600"/>
      <c r="Q22" s="601"/>
      <c r="R22" s="602"/>
      <c r="S22" s="610"/>
      <c r="T22" s="609"/>
      <c r="U22" s="609"/>
      <c r="V22" s="609"/>
      <c r="W22" s="609"/>
      <c r="X22" s="612">
        <f>IF(qw&gt;0,IF(EBF&gt;0,IF((qh+qw)=0,,IF(AND(G21&gt;0,G22&gt;0),MIN(100/qw*X21*G21/EBF,100),IF(G21&gt;0,MIN(70,Y21*(qw+qh)/qw),))),),0)</f>
        <v>0</v>
      </c>
      <c r="Y22" s="613">
        <f>IF(EBF&gt;0,IF(AND(G21&gt;0,X21&gt;0),MIN(100/qh*(X21*G21/EBF-X23/100*qw),100),IF(X22&lt;70,0,IF(AND(G21&gt;0,G22&gt;0),G21*X21/EBF,((qw+qh)*Y21/100-qw*0.7)/qh))*100),)</f>
        <v>0</v>
      </c>
      <c r="Z22" s="614">
        <f>IF(EBF&gt;0,IF(G21&gt;0,IF(qw&gt;0,IF(G22&lt;&gt;0,MIN(100/qw*Z21*G21/EBF,80),MIN(IF(Hoehe&lt;800,((640-Z20)/380*100),((700-Z20)/380*100)),80)),0),)*T20,)</f>
        <v>0</v>
      </c>
      <c r="AA22" s="613">
        <f>IF(qh&gt;0,IF((100/qh*AA21*G21/EBF)&gt;100,100,(100/qh*AA21*G21/EBF)),0)*S20</f>
        <v>0</v>
      </c>
      <c r="AB22" s="615">
        <f>IF(M20=15,Standardwerte!$Y$122-G21,Standardwerte!$Y$123-G21)</f>
        <v>0.9</v>
      </c>
      <c r="AC22" s="609"/>
      <c r="AD22" s="1919"/>
      <c r="AE22" s="1931">
        <f>IF(AND(qw&gt;0,EBF&gt;0,AE21&lt;&gt;""),AE21/qw/EBF,0)</f>
        <v>0</v>
      </c>
      <c r="AF22" s="1931">
        <f>IF(AND(qw&gt;0,EBF&gt;0,AF21&lt;&gt;""),AF21/qw/EBF,0)</f>
        <v>0</v>
      </c>
      <c r="AG22" s="1937">
        <f>IF(AND(qh&gt;0,EBF&gt;0,AF21&lt;&gt;""),MIN(AG21/qh/EBF/2,1),0)</f>
        <v>0</v>
      </c>
      <c r="AH22" s="764"/>
      <c r="AK22" s="1453"/>
      <c r="AL22" s="1454"/>
      <c r="AM22" s="1461" t="s">
        <v>2593</v>
      </c>
      <c r="AN22" s="1509">
        <f>L20/100</f>
        <v>0</v>
      </c>
    </row>
    <row r="23" spans="1:40" s="593" customFormat="1" ht="15.95" customHeight="1">
      <c r="A23" s="1640" t="s">
        <v>424</v>
      </c>
      <c r="B23" s="696" t="str">
        <f>Uebersetzung!D267</f>
        <v>Übertrag weitere Wärmeerzeugungen</v>
      </c>
      <c r="C23" s="708"/>
      <c r="D23" s="708"/>
      <c r="E23" s="676"/>
      <c r="F23" s="675"/>
      <c r="G23" s="675"/>
      <c r="H23" s="2190"/>
      <c r="I23" s="683"/>
      <c r="J23" s="2200"/>
      <c r="K23" s="734"/>
      <c r="L23" s="2202"/>
      <c r="M23" s="1645"/>
      <c r="N23" s="606"/>
      <c r="O23" s="606"/>
      <c r="P23" s="606"/>
      <c r="Q23" s="605"/>
      <c r="R23" s="618"/>
      <c r="S23" s="616"/>
      <c r="T23" s="617"/>
      <c r="U23" s="617"/>
      <c r="V23" s="617"/>
      <c r="W23" s="617"/>
      <c r="X23" s="620">
        <f>IF(G21&gt;0,IF(L20&lt;&gt;0,MIN(X22,L20),IF(AND(G22&lt;&gt;0,L20&lt;&gt;0),L20,X22)),)*T20</f>
        <v>0</v>
      </c>
      <c r="Y23" s="621">
        <f>IF(J20&lt;&gt;0,MIN(Y22,J20),IF(AND(G22&lt;&gt;0,J20&lt;&gt;0),J20,Y22))*S20</f>
        <v>0</v>
      </c>
      <c r="Z23" s="622">
        <f>IF(G21&gt;0,IF(L20&lt;&gt;0,MIN(L20,Z22),IF(AND(G22&lt;&gt;0,L20&lt;&gt;0),L20,Z22)),)*T20</f>
        <v>0</v>
      </c>
      <c r="AA23" s="621">
        <f>IF(J20&lt;&gt;0,MIN(AA22,J20),AA22)*S20</f>
        <v>0</v>
      </c>
      <c r="AB23" s="618"/>
      <c r="AC23" s="617"/>
      <c r="AD23" s="604"/>
      <c r="AE23" s="622">
        <f>IF($M20=35,MIN($L20,MIN(AE22,($F22-10)/50/3)*100),0)</f>
        <v>0</v>
      </c>
      <c r="AF23" s="622">
        <f>IF($M20=36,MIN($L20,MIN(AF22,($F22-10)/50)*100),0)</f>
        <v>0</v>
      </c>
      <c r="AG23" s="621">
        <f>IF($M20=36,MIN($J20,MIN(AG22,(($F22-30)/15))*100),0)</f>
        <v>0</v>
      </c>
      <c r="AH23" s="764"/>
      <c r="AK23" s="1453"/>
      <c r="AL23" s="1454"/>
      <c r="AN23" s="606"/>
    </row>
    <row r="24" spans="1:40" s="593" customFormat="1" ht="18" customHeight="1">
      <c r="A24" s="1654" t="s">
        <v>483</v>
      </c>
      <c r="B24" s="2256"/>
      <c r="C24" s="2257"/>
      <c r="D24" s="2257"/>
      <c r="E24" s="2257"/>
      <c r="F24" s="2257"/>
      <c r="G24" s="2257"/>
      <c r="H24" s="687"/>
      <c r="I24" s="680"/>
      <c r="J24" s="823"/>
      <c r="K24" s="824"/>
      <c r="L24" s="825"/>
      <c r="M24" s="1645"/>
      <c r="N24" s="725">
        <f>qh*J24/100+qw*L24/100</f>
        <v>0</v>
      </c>
      <c r="O24" s="599"/>
      <c r="P24" s="754">
        <f>U48</f>
        <v>0</v>
      </c>
      <c r="Q24" s="599">
        <f>U47</f>
        <v>0</v>
      </c>
      <c r="AA24" s="594"/>
      <c r="AD24" s="97"/>
      <c r="AE24" s="97"/>
      <c r="AF24" s="97"/>
      <c r="AG24" s="97"/>
      <c r="AH24" s="97"/>
      <c r="AK24" s="1453"/>
      <c r="AL24" s="1454"/>
      <c r="AM24" s="1461" t="s">
        <v>2597</v>
      </c>
      <c r="AN24" s="1509">
        <f>IF(EndenergieE&gt;0.2,MAX(MIN((EndenergieE+IF(StrombedarfE&lt;0.1,StrombedarfE,0))/IF(AN7&gt;0,(AN5*AN25+AN6*AN27),1),1),0),0)</f>
        <v>0</v>
      </c>
    </row>
    <row r="25" spans="1:40" s="593" customFormat="1" ht="15.95" customHeight="1">
      <c r="A25" s="1640" t="s">
        <v>803</v>
      </c>
      <c r="B25" s="688" t="str">
        <f>Uebersetzung!D268</f>
        <v>Zugeführte Elektrizität (ungewichtet)</v>
      </c>
      <c r="C25" s="709"/>
      <c r="D25" s="709"/>
      <c r="E25" s="684"/>
      <c r="F25" s="724" t="s">
        <v>672</v>
      </c>
      <c r="G25" s="1912"/>
      <c r="H25" s="687"/>
      <c r="I25" s="680"/>
      <c r="J25" s="681"/>
      <c r="K25" s="675"/>
      <c r="L25" s="680"/>
      <c r="M25" s="1645"/>
      <c r="N25" s="610"/>
      <c r="O25" s="602"/>
      <c r="P25" s="755"/>
      <c r="Q25" s="602"/>
      <c r="AA25" s="594"/>
      <c r="AD25" s="97"/>
      <c r="AE25" s="97"/>
      <c r="AF25" s="97"/>
      <c r="AG25" s="97"/>
      <c r="AH25" s="97"/>
      <c r="AJ25" s="1461" t="s">
        <v>2284</v>
      </c>
      <c r="AK25" s="1453">
        <f>THG_Strom</f>
        <v>0.13900000000000001</v>
      </c>
      <c r="AL25" s="1453">
        <f>AK25*StrombedarfE</f>
        <v>0</v>
      </c>
      <c r="AM25" s="1461" t="s">
        <v>2592</v>
      </c>
      <c r="AN25" s="1509">
        <f>J24/100</f>
        <v>0</v>
      </c>
    </row>
    <row r="26" spans="1:40" s="593" customFormat="1" ht="20.100000000000001" hidden="1" customHeight="1">
      <c r="A26" s="1654"/>
      <c r="B26" s="674"/>
      <c r="G26" s="1913"/>
      <c r="H26" s="687"/>
      <c r="I26" s="680"/>
      <c r="J26" s="681"/>
      <c r="K26" s="675"/>
      <c r="L26" s="680"/>
      <c r="M26" s="1648"/>
      <c r="N26" s="610"/>
      <c r="O26" s="602"/>
      <c r="P26" s="755"/>
      <c r="Q26" s="602"/>
      <c r="AA26" s="594"/>
      <c r="AD26" s="97"/>
      <c r="AE26" s="97"/>
      <c r="AF26" s="97"/>
      <c r="AG26" s="97"/>
      <c r="AH26" s="97"/>
      <c r="AK26" s="1453"/>
      <c r="AL26" s="1454"/>
      <c r="AM26" s="1461" t="s">
        <v>2593</v>
      </c>
      <c r="AN26" s="600"/>
    </row>
    <row r="27" spans="1:40" s="593" customFormat="1" ht="15.95" customHeight="1">
      <c r="A27" s="1640" t="s">
        <v>2963</v>
      </c>
      <c r="B27" s="697" t="str">
        <f>Uebersetzung!D269</f>
        <v>Zugeführte Energie (ohne Strom, gewichtet)</v>
      </c>
      <c r="C27" s="710"/>
      <c r="D27" s="710"/>
      <c r="E27" s="698"/>
      <c r="F27" s="557" t="s">
        <v>672</v>
      </c>
      <c r="G27" s="1914"/>
      <c r="H27" s="689"/>
      <c r="I27" s="690" t="str">
        <f>Uebersetzung!D270</f>
        <v>Deckungsgrad total:</v>
      </c>
      <c r="J27" s="685">
        <f>IF(J8="",0,MIN(J8,IF(J9&lt;&gt;"",J9,J8))*S8)+IF(J12="",0,MIN(J12,IF(J13&lt;&gt;"",J13,J12))*S12)+IF(J16="",0,MIN(J16,IF(J17&lt;&gt;"",J17,J16))*S16)+IF(J20="",0,MIN(J20,IF(J21&lt;&gt;"",J21,J20))*S20)+J24</f>
        <v>0</v>
      </c>
      <c r="K27" s="676"/>
      <c r="L27" s="686">
        <f>IF(L8="",0,MIN(L8,IF(L9&lt;&gt;"",L9,L8))*T8)+IF(L12="",0,MIN(L12,IF(L13&lt;&gt;"",L13,L12))*T12)+IF(L16="",0,MIN(L16,IF(L17&lt;&gt;"",L17,L16))*T16)+IF(L20="",0,MIN(L20,IF(L21&lt;&gt;"",L21,L20))*T20)+L24</f>
        <v>0</v>
      </c>
      <c r="M27" s="1648"/>
      <c r="N27" s="756">
        <f>SUM(N8:N24)</f>
        <v>0</v>
      </c>
      <c r="O27" s="758">
        <f>SUM(O8:O24)</f>
        <v>0</v>
      </c>
      <c r="P27" s="757">
        <f>SUM(P8:P24)</f>
        <v>0</v>
      </c>
      <c r="Q27" s="758">
        <f>SUM(Q8:Q24)</f>
        <v>0</v>
      </c>
      <c r="R27" s="97"/>
      <c r="S27" s="97"/>
      <c r="T27" s="97"/>
      <c r="U27" s="97"/>
      <c r="V27" s="97"/>
      <c r="W27" s="97"/>
      <c r="X27" s="97"/>
      <c r="Y27" s="97"/>
      <c r="Z27" s="97"/>
      <c r="AA27" s="97"/>
      <c r="AB27" s="97"/>
      <c r="AC27" s="97"/>
      <c r="AD27" s="97"/>
      <c r="AE27" s="97"/>
      <c r="AF27" s="1379"/>
      <c r="AG27" s="97"/>
      <c r="AH27" s="97"/>
      <c r="AJ27" s="1461" t="s">
        <v>2285</v>
      </c>
      <c r="AK27" s="1453">
        <f>THG_andere</f>
        <v>0.249</v>
      </c>
      <c r="AL27" s="1453">
        <f>EndenergieE*AK27</f>
        <v>0</v>
      </c>
      <c r="AM27" s="1461" t="s">
        <v>2593</v>
      </c>
      <c r="AN27" s="1509">
        <f>L24/100</f>
        <v>0</v>
      </c>
    </row>
    <row r="28" spans="1:40" ht="15.95" customHeight="1">
      <c r="B28" s="25"/>
      <c r="C28" s="25"/>
      <c r="D28" s="25"/>
      <c r="E28" s="25"/>
      <c r="F28" s="25"/>
      <c r="G28" s="25"/>
      <c r="H28" s="27"/>
      <c r="I28" s="2258" t="str">
        <f>IF(EBF_MUKEN&gt;0,IF(OR(DeckungsgradHeizung&lt;99.5,DeckungsgradHeizung&gt;100.5,AND(DeckungsgradWW&lt;99.5,qw&gt;0),AND(DeckungsgradWW&gt;100.5,qw&gt;0)),Uebersetzung!D308,),"")</f>
        <v/>
      </c>
      <c r="J28" s="2258"/>
      <c r="K28" s="2258"/>
      <c r="L28" s="2258"/>
      <c r="P28" s="1460" t="s">
        <v>2297</v>
      </c>
      <c r="Q28" s="1468">
        <f>SUMIF(AD8:AD20,TRUE,Q8:Q20)</f>
        <v>0</v>
      </c>
      <c r="R28" s="5" t="s">
        <v>2296</v>
      </c>
      <c r="AD28" s="97"/>
      <c r="AE28" s="97"/>
      <c r="AF28" s="97"/>
      <c r="AG28" s="97"/>
      <c r="AH28" s="97"/>
      <c r="AK28" s="1451"/>
      <c r="AL28" s="1452"/>
      <c r="AN28" s="1506"/>
    </row>
    <row r="29" spans="1:40" ht="21" customHeight="1">
      <c r="A29" s="1646"/>
      <c r="B29" s="135" t="str">
        <f>Uebersetzung!D271</f>
        <v>Gebäudedaten, Lüftung und Grenzwert:</v>
      </c>
      <c r="C29" s="711"/>
      <c r="D29" s="711"/>
      <c r="E29" s="226"/>
      <c r="F29" s="227"/>
      <c r="G29" s="691">
        <v>1</v>
      </c>
      <c r="H29" s="692">
        <v>2</v>
      </c>
      <c r="I29" s="691">
        <v>3</v>
      </c>
      <c r="J29" s="691">
        <v>4</v>
      </c>
      <c r="K29" s="127"/>
      <c r="L29" s="1490" t="str">
        <f>Uebersetzung!D272</f>
        <v xml:space="preserve">Total/Mittel </v>
      </c>
      <c r="P29" s="1731" t="s">
        <v>728</v>
      </c>
      <c r="Q29" s="1732" t="b">
        <f>IF(OR(Q28&lt;-7.5,(_EBF1+_EBF2+_EBF3+_EBF4)*Q28/750&lt;-30),TRUE,FALSE)</f>
        <v>0</v>
      </c>
      <c r="AK29" s="1451"/>
      <c r="AL29" s="1452"/>
      <c r="AN29" s="1467"/>
    </row>
    <row r="30" spans="1:40" ht="18" hidden="1" customHeight="1">
      <c r="A30" s="1646" t="s">
        <v>403</v>
      </c>
      <c r="B30" s="641" t="s">
        <v>647</v>
      </c>
      <c r="C30" s="102"/>
      <c r="D30" s="102"/>
      <c r="E30" s="642"/>
      <c r="F30" s="643" t="str">
        <f>Standardwerte!C4</f>
        <v xml:space="preserve"> </v>
      </c>
      <c r="G30" s="228" t="str">
        <f>Standardwerte!K4</f>
        <v/>
      </c>
      <c r="H30" s="228" t="str">
        <f>Standardwerte!M4</f>
        <v/>
      </c>
      <c r="I30" s="228" t="str">
        <f>Standardwerte!O4</f>
        <v/>
      </c>
      <c r="J30" s="229" t="str">
        <f>Standardwerte!Q4</f>
        <v/>
      </c>
      <c r="K30" s="646"/>
      <c r="L30" s="404" t="str">
        <f>IF(BadMisch,"o. Hallenb.","")</f>
        <v/>
      </c>
      <c r="AK30" s="1451"/>
      <c r="AL30" s="1452"/>
      <c r="AN30" s="1467"/>
    </row>
    <row r="31" spans="1:40" ht="18" hidden="1" customHeight="1">
      <c r="A31" s="1646" t="s">
        <v>404</v>
      </c>
      <c r="B31" s="295" t="s">
        <v>485</v>
      </c>
      <c r="C31" s="712"/>
      <c r="D31" s="712"/>
      <c r="E31" s="642"/>
      <c r="F31" s="50"/>
      <c r="G31" s="128" t="str">
        <f>Standardwerte!S43</f>
        <v/>
      </c>
      <c r="H31" s="128" t="str">
        <f>Standardwerte!S44</f>
        <v/>
      </c>
      <c r="I31" s="128" t="str">
        <f>Standardwerte!S45</f>
        <v/>
      </c>
      <c r="J31" s="647" t="str">
        <f>Standardwerte!S46</f>
        <v/>
      </c>
      <c r="K31" s="648"/>
      <c r="L31" s="649"/>
      <c r="AK31" s="1451"/>
      <c r="AL31" s="1452"/>
      <c r="AN31" s="1467"/>
    </row>
    <row r="32" spans="1:40" ht="18" hidden="1" customHeight="1">
      <c r="A32" s="1646" t="s">
        <v>405</v>
      </c>
      <c r="B32" s="295" t="s">
        <v>493</v>
      </c>
      <c r="C32" s="712"/>
      <c r="D32" s="712"/>
      <c r="E32" s="642"/>
      <c r="F32" s="644" t="s">
        <v>321</v>
      </c>
      <c r="G32" s="120" t="str">
        <f>IF(_EBF1&gt;0,_EBF1,"")</f>
        <v/>
      </c>
      <c r="H32" s="128" t="str">
        <f>IF(_EBF2&gt;0,_EBF2,"")</f>
        <v/>
      </c>
      <c r="I32" s="120" t="str">
        <f>IF(_EBF3&gt;0,_EBF3,"")</f>
        <v/>
      </c>
      <c r="J32" s="120" t="str">
        <f>IF(_EBF4&gt;0,_EBF4,"")</f>
        <v/>
      </c>
      <c r="K32" s="648"/>
      <c r="L32" s="126" t="str">
        <f>IF(EBF&gt;0,EBF,"")</f>
        <v/>
      </c>
      <c r="AK32" s="1451"/>
      <c r="AL32" s="1452"/>
      <c r="AN32" s="1467"/>
    </row>
    <row r="33" spans="1:40" ht="18" hidden="1" customHeight="1">
      <c r="A33" s="1646" t="s">
        <v>406</v>
      </c>
      <c r="B33" s="295" t="str">
        <f>IF(minergiep=TRUE,"Qh-MP mit Standardluftwechsel","Qh mit Standardluftwechsel")</f>
        <v>Qh mit Standardluftwechsel</v>
      </c>
      <c r="C33" s="712"/>
      <c r="D33" s="712"/>
      <c r="E33" s="642"/>
      <c r="F33" s="50" t="s">
        <v>524</v>
      </c>
      <c r="G33" s="650" t="str">
        <f>IF(_qhs1&gt;0,_qhs1/3.6,"")</f>
        <v/>
      </c>
      <c r="H33" s="650" t="str">
        <f>IF(_qhs2&gt;0,_qhs2/3.6,"")</f>
        <v/>
      </c>
      <c r="I33" s="650" t="str">
        <f>IF(_qhs3&gt;0,_qhs3/3.6,"")</f>
        <v/>
      </c>
      <c r="J33" s="650" t="str">
        <f>IF(_qhs4&gt;0,_qhs4/3.6,"")</f>
        <v/>
      </c>
      <c r="K33" s="648"/>
      <c r="L33" s="651" t="str">
        <f>IF(AND(qhs&gt;0,EBF&gt;0),qhs/3.6,"")</f>
        <v/>
      </c>
      <c r="AK33" s="1451"/>
      <c r="AL33" s="1452"/>
      <c r="AN33" s="1467"/>
    </row>
    <row r="34" spans="1:40" ht="15.95" customHeight="1">
      <c r="A34" s="1646" t="s">
        <v>2964</v>
      </c>
      <c r="B34" s="1375" t="str">
        <f>IF(OR(minergiea,minergiep),Uebersetzung!D273,Uebersetzung!D274)</f>
        <v>Qh mit effektivem Luftwechsel</v>
      </c>
      <c r="C34" s="712"/>
      <c r="D34" s="712"/>
      <c r="E34" s="642"/>
      <c r="F34" s="50" t="s">
        <v>524</v>
      </c>
      <c r="G34" s="121">
        <f>IF(MUKEN,IF(G43=0,0,_qh1),_qh1)/3.6</f>
        <v>0</v>
      </c>
      <c r="H34" s="121">
        <f>IF(MUKEN,IF(H43=0,0,_qh2),_qh2)/3.6</f>
        <v>0</v>
      </c>
      <c r="I34" s="121">
        <f>IF(MUKEN,IF(I43=0,0,_qh3),_qh3)/3.6</f>
        <v>0</v>
      </c>
      <c r="J34" s="121">
        <f>IF(MUKEN,IF(J43=0,0,_qh4),_qh4)/3.6</f>
        <v>0</v>
      </c>
      <c r="K34" s="230"/>
      <c r="L34" s="133">
        <f>IF(MUKEN,IF(EBF_MUKEN&gt;0,(G34*_EBF1+H34*_EBF2+I34*_EBF3+J34*_EBF4)/EBF_MUKEN,0),qh)</f>
        <v>0</v>
      </c>
      <c r="M34" s="1649"/>
      <c r="N34" s="97"/>
      <c r="O34" s="97"/>
      <c r="AJ34" s="1460" t="s">
        <v>2286</v>
      </c>
      <c r="AK34" s="1451">
        <f>THG_Strom</f>
        <v>0.13900000000000001</v>
      </c>
      <c r="AL34" s="1452"/>
      <c r="AN34" s="1467"/>
    </row>
    <row r="35" spans="1:40" ht="15.95" customHeight="1">
      <c r="A35" s="1646" t="s">
        <v>425</v>
      </c>
      <c r="B35" s="1375" t="str">
        <f>Uebersetzung!D275</f>
        <v>Qww Wärmebedarf Warmwasser SIA 380/1</v>
      </c>
      <c r="C35" s="712"/>
      <c r="D35" s="712"/>
      <c r="E35" s="642"/>
      <c r="F35" s="50" t="s">
        <v>524</v>
      </c>
      <c r="G35" s="650">
        <f>IF(Eingaben!F17=$N$35,0,IF(G43=0,0,INDEX(Standardwerte!$L$9:$L$21,Kategorie1,1)/3.6))</f>
        <v>0</v>
      </c>
      <c r="H35" s="650">
        <f>IF(Eingaben!G17=$N$35,0,IF(H43=0,0,INDEX(Standardwerte!$L$9:$L$21,Kategorie2,1)/3.6))</f>
        <v>0</v>
      </c>
      <c r="I35" s="650">
        <f>IF(Eingaben!H17=$N$35,0,IF(I43=0,0,INDEX(Standardwerte!$L$9:$L$21,Kategorie3,1)/3.6))</f>
        <v>0</v>
      </c>
      <c r="J35" s="650">
        <f>IF(Eingaben!I17=$N$35,0,IF(J43=0,0,INDEX(Standardwerte!$L$9:$L$21,Kategorie4,1)/3.6))</f>
        <v>0</v>
      </c>
      <c r="K35" s="648"/>
      <c r="L35" s="651">
        <f>IF(MUKEN,IF(EBF_MUKEN&gt;0,(_qw1*_EBF1+_qw2*_EBF2+_qw3*_EBF3+_qw4*_EBF4)/EBF_MUKEN,0),IF(EBF&gt;0,(_qw1*_EBF1+_qw2*_EBF2+_qw3*_EBF3+_qw4*_EBF4)/EBF,0))</f>
        <v>0</v>
      </c>
      <c r="N35" s="1198" t="str">
        <f>Uebersetzung!D26</f>
        <v>Nein</v>
      </c>
      <c r="O35" s="97"/>
      <c r="Q35" s="1379"/>
      <c r="R35" s="905"/>
      <c r="AF35" s="1933"/>
      <c r="AK35" s="1451"/>
      <c r="AL35" s="1452"/>
      <c r="AN35" s="1467"/>
    </row>
    <row r="36" spans="1:40" ht="18" hidden="1" customHeight="1">
      <c r="A36" s="1646" t="s">
        <v>407</v>
      </c>
      <c r="B36" s="1376" t="s">
        <v>688</v>
      </c>
      <c r="C36" s="713"/>
      <c r="D36" s="713"/>
      <c r="E36" s="642"/>
      <c r="F36" s="591" t="s">
        <v>583</v>
      </c>
      <c r="G36" s="652">
        <f>_Vth1</f>
        <v>0</v>
      </c>
      <c r="H36" s="652">
        <f>_Vth2</f>
        <v>0</v>
      </c>
      <c r="I36" s="652">
        <f>_Vth3</f>
        <v>0</v>
      </c>
      <c r="J36" s="652">
        <f>_Vth4</f>
        <v>0</v>
      </c>
      <c r="K36" s="653"/>
      <c r="L36" s="654">
        <f>Vth</f>
        <v>0</v>
      </c>
      <c r="N36" s="97"/>
      <c r="O36" s="97"/>
      <c r="AK36" s="1451"/>
      <c r="AL36" s="1452"/>
      <c r="AN36" s="1467"/>
    </row>
    <row r="37" spans="1:40" ht="18" hidden="1" customHeight="1">
      <c r="A37" s="1646" t="s">
        <v>409</v>
      </c>
      <c r="B37" s="1376" t="s">
        <v>123</v>
      </c>
      <c r="C37" s="713"/>
      <c r="D37" s="713"/>
      <c r="E37" s="642"/>
      <c r="F37" s="645"/>
      <c r="G37" s="655">
        <f>IF(Kategorie1&gt;1,Standardwerte!L25,)</f>
        <v>0</v>
      </c>
      <c r="H37" s="655">
        <f>IF(Kategorie2&gt;1,Standardwerte!P25,)</f>
        <v>0</v>
      </c>
      <c r="I37" s="655">
        <f>IF(Kategorie3&gt;1,Standardwerte!L29,)</f>
        <v>0</v>
      </c>
      <c r="J37" s="655">
        <f>IF(Kategorie4&gt;1,Standardwerte!P29,)</f>
        <v>0</v>
      </c>
      <c r="K37" s="648"/>
      <c r="L37" s="656"/>
      <c r="N37" s="97"/>
      <c r="O37" s="97"/>
      <c r="AK37" s="1451"/>
      <c r="AL37" s="1452"/>
      <c r="AN37" s="1467"/>
    </row>
    <row r="38" spans="1:40" ht="18" hidden="1" customHeight="1">
      <c r="A38" s="1646" t="s">
        <v>410</v>
      </c>
      <c r="B38" s="1376" t="s">
        <v>484</v>
      </c>
      <c r="C38" s="713"/>
      <c r="D38" s="713"/>
      <c r="E38" s="642"/>
      <c r="F38" s="645"/>
      <c r="G38" s="655">
        <f>IF(Kategorie1&gt;1,IF(abgabe1&gt;0,INDEX(Standardwerte!$AE$23:$AE$29,abgabe1,1),),)</f>
        <v>0</v>
      </c>
      <c r="H38" s="655">
        <f>IF(Kategorie2&gt;1,IF(abgabe2&gt;0,INDEX(Standardwerte!$AE$23:$AE$29,abgabe2,1),),)</f>
        <v>0</v>
      </c>
      <c r="I38" s="655">
        <f>IF(Kategorie3&gt;1,IF(abgabe3&gt;0,INDEX(Standardwerte!$AE$23:$AE$29,abgabe3,1),),)</f>
        <v>0</v>
      </c>
      <c r="J38" s="655">
        <f>IF(Kategorie4&gt;1,IF(abgabe4&gt;0,INDEX(Standardwerte!$AE$23:$AE$29,abgabe4,1),),)</f>
        <v>0</v>
      </c>
      <c r="K38" s="648"/>
      <c r="L38" s="656"/>
      <c r="N38" s="97"/>
      <c r="O38" s="97"/>
      <c r="AK38" s="1451"/>
      <c r="AL38" s="1452"/>
      <c r="AN38" s="1467"/>
    </row>
    <row r="39" spans="1:40" ht="15.95" customHeight="1">
      <c r="A39" s="1646" t="s">
        <v>427</v>
      </c>
      <c r="B39" s="1376" t="str">
        <f>Uebersetzung!D276</f>
        <v>Strombedarf Lüftungsanlage</v>
      </c>
      <c r="C39" s="713"/>
      <c r="D39" s="713"/>
      <c r="E39" s="642"/>
      <c r="F39" s="50" t="s">
        <v>524</v>
      </c>
      <c r="G39" s="650">
        <f>IF(ISERROR(_Qe1),0,IF(MUKEN,IF(Neubau1=3,0,_Qe1),_Qe1))</f>
        <v>0</v>
      </c>
      <c r="H39" s="650">
        <f>IF(ISERROR(_Qe2),0,IF(MUKEN,IF(Neubau2=3,0,_Qe2),_Qe2))</f>
        <v>0</v>
      </c>
      <c r="I39" s="650">
        <f>IF(ISERROR(_Qe3),0,IF(MUKEN,IF(Neubau3=3,0,_Qe3),_Qe3))</f>
        <v>0</v>
      </c>
      <c r="J39" s="650">
        <f>IF(ISERROR(_Qe4),0,IF(MUKEN,IF(Neubau4=3,0,_Qe4),_Qe4))</f>
        <v>0</v>
      </c>
      <c r="K39" s="1463"/>
      <c r="L39" s="133">
        <f>IF(ISERROR(Qe),"",IF(MUKEN,IF(EBF_MUKEN&gt;0,(G39*_EBF1+H39*_EBF2+I39*_EBF3+J39*_EBF4)/EBF_MUKEN,0),Qe))</f>
        <v>0</v>
      </c>
      <c r="N39" s="97"/>
      <c r="O39" s="97"/>
      <c r="R39" s="5"/>
      <c r="AJ39" s="1460" t="s">
        <v>681</v>
      </c>
      <c r="AK39" s="1451">
        <f>THG_Strom</f>
        <v>0.13900000000000001</v>
      </c>
      <c r="AL39" s="1451">
        <f>IF(L39&lt;&gt;"",L39*AK39,0)</f>
        <v>0</v>
      </c>
      <c r="AN39" s="1467"/>
    </row>
    <row r="40" spans="1:40" ht="15.95" customHeight="1">
      <c r="A40" s="1646" t="s">
        <v>428</v>
      </c>
      <c r="B40" s="1376" t="str">
        <f>IF(minergiep,Uebersetzung!D277,Uebersetzung!D278)</f>
        <v>Strombedarf für Klima + Hilfsbetriebe</v>
      </c>
      <c r="C40" s="713"/>
      <c r="D40" s="713"/>
      <c r="E40" s="642"/>
      <c r="F40" s="50" t="s">
        <v>524</v>
      </c>
      <c r="G40" s="121">
        <f>IF(MUKEN,IF(G43=0,0,E_Qk1),E_Qk1)</f>
        <v>0</v>
      </c>
      <c r="H40" s="121">
        <f>IF(MUKEN,IF(H43=0,0,E_Qk2),E_Qk2)</f>
        <v>0</v>
      </c>
      <c r="I40" s="121">
        <f>IF(MUKEN,IF(I43=0,0,E_Qk3),E_Qk3)</f>
        <v>0</v>
      </c>
      <c r="J40" s="121">
        <f>IF(MUKEN,IF(J43=0,0,E_Qk4),E_Qk4)</f>
        <v>0</v>
      </c>
      <c r="K40" s="230"/>
      <c r="L40" s="133">
        <f>IF(MUKEN,IF(EBF_MUKEN&gt;0,(G40*_EBF1+H40*_EBF2+I40*_EBF3+J40*_EBF4)/EBF_MUKEN,0),E_Qk)</f>
        <v>0</v>
      </c>
      <c r="N40" s="97"/>
      <c r="O40" s="97"/>
      <c r="R40" s="905"/>
      <c r="AJ40" s="1460" t="s">
        <v>682</v>
      </c>
      <c r="AK40" s="1451">
        <f>THG_Strom</f>
        <v>0.13900000000000001</v>
      </c>
      <c r="AL40" s="1451">
        <f>IF(L40&lt;&gt;"",L40*AK40,0)</f>
        <v>0</v>
      </c>
      <c r="AN40" s="1467"/>
    </row>
    <row r="41" spans="1:40" ht="2.25" hidden="1" customHeight="1">
      <c r="A41" s="1646" t="s">
        <v>413</v>
      </c>
      <c r="B41" s="1376" t="str">
        <f>IF(minergiea,"Strombedarf Hilfsbetriebe",IF(minergiep,"Grenzwert","Grenzwert ohne Zuschläge"))</f>
        <v>Grenzwert ohne Zuschläge</v>
      </c>
      <c r="C41" s="714"/>
      <c r="D41" s="714"/>
      <c r="E41" s="642"/>
      <c r="F41" s="50" t="s">
        <v>524</v>
      </c>
      <c r="G41" s="121">
        <f>IF(minergiea,IF(_EBF1&gt;0,Eingaben!F43/_EBF1,0),IF(minergiep,Standardwerte!J74,MAX(IF(Neubau1=2,INDEX(Standardwerte!$P$9:$Q$21,Kategorie1,1),IF(Neubau1=3,INDEX(Standardwerte!$P$9:$Q$21,Kategorie1,2),0))-Standardwerte!J107,0)))</f>
        <v>0</v>
      </c>
      <c r="H41" s="121">
        <f>IF(minergiea,IF(_EBF2&gt;0,Eingaben!G43/_EBF2,0),IF(minergiep,Standardwerte!J75,MAX(IF(Neubau2=2,INDEX(Standardwerte!$P$9:$Q$21,Kategorie2,1),IF(Neubau2=3,INDEX(Standardwerte!$P$9:$Q$21,Kategorie2,2),0))-Standardwerte!K107,0)))</f>
        <v>0</v>
      </c>
      <c r="I41" s="121">
        <f>IF(minergiea,IF(_EBF3&gt;0,Eingaben!H43/_EBF3,0),IF(minergiep,Standardwerte!J76,MAX(IF(Neubau3=2,INDEX(Standardwerte!$P$9:$Q$21,Kategorie3,1),IF(Neubau3=3,INDEX(Standardwerte!$P$9:$Q$21,Kategorie3,2),0))-Standardwerte!L107,0)))</f>
        <v>0</v>
      </c>
      <c r="J41" s="121">
        <f>IF(minergiea,IF(_EBF4&gt;0,Eingaben!I43/_EBF4,0),IF(minergiep,Standardwerte!J77,MAX(IF(Neubau4=2,INDEX(Standardwerte!$P$9:$Q$21,Kategorie4,1),IF(Neubau4=3,INDEX(Standardwerte!$P$9:$Q$21,Kategorie4,2),0))-Standardwerte!M107,0)))</f>
        <v>0</v>
      </c>
      <c r="K41" s="231"/>
      <c r="L41" s="133">
        <f>IF(EBF&gt;0,(G41*_EBF1+H41*_EBF2+I41*_EBF3+J41*_EBF4)/EBF,)</f>
        <v>0</v>
      </c>
      <c r="N41" s="97"/>
      <c r="O41" s="97"/>
      <c r="AJ41" s="906"/>
      <c r="AK41" s="1451"/>
      <c r="AL41" s="1452"/>
      <c r="AN41" s="1467"/>
    </row>
    <row r="42" spans="1:40" ht="2.25" hidden="1" customHeight="1">
      <c r="A42" s="1646" t="s">
        <v>414</v>
      </c>
      <c r="B42" s="1376" t="str">
        <f>IF(OR(minergiea,minergiep),"","Klima- und Verschattungszuschlag")</f>
        <v>Klima- und Verschattungszuschlag</v>
      </c>
      <c r="C42" s="714"/>
      <c r="D42" s="714"/>
      <c r="E42" s="642"/>
      <c r="F42" s="50" t="str">
        <f>IF(OR(minergiea,minergiep),"","kWh/m2")</f>
        <v>kWh/m2</v>
      </c>
      <c r="G42" s="232">
        <f>IF(OR(minergiea,minergiep),0,klima1+Standardwerte!J67)</f>
        <v>0</v>
      </c>
      <c r="H42" s="232">
        <f>IF(OR(minergiea,minergiep),0,klima2+Standardwerte!J68)</f>
        <v>0</v>
      </c>
      <c r="I42" s="232">
        <f>IF(OR(minergiea,minergiep),0,klima3+Standardwerte!J69)</f>
        <v>0</v>
      </c>
      <c r="J42" s="232">
        <f>IF(OR(minergiea,minergiep),0,klima4+Standardwerte!J70)</f>
        <v>0</v>
      </c>
      <c r="K42" s="231"/>
      <c r="L42" s="133">
        <f>IF(EBF&gt;0,(G42*_EBF1+H42*_EBF2+I42*_EBF3+J42*_EBF4)/EBF,)</f>
        <v>0</v>
      </c>
      <c r="N42" s="97"/>
      <c r="O42" s="97"/>
      <c r="AJ42" s="906"/>
      <c r="AK42" s="1451"/>
      <c r="AL42" s="1452"/>
      <c r="AN42" s="1467"/>
    </row>
    <row r="43" spans="1:40" ht="15.95" customHeight="1">
      <c r="A43" s="1646" t="s">
        <v>2965</v>
      </c>
      <c r="B43" s="1376" t="str">
        <f>IF(MUKEN,Uebersetzung!D279,Uebersetzung!D360)</f>
        <v>Grenzwert für Endenergiebedarf ohne PV</v>
      </c>
      <c r="C43" s="713"/>
      <c r="D43" s="713"/>
      <c r="E43" s="713"/>
      <c r="F43" s="50" t="s">
        <v>524</v>
      </c>
      <c r="G43" s="1358">
        <f>IF(MUKEN,IF(Neubau1=3,0,Standardwerte!N138),Standardwerte!N138+IF(AND(MUKEN=FALSE,Neubau1=3),Standardwerte!N139,0))</f>
        <v>0</v>
      </c>
      <c r="H43" s="1358">
        <f>IF(MUKEN,IF(Neubau2=3,0,Standardwerte!O138),Standardwerte!O138)+IF(AND(MUKEN=FALSE,Neubau2=3),Standardwerte!O139,0)</f>
        <v>0</v>
      </c>
      <c r="I43" s="1358">
        <f>IF(MUKEN,IF(Neubau3=3,0,Standardwerte!P138),Standardwerte!P138)+IF(AND(MUKEN=FALSE,Neubau3=3),Standardwerte!P139,0)</f>
        <v>0</v>
      </c>
      <c r="J43" s="1358">
        <f>IF(MUKEN,IF(Neubau4=3,0,Standardwerte!Q138),Standardwerte!Q138)+IF(AND(MUKEN=FALSE,Neubau4=3),Standardwerte!Q139,0)</f>
        <v>0</v>
      </c>
      <c r="K43" s="1357"/>
      <c r="L43" s="133">
        <f>IF(OR(EBF_MUKEN&gt;0,EBF&gt;0),(G43*_EBF1+H43*_EBF2+I43*_EBF3+J43*_EBF4)/IF(MUKEN,EBF_MUKEN,EBF),0)</f>
        <v>0</v>
      </c>
      <c r="N43" s="5" t="s">
        <v>3699</v>
      </c>
      <c r="O43" s="5"/>
      <c r="P43" s="5"/>
      <c r="AJ43" s="1456" t="s">
        <v>2287</v>
      </c>
      <c r="AK43" s="1451">
        <f>-THG_PV</f>
        <v>-0.13900000000000001</v>
      </c>
      <c r="AL43" s="1451">
        <f>IF(EBF&gt;0,AK43*MINERGIE!E55*MINERGIE!G55*(1-MINERGIE!I55)/EBF,0)</f>
        <v>0</v>
      </c>
      <c r="AM43" s="1460" t="s">
        <v>2605</v>
      </c>
      <c r="AN43" s="1509">
        <f>IF(AN7&gt;0,AN9*AN8+AN13*AN12+AN17*AN16+AN21*AN20+AN25*AN24,1)</f>
        <v>1</v>
      </c>
    </row>
    <row r="44" spans="1:40" ht="20.100000000000001" customHeight="1">
      <c r="A44" s="1646" t="s">
        <v>2966</v>
      </c>
      <c r="B44" s="1377" t="str">
        <f>Uebersetzung!D361</f>
        <v>Grenzwert für Minergie-Kennzahl MKZ</v>
      </c>
      <c r="C44" s="1359"/>
      <c r="D44" s="1359"/>
      <c r="E44" s="1359"/>
      <c r="F44" s="1360" t="s">
        <v>524</v>
      </c>
      <c r="G44" s="1361">
        <f>MINERGIE!V41</f>
        <v>0</v>
      </c>
      <c r="H44" s="1361">
        <f>MINERGIE!W41</f>
        <v>0</v>
      </c>
      <c r="I44" s="1361">
        <f>MINERGIE!X41</f>
        <v>0</v>
      </c>
      <c r="J44" s="1361">
        <f>MINERGIE!Y41</f>
        <v>0</v>
      </c>
      <c r="K44" s="1355"/>
      <c r="L44" s="1356">
        <f>IF(OR(EBF_MUKEN&gt;0,EBF&gt;0),(G44*_EBF1+H44*_EBF2+I44*_EBF3+J44*_EBF4)/EBF,0)</f>
        <v>0</v>
      </c>
      <c r="N44" s="787">
        <f>IF(AND(L24+J24=0,StrombedarfE+EndenergieE&gt;0),StrombedarfE*2+EndenergieE,0)</f>
        <v>0</v>
      </c>
      <c r="O44" s="937" t="s">
        <v>672</v>
      </c>
      <c r="P44" s="5"/>
      <c r="AJ44" s="1456" t="s">
        <v>2288</v>
      </c>
      <c r="AK44" s="1455">
        <f>THG_Strom</f>
        <v>0.13900000000000001</v>
      </c>
      <c r="AL44" s="1455">
        <f>(MINERGIE!S75-MINERGIE!S15-MINERGIE!S18+MINERGIE!S72)/2*AK44</f>
        <v>0</v>
      </c>
      <c r="AM44" s="1460" t="s">
        <v>2604</v>
      </c>
      <c r="AN44" s="1509">
        <f>IF(AN7&gt;0,AN10*AN8+AN14*AN12+AN18*AN16+AN22*AN20+AN27*AN24,1)</f>
        <v>1</v>
      </c>
    </row>
    <row r="45" spans="1:40" ht="21.95" customHeight="1">
      <c r="A45" s="1646"/>
      <c r="B45" s="987" t="str">
        <f>Uebersetzung!D280</f>
        <v>Wärmeerzeugung:</v>
      </c>
      <c r="C45" s="715"/>
      <c r="D45" s="715"/>
      <c r="E45" s="238" t="s">
        <v>242</v>
      </c>
      <c r="F45" s="2259" t="str">
        <f>Uebersetzung!D283</f>
        <v>Gewich-tung</v>
      </c>
      <c r="G45" s="2208" t="str">
        <f>Uebersetzung!D284</f>
        <v>Deckungsgrad</v>
      </c>
      <c r="H45" s="2209"/>
      <c r="I45" s="2261" t="str">
        <f>Uebersetzung!D285</f>
        <v>gew. Endenergie kWh/m2</v>
      </c>
      <c r="J45" s="2262"/>
      <c r="K45" s="106"/>
      <c r="L45" s="239" t="str">
        <f>Uebersetzung!D288</f>
        <v>Wärme</v>
      </c>
      <c r="AK45" s="1448" t="s">
        <v>691</v>
      </c>
      <c r="AL45" s="1462">
        <f>SUM(AL4:AL44)</f>
        <v>0</v>
      </c>
      <c r="AN45" s="1511">
        <f>IF(AN7&gt;0,(AN9*AN5*AN8+AN10*AN8*AN6+AN13*AN12*AN5+AN14*AN12*AN6+AN17*AN16*AN5+AN18*AN16*AN6+AN21*AN20*AN5+AN22*AN20*AN6+AN25*AN24*AN5+AN27*AN24*AN6)/AN7,1)</f>
        <v>1</v>
      </c>
    </row>
    <row r="46" spans="1:40" ht="14.1" customHeight="1">
      <c r="A46" s="1646"/>
      <c r="B46" s="225" t="str">
        <f>Uebersetzung!D281</f>
        <v>(Heizung + Warmwasser)</v>
      </c>
      <c r="C46" s="716"/>
      <c r="D46" s="716"/>
      <c r="E46" s="134" t="str">
        <f>Uebersetzung!D282</f>
        <v>oder JAZ</v>
      </c>
      <c r="F46" s="2260"/>
      <c r="G46" s="235" t="str">
        <f>J7</f>
        <v>Heizung</v>
      </c>
      <c r="H46" s="134" t="str">
        <f>L7</f>
        <v>Warmwasser</v>
      </c>
      <c r="I46" s="134" t="str">
        <f>Uebersetzung!D286</f>
        <v>Strom</v>
      </c>
      <c r="J46" s="134" t="str">
        <f>Uebersetzung!D287</f>
        <v>andere</v>
      </c>
      <c r="K46" s="104"/>
      <c r="L46" s="240" t="s">
        <v>160</v>
      </c>
      <c r="N46" s="753" t="s">
        <v>1845</v>
      </c>
      <c r="O46" s="1177" t="s">
        <v>1846</v>
      </c>
      <c r="R46" s="1899" t="s">
        <v>3708</v>
      </c>
    </row>
    <row r="47" spans="1:40" ht="15.95" customHeight="1">
      <c r="A47" s="1646" t="s">
        <v>2967</v>
      </c>
      <c r="B47" s="1375" t="str">
        <f>IF(_typ1=1,"",Standardwerte!U63)</f>
        <v/>
      </c>
      <c r="C47" s="712"/>
      <c r="D47" s="712"/>
      <c r="E47" s="293">
        <f>IF(WirkungsgradA&lt;&gt;"",IF(WirkungsgradA&gt;25,WirkungsgradA/100,WirkungsgradA),"")</f>
        <v>0</v>
      </c>
      <c r="F47" s="120">
        <f>_gew1</f>
        <v>0</v>
      </c>
      <c r="G47" s="236">
        <f>IF(J8="",0,MIN(J8,IF(J9&lt;&gt;"",J9,J8))*S8)/100</f>
        <v>0</v>
      </c>
      <c r="H47" s="233">
        <f>IF(qw&gt;0,IF(L8="",0,MIN(L8,IF(L9&lt;&gt;"",L9,L8))*T8)/100,)</f>
        <v>0</v>
      </c>
      <c r="I47" s="131">
        <f>IF(Q8&lt;&gt;"",Q8*2,0)</f>
        <v>0</v>
      </c>
      <c r="J47" s="234">
        <f>P8</f>
        <v>0</v>
      </c>
      <c r="K47" s="101"/>
      <c r="L47" s="245">
        <f>WaermebedarfA</f>
        <v>0</v>
      </c>
      <c r="N47" s="1182">
        <f>IF(E47&gt;0,G47*F47/E47,0)</f>
        <v>0</v>
      </c>
      <c r="O47" s="1185">
        <f>IF(E47&gt;0,H47*F47/E47,0)</f>
        <v>0</v>
      </c>
      <c r="R47" s="1907" t="s">
        <v>781</v>
      </c>
      <c r="S47" s="1908"/>
      <c r="T47" s="1909"/>
      <c r="U47" s="1904">
        <f>IF(EBF=0,0,G25/EBF)</f>
        <v>0</v>
      </c>
      <c r="V47" s="1906" t="s">
        <v>524</v>
      </c>
    </row>
    <row r="48" spans="1:40" ht="15.95" customHeight="1">
      <c r="A48" s="1646" t="s">
        <v>2968</v>
      </c>
      <c r="B48" s="1376" t="str">
        <f>IF(_typ2=1,"",Standardwerte!U64)</f>
        <v/>
      </c>
      <c r="C48" s="713"/>
      <c r="D48" s="713"/>
      <c r="E48" s="293">
        <f>IF(WirkungsgradB&lt;&gt;"",IF(WirkungsgradB&gt;25,WirkungsgradB/100,WirkungsgradB),"")</f>
        <v>0</v>
      </c>
      <c r="F48" s="120">
        <f>_gew2</f>
        <v>0</v>
      </c>
      <c r="G48" s="237">
        <f>IF(J12="",0,MIN(J12,IF(J13&lt;&gt;"",J13,J12))*S12)/100</f>
        <v>0</v>
      </c>
      <c r="H48" s="161">
        <f>IF(qw&gt;0,IF(L12="",0,MIN(L12,IF(L13&lt;&gt;"",L13,L12))*T12)/100,)</f>
        <v>0</v>
      </c>
      <c r="I48" s="162">
        <f>IF(Q12&lt;&gt;"",Q12*2,0)</f>
        <v>0</v>
      </c>
      <c r="J48" s="1030">
        <f>P12</f>
        <v>0</v>
      </c>
      <c r="K48" s="105"/>
      <c r="L48" s="58">
        <f>WaermebedarfB</f>
        <v>0</v>
      </c>
      <c r="N48" s="1182">
        <f>IF(E48&gt;0,G48*F48/E48,0)</f>
        <v>0</v>
      </c>
      <c r="O48" s="1185">
        <f>IF(E48&gt;0,H48*F48/E48,0)</f>
        <v>0</v>
      </c>
      <c r="R48" s="1910" t="s">
        <v>782</v>
      </c>
      <c r="S48" s="104"/>
      <c r="T48" s="1911"/>
      <c r="U48" s="1905">
        <f>IF(EBF=0,0,G27/EBF)</f>
        <v>0</v>
      </c>
      <c r="V48" s="48" t="s">
        <v>524</v>
      </c>
    </row>
    <row r="49" spans="1:40" ht="15.95" customHeight="1">
      <c r="A49" s="1646" t="s">
        <v>2969</v>
      </c>
      <c r="B49" s="1376" t="str">
        <f>IF(_typ3=1,"",Standardwerte!U65)</f>
        <v/>
      </c>
      <c r="C49" s="713"/>
      <c r="D49" s="713"/>
      <c r="E49" s="293">
        <f>IF(WirkungsgradC&lt;&gt;"",IF(WirkungsgradC&gt;25,WirkungsgradC/100,WirkungsgradC),"")</f>
        <v>0</v>
      </c>
      <c r="F49" s="120">
        <f>_gew3</f>
        <v>0</v>
      </c>
      <c r="G49" s="237">
        <f>IF(J16="",0,MIN(J16,IF(J17&lt;&gt;"",J17,J16))*S16)/100</f>
        <v>0</v>
      </c>
      <c r="H49" s="161">
        <f>IF(qw&gt;0,IF(L16="",0,MIN(L16,IF(L17&lt;&gt;"",L17,L16))*T16)/100,)</f>
        <v>0</v>
      </c>
      <c r="I49" s="162">
        <f>IF(Q16&lt;&gt;"",Q16*2,0)</f>
        <v>0</v>
      </c>
      <c r="J49" s="1030">
        <f>P16</f>
        <v>0</v>
      </c>
      <c r="K49" s="105"/>
      <c r="L49" s="58">
        <f>WaermebedarfC</f>
        <v>0</v>
      </c>
      <c r="N49" s="1182">
        <f>IF(E49&gt;0,G49*F49/E49,0)</f>
        <v>0</v>
      </c>
      <c r="O49" s="1185">
        <f>IF(E49&gt;0,H49*F49/E49,0)</f>
        <v>0</v>
      </c>
    </row>
    <row r="50" spans="1:40" ht="15.95" customHeight="1">
      <c r="A50" s="1646" t="s">
        <v>2970</v>
      </c>
      <c r="B50" s="1376" t="str">
        <f>IF(_typ4=1,"",Standardwerte!U66)</f>
        <v/>
      </c>
      <c r="C50" s="713"/>
      <c r="D50" s="713"/>
      <c r="E50" s="293">
        <f>IF(WirkungsgradD&lt;&gt;"",IF(WirkungsgradD&gt;25,WirkungsgradD/100,WirkungsgradD),"")</f>
        <v>0</v>
      </c>
      <c r="F50" s="120">
        <f>_gew4</f>
        <v>0</v>
      </c>
      <c r="G50" s="237">
        <f>IF(J20="",0,MIN(J20,IF(J21&lt;&gt;"",J21,J20))*S20)/100</f>
        <v>0</v>
      </c>
      <c r="H50" s="161">
        <f>IF(qw&gt;0,IF(L20="",0,MIN(L20,IF(L21&lt;&gt;"",L21,L20))*T20)/100,)</f>
        <v>0</v>
      </c>
      <c r="I50" s="162">
        <f>IF(Q20&lt;&gt;"",Q20*2,0)</f>
        <v>0</v>
      </c>
      <c r="J50" s="1030">
        <f>P20</f>
        <v>0</v>
      </c>
      <c r="K50" s="99"/>
      <c r="L50" s="58">
        <f>WaermebedarfD</f>
        <v>0</v>
      </c>
      <c r="N50" s="1182">
        <f>IF(E50&gt;0,G50*F50/E50,0)</f>
        <v>0</v>
      </c>
      <c r="O50" s="1185">
        <f>IF(E50&gt;0,H50*F50/E50,0)</f>
        <v>0</v>
      </c>
    </row>
    <row r="51" spans="1:40" ht="15.95" customHeight="1">
      <c r="A51" s="1646" t="s">
        <v>2971</v>
      </c>
      <c r="B51" s="1376" t="str">
        <f>IF(B24&lt;&gt;"",B24,IF(OR(J24&lt;&gt;"",L24&lt;&gt;""),Uebersetzung!D300,""))</f>
        <v/>
      </c>
      <c r="C51" s="713"/>
      <c r="D51" s="713"/>
      <c r="E51" s="293"/>
      <c r="F51" s="255"/>
      <c r="G51" s="237" t="str">
        <f>IF(B51="","",J24/100)</f>
        <v/>
      </c>
      <c r="H51" s="161">
        <f>IF(qw&gt;0,IF(B51="","",L24/100),)</f>
        <v>0</v>
      </c>
      <c r="I51" s="162">
        <f>StrombedarfE*2</f>
        <v>0</v>
      </c>
      <c r="J51" s="163">
        <f>EndenergieE</f>
        <v>0</v>
      </c>
      <c r="K51" s="99"/>
      <c r="L51" s="58">
        <f>WaermebedarfE</f>
        <v>0</v>
      </c>
      <c r="N51" s="1183">
        <f>IF(WaermebedarfE&gt;0,G51*(StrombedarfE*2+EndenergieE)/WaermebedarfE,0)</f>
        <v>0</v>
      </c>
      <c r="O51" s="1180">
        <f>IF(WaermebedarfE&gt;0,H51*(StrombedarfE*2+EndenergieE)/WaermebedarfE,0)</f>
        <v>0</v>
      </c>
    </row>
    <row r="52" spans="1:40" ht="15.95" customHeight="1">
      <c r="A52" s="1646" t="s">
        <v>2972</v>
      </c>
      <c r="B52" s="1376" t="str">
        <f>Uebersetzung!D289</f>
        <v>Strombedarf Lüftungsanlage</v>
      </c>
      <c r="C52" s="713"/>
      <c r="D52" s="713"/>
      <c r="E52" s="294"/>
      <c r="F52" s="120">
        <f>IF(EBF&gt;0,2,)</f>
        <v>0</v>
      </c>
      <c r="G52" s="115"/>
      <c r="H52" s="116"/>
      <c r="I52" s="121">
        <f>IF(ISERROR(Qe*F52),,Qe*F52)</f>
        <v>0</v>
      </c>
      <c r="J52" s="163"/>
      <c r="K52" s="101"/>
      <c r="L52" s="58"/>
      <c r="N52" s="1176">
        <f>SUM(N47:N51)</f>
        <v>0</v>
      </c>
      <c r="O52" s="1176">
        <f>SUM(O47:O51)</f>
        <v>0</v>
      </c>
    </row>
    <row r="53" spans="1:40" ht="15.95" customHeight="1">
      <c r="A53" s="1646" t="s">
        <v>2973</v>
      </c>
      <c r="B53" s="1376" t="str">
        <f>IF(OR(minergiep,minergiea),Uebersetzung!D290,Uebersetzung!D291)</f>
        <v>Strom für Klima + Hilfsbetriebe</v>
      </c>
      <c r="C53" s="713"/>
      <c r="D53" s="713"/>
      <c r="E53" s="294"/>
      <c r="F53" s="241">
        <f>IF(E_Qk=0,0,2)</f>
        <v>0</v>
      </c>
      <c r="G53" s="115"/>
      <c r="H53" s="164"/>
      <c r="I53" s="121">
        <f>E_Qk*F53</f>
        <v>0</v>
      </c>
      <c r="J53" s="163"/>
      <c r="K53" s="101"/>
      <c r="L53" s="246"/>
    </row>
    <row r="54" spans="1:40" ht="15.95" customHeight="1">
      <c r="A54" s="1646" t="s">
        <v>2974</v>
      </c>
      <c r="B54" s="723" t="str">
        <f>Uebersetzung!D292</f>
        <v>Total:</v>
      </c>
      <c r="C54" s="717"/>
      <c r="D54" s="717"/>
      <c r="E54" s="244"/>
      <c r="F54" s="243"/>
      <c r="G54" s="254">
        <f>SUM(G47:G53)</f>
        <v>0</v>
      </c>
      <c r="H54" s="254">
        <f>SUM(H47:H53)</f>
        <v>0</v>
      </c>
      <c r="I54" s="166">
        <f>SUM(I47:I53)</f>
        <v>0</v>
      </c>
      <c r="J54" s="166">
        <f>SUM(J47:J53)</f>
        <v>0</v>
      </c>
      <c r="K54" s="165"/>
      <c r="L54" s="1356">
        <f>SUM(L47:L53)</f>
        <v>0</v>
      </c>
      <c r="M54" s="1649"/>
      <c r="N54" s="749"/>
      <c r="O54" s="749"/>
      <c r="P54" s="642"/>
      <c r="Q54" s="642"/>
      <c r="R54" s="642"/>
      <c r="S54" s="642"/>
      <c r="T54" s="642"/>
      <c r="U54" s="642"/>
      <c r="V54" s="642"/>
      <c r="W54" s="642"/>
      <c r="X54" s="642"/>
      <c r="Y54" s="642"/>
      <c r="Z54" s="642"/>
      <c r="AA54" s="642"/>
      <c r="AB54" s="642"/>
      <c r="AC54" s="642"/>
    </row>
    <row r="55" spans="1:40" s="642" customFormat="1" ht="3.95" customHeight="1">
      <c r="A55" s="1631"/>
      <c r="F55" s="748"/>
      <c r="G55" s="2207"/>
      <c r="H55" s="2207"/>
      <c r="M55" s="1647"/>
      <c r="N55" s="124"/>
      <c r="O55" s="124"/>
      <c r="P55" s="97"/>
      <c r="Q55" s="97"/>
      <c r="R55" s="97"/>
      <c r="S55" s="97"/>
      <c r="T55" s="97"/>
      <c r="U55" s="97"/>
      <c r="V55" s="97"/>
      <c r="W55" s="97"/>
      <c r="X55" s="97"/>
      <c r="Y55" s="97"/>
      <c r="Z55" s="97"/>
      <c r="AA55" s="97"/>
      <c r="AB55" s="97"/>
      <c r="AC55" s="97"/>
      <c r="AD55" s="1446"/>
      <c r="AE55" s="1446"/>
      <c r="AF55" s="1446"/>
      <c r="AG55" s="1446"/>
      <c r="AH55" s="1446"/>
      <c r="AI55" s="1446"/>
      <c r="AN55" s="1446"/>
    </row>
    <row r="56" spans="1:40" ht="20.100000000000001" customHeight="1">
      <c r="A56" s="1646"/>
      <c r="B56" s="628" t="str">
        <f>Uebersetzung!D293</f>
        <v>Erfüllung der Anforderungen:</v>
      </c>
      <c r="C56" s="711"/>
      <c r="D56" s="711"/>
      <c r="E56" s="127"/>
      <c r="F56" s="127"/>
      <c r="G56" s="2230" t="str">
        <f>Uebersetzung!D294</f>
        <v>Anforderung</v>
      </c>
      <c r="H56" s="2263"/>
      <c r="I56" s="2230" t="str">
        <f>Uebersetzung!D295</f>
        <v>Berechneter Wert</v>
      </c>
      <c r="J56" s="2231"/>
      <c r="K56" s="136"/>
      <c r="L56" s="657" t="str">
        <f>Uebersetzung!D299</f>
        <v>Erfüllt?</v>
      </c>
      <c r="O56" s="393"/>
    </row>
    <row r="57" spans="1:40" ht="20.100000000000001" hidden="1" customHeight="1">
      <c r="A57" s="1646" t="s">
        <v>424</v>
      </c>
      <c r="B57" s="98" t="str">
        <f>IF(Primaeranforderung=0,"","Primäranforderung an Gebäudehülle")</f>
        <v/>
      </c>
      <c r="C57" s="106"/>
      <c r="D57" s="106"/>
      <c r="E57" s="106"/>
      <c r="F57" s="106"/>
      <c r="G57" s="156" t="str">
        <f>IF(Primaeranforderung&gt;0,Primaeranforderung,"")</f>
        <v/>
      </c>
      <c r="H57" s="157" t="str">
        <f>IF(Primaeranforderung=0,""," kWh/m2")</f>
        <v/>
      </c>
      <c r="I57" s="156" t="str">
        <f>IF(Primaeranforderung=0,"",IF(EBF&gt;0,Zonen_vollständig*qhs_vollständig*(Primaer1*_qhs1*Eingaben!F19+Primaer2*_qhs2*Eingaben!G19+Primaer3*_qhs3*Eingaben!H19+Primaer4*_qhs4*Eingaben!I19)/(Primaer1*Eingaben!F19+Primaer2*Eingaben!G19+Primaer3*Eingaben!H19+Primaer4*Eingaben!I19)/3.6,))</f>
        <v/>
      </c>
      <c r="J57" s="158" t="str">
        <f>IF(Primaeranforderung=0,""," kWh/m2")</f>
        <v/>
      </c>
      <c r="K57" s="106"/>
      <c r="L57" s="137" t="str">
        <f>IF(Primaeranforderung=0,"",IF(AND(I57=0,G57=0),"",IF(OR(I57=0,G57=0),"Nein",IF(I57&lt;=G57,IF(nurBadnutzung,"Ja",IF(G54&lt;0.995,"Nein","Ja")),"Nein"))))</f>
        <v/>
      </c>
      <c r="M57" s="587">
        <f>IF(minergiea,0.9*I57/G57,)</f>
        <v>0</v>
      </c>
    </row>
    <row r="58" spans="1:40" ht="20.100000000000001" customHeight="1">
      <c r="A58" s="1655" t="s">
        <v>934</v>
      </c>
      <c r="B58" s="69" t="str">
        <f>IF(MUKEN,Uebersetzung!D298,Uebersetzung!D360)</f>
        <v>Grenzwert für Endenergiebedarf ohne PV</v>
      </c>
      <c r="C58" s="26"/>
      <c r="D58" s="26"/>
      <c r="E58" s="14"/>
      <c r="F58" s="821" t="str">
        <f>IF(AND(G54=0,H54=0),"",IF(OR(G54&lt;0.995,AND(H54&lt;0.995,qw&gt;0)),Uebersetzung!D305,IF(BadMisch,Uebersetzung!D306,IF(AND(G54=0,H54=0),"",IF(OR(G54&lt;0.995,AND(H54&lt;0.995,qw&gt;0)),Uebersetzung!D305,"")))))</f>
        <v/>
      </c>
      <c r="G58" s="1067">
        <f>L43</f>
        <v>0</v>
      </c>
      <c r="H58" s="8" t="s">
        <v>584</v>
      </c>
      <c r="I58" s="1067">
        <f>IF(nurBadnutzung,"",IF(AND(qh&gt;0,Zonen_vollständig*qh_vollständig=1),IF(OR(WWBonus,WWMIN1,WWMIN2,WWMIN3,WWMIN4),IF(OR(DeckungsgradHeizung&lt;99.5,DeckungsgradHeizung&gt;101,DeckungsgradWW&gt;101),,I54+J54),IF(OR(DeckungsgradHeizung&lt;99.5,DeckungsgradHeizung&gt;101,DeckungsgradWW&gt;101),,I54+J54)),0))</f>
        <v>0</v>
      </c>
      <c r="J58" s="822" t="s">
        <v>584</v>
      </c>
      <c r="K58" s="26"/>
      <c r="L58" s="810" t="str">
        <f>IF(nurBadnutzung,"",IF(AND(MINERGIE_Wert=0,G58=0),"",IF(MINERGIE_Wert=0,Uebersetzung!D26,IF(ROUND(I58,1)&lt;=ROUND(G58,1),IF(OR(G54&lt;0.995,AND(H54&lt;0.995,qw&gt;0)),Uebersetzung!D26,Uebersetzung!D25),Uebersetzung!D26))))</f>
        <v/>
      </c>
      <c r="M58" s="1650"/>
      <c r="N58" s="1015">
        <f>IF(L58=Standardwerte!AA47,1,2)</f>
        <v>2</v>
      </c>
    </row>
    <row r="59" spans="1:40" ht="20.100000000000001" customHeight="1">
      <c r="A59" s="1655" t="s">
        <v>935</v>
      </c>
      <c r="B59" s="2239" t="str">
        <f>Uebersetzung!D478</f>
        <v>Minergie-Kennzahl (MKZ)</v>
      </c>
      <c r="C59" s="2240"/>
      <c r="D59" s="2240"/>
      <c r="E59" s="2240"/>
      <c r="F59" s="2241"/>
      <c r="G59" s="1344">
        <f>MINERGIE!Z41</f>
        <v>0</v>
      </c>
      <c r="H59" s="1162" t="s">
        <v>584</v>
      </c>
      <c r="I59" s="1344">
        <f>MINERGIE!S75</f>
        <v>0</v>
      </c>
      <c r="J59" s="1162" t="s">
        <v>584</v>
      </c>
      <c r="K59" s="1070"/>
      <c r="L59" s="810" t="str">
        <f>IF(AND(G59&lt;&gt;0,I59&lt;&gt;0),IF(ROUND(I59,1)&lt;=ROUND(G59,1),Uebersetzung!D25,Uebersetzung!D26),"")</f>
        <v/>
      </c>
      <c r="M59" s="1650"/>
      <c r="N59" s="988" t="b">
        <f>IF(L60=O2,TRUE,FALSE)</f>
        <v>1</v>
      </c>
    </row>
    <row r="60" spans="1:40" ht="20.100000000000001" customHeight="1">
      <c r="A60" s="1655" t="s">
        <v>2975</v>
      </c>
      <c r="B60" s="1625" t="str">
        <f>Uebersetzung!D307</f>
        <v>Warmwasser mit mindestens 20% erneuerbarer Energie erzeugt (für Restaurants / Sportbauten / Hallenbäder)</v>
      </c>
      <c r="C60" s="14"/>
      <c r="D60" s="14"/>
      <c r="E60" s="14"/>
      <c r="F60" s="14"/>
      <c r="G60" s="14"/>
      <c r="H60" s="14"/>
      <c r="I60" s="14"/>
      <c r="J60" s="14"/>
      <c r="K60" s="14"/>
      <c r="L60" s="1068" t="s">
        <v>120</v>
      </c>
      <c r="N60" s="1015">
        <f>IF(N59,1,2)</f>
        <v>1</v>
      </c>
    </row>
    <row r="61" spans="1:40" ht="20.100000000000001" customHeight="1">
      <c r="B61" s="703" t="str">
        <f>Uebersetzung!D301</f>
        <v>Beilagen (alle Beilagen der linken Spalte einreichen)</v>
      </c>
      <c r="C61" s="718"/>
      <c r="D61" s="718"/>
      <c r="E61" s="704"/>
      <c r="F61" s="1016"/>
      <c r="G61" s="787"/>
      <c r="H61" s="719" t="s">
        <v>777</v>
      </c>
      <c r="I61" s="706" t="str">
        <f>Uebersetzung!D302</f>
        <v>Zutreffendes ankreuzen</v>
      </c>
      <c r="J61" s="1066"/>
      <c r="K61" s="705"/>
      <c r="L61" s="937"/>
    </row>
    <row r="62" spans="1:40" ht="9.9499999999999993" hidden="1" customHeight="1">
      <c r="A62" s="1646"/>
      <c r="B62" s="2264"/>
      <c r="C62" s="2265"/>
      <c r="D62" s="2265"/>
      <c r="E62" s="2265"/>
      <c r="F62" s="2265"/>
      <c r="G62" s="2265"/>
      <c r="H62" s="155"/>
      <c r="I62" s="155"/>
      <c r="J62" s="155"/>
      <c r="K62" s="155"/>
      <c r="L62" s="633"/>
      <c r="M62" s="1649"/>
    </row>
    <row r="63" spans="1:40" ht="18.95" customHeight="1">
      <c r="A63" s="1646" t="s">
        <v>2976</v>
      </c>
      <c r="B63" s="950" t="s">
        <v>777</v>
      </c>
      <c r="C63" s="2222" t="str">
        <f>Uebersetzung!D303</f>
        <v>Schema Heizung und Lüftung</v>
      </c>
      <c r="D63" s="2222"/>
      <c r="E63" s="2222"/>
      <c r="F63" s="2222"/>
      <c r="G63" s="950"/>
      <c r="H63" s="2232"/>
      <c r="I63" s="2232"/>
      <c r="J63" s="2232"/>
      <c r="K63" s="2232"/>
      <c r="L63" s="2233"/>
      <c r="M63" s="1649"/>
    </row>
    <row r="64" spans="1:40" ht="18.95" customHeight="1">
      <c r="A64" s="1646" t="s">
        <v>2977</v>
      </c>
      <c r="B64" s="951" t="s">
        <v>777</v>
      </c>
      <c r="C64" s="2020" t="str">
        <f>Uebersetzung!D304</f>
        <v>Externe Berechnungen und Datenblätter</v>
      </c>
      <c r="D64" s="2020"/>
      <c r="E64" s="2020"/>
      <c r="F64" s="2020"/>
      <c r="G64" s="951"/>
      <c r="H64" s="2223"/>
      <c r="I64" s="2223"/>
      <c r="J64" s="2223"/>
      <c r="K64" s="2223"/>
      <c r="L64" s="2224"/>
      <c r="M64" s="1649"/>
    </row>
    <row r="65" spans="1:13" ht="18.95" hidden="1" customHeight="1">
      <c r="A65" s="1646" t="s">
        <v>426</v>
      </c>
      <c r="B65" s="672" t="s">
        <v>771</v>
      </c>
      <c r="C65" s="699"/>
      <c r="D65" s="699"/>
      <c r="E65" s="103"/>
      <c r="F65" s="103"/>
      <c r="G65" s="673"/>
      <c r="H65" s="132"/>
      <c r="I65" s="8" t="s">
        <v>776</v>
      </c>
      <c r="J65" s="8"/>
      <c r="K65" s="8"/>
      <c r="L65" s="671"/>
      <c r="M65" s="1649"/>
    </row>
    <row r="66" spans="1:13" ht="18.95" hidden="1" customHeight="1">
      <c r="A66" s="1646" t="s">
        <v>427</v>
      </c>
      <c r="B66" s="2227" t="s">
        <v>774</v>
      </c>
      <c r="C66" s="2228"/>
      <c r="D66" s="2228"/>
      <c r="E66" s="2228"/>
      <c r="F66" s="2228"/>
      <c r="G66" s="2229"/>
      <c r="H66" s="132"/>
      <c r="I66" s="8" t="s">
        <v>760</v>
      </c>
      <c r="J66" s="8"/>
      <c r="K66" s="8"/>
      <c r="L66" s="671"/>
      <c r="M66" s="1649"/>
    </row>
    <row r="67" spans="1:13" ht="18.95" hidden="1" customHeight="1">
      <c r="A67" s="1646" t="s">
        <v>428</v>
      </c>
      <c r="B67" s="2185"/>
      <c r="C67" s="2186"/>
      <c r="D67" s="2186"/>
      <c r="E67" s="2186"/>
      <c r="F67" s="2186"/>
      <c r="G67" s="2187"/>
      <c r="H67" s="132"/>
      <c r="I67" s="8"/>
      <c r="J67" s="8"/>
      <c r="K67" s="8"/>
      <c r="L67" s="671"/>
      <c r="M67" s="1649"/>
    </row>
    <row r="68" spans="1:13" ht="20.100000000000001" hidden="1" customHeight="1">
      <c r="A68" s="1646" t="s">
        <v>429</v>
      </c>
      <c r="B68" s="2185" t="s">
        <v>761</v>
      </c>
      <c r="C68" s="2186"/>
      <c r="D68" s="2186"/>
      <c r="E68" s="2186"/>
      <c r="F68" s="2186"/>
      <c r="G68" s="2187"/>
      <c r="H68" s="154"/>
      <c r="I68" s="2225"/>
      <c r="J68" s="2225"/>
      <c r="K68" s="2225"/>
      <c r="L68" s="2226"/>
      <c r="M68" s="1649"/>
    </row>
    <row r="69" spans="1:13" ht="15.95" hidden="1" customHeight="1">
      <c r="A69" s="1646"/>
      <c r="B69" s="658"/>
      <c r="C69" s="658"/>
      <c r="D69" s="658"/>
      <c r="E69" s="658"/>
      <c r="F69" s="658"/>
      <c r="G69" s="658"/>
      <c r="H69" s="658"/>
      <c r="I69" s="658"/>
      <c r="J69" s="658"/>
      <c r="K69" s="658"/>
      <c r="L69" s="658"/>
      <c r="M69" s="1649"/>
    </row>
    <row r="70" spans="1:13" ht="6" hidden="1" customHeight="1">
      <c r="A70" s="1646"/>
      <c r="E70" s="635"/>
      <c r="F70" s="635"/>
      <c r="G70" s="635"/>
      <c r="H70" s="103"/>
      <c r="I70" s="635"/>
      <c r="J70" s="635"/>
      <c r="K70" s="635"/>
      <c r="L70" s="635"/>
      <c r="M70" s="1649"/>
    </row>
    <row r="71" spans="1:13" ht="12.95" hidden="1" customHeight="1">
      <c r="A71" s="1646"/>
      <c r="B71" s="634" t="s">
        <v>762</v>
      </c>
      <c r="C71" s="634"/>
      <c r="D71" s="636" t="s">
        <v>763</v>
      </c>
      <c r="E71" s="635"/>
      <c r="F71" s="635"/>
      <c r="G71" s="635"/>
      <c r="H71" s="636" t="s">
        <v>764</v>
      </c>
      <c r="J71" s="637"/>
      <c r="K71" s="635"/>
      <c r="L71" s="635"/>
      <c r="M71" s="1649"/>
    </row>
    <row r="72" spans="1:13" ht="12.95" hidden="1" customHeight="1">
      <c r="A72" s="1646"/>
      <c r="B72" s="635"/>
      <c r="C72" s="635"/>
      <c r="D72" s="638"/>
      <c r="E72" s="635"/>
      <c r="F72" s="635"/>
      <c r="G72" s="635"/>
      <c r="H72" s="295" t="s">
        <v>765</v>
      </c>
      <c r="J72" s="637"/>
      <c r="K72" s="635"/>
      <c r="L72" s="635"/>
      <c r="M72" s="1649"/>
    </row>
    <row r="73" spans="1:13" ht="8.1" hidden="1" customHeight="1">
      <c r="A73" s="1646"/>
      <c r="B73" s="635"/>
      <c r="C73" s="635"/>
      <c r="D73" s="638"/>
      <c r="E73" s="635"/>
      <c r="F73" s="635"/>
      <c r="G73" s="635"/>
      <c r="H73" s="638"/>
      <c r="J73" s="637"/>
      <c r="K73" s="635"/>
      <c r="L73" s="635"/>
      <c r="M73" s="1649"/>
    </row>
    <row r="74" spans="1:13" ht="12.75" hidden="1" customHeight="1">
      <c r="A74" s="1646"/>
      <c r="B74" s="639" t="s">
        <v>766</v>
      </c>
      <c r="C74" s="639"/>
      <c r="D74" s="2216"/>
      <c r="E74" s="2217"/>
      <c r="F74" s="2217"/>
      <c r="G74" s="2218"/>
      <c r="H74" s="2216"/>
      <c r="I74" s="2217"/>
      <c r="J74" s="2217"/>
      <c r="K74" s="2217"/>
      <c r="L74" s="2217"/>
      <c r="M74" s="1649"/>
    </row>
    <row r="75" spans="1:13" ht="12.75" hidden="1" customHeight="1">
      <c r="A75" s="1646"/>
      <c r="B75" s="639" t="s">
        <v>767</v>
      </c>
      <c r="C75" s="639"/>
      <c r="D75" s="2216"/>
      <c r="E75" s="2217"/>
      <c r="F75" s="2217"/>
      <c r="G75" s="2218"/>
      <c r="H75" s="2216"/>
      <c r="I75" s="2217"/>
      <c r="J75" s="2217"/>
      <c r="K75" s="2217"/>
      <c r="L75" s="2217"/>
      <c r="M75" s="1649"/>
    </row>
    <row r="76" spans="1:13" ht="12.75" hidden="1" customHeight="1">
      <c r="B76" s="635"/>
      <c r="C76" s="635"/>
      <c r="D76" s="2219"/>
      <c r="E76" s="2220"/>
      <c r="F76" s="2220"/>
      <c r="G76" s="2221"/>
      <c r="H76" s="2219"/>
      <c r="I76" s="2220"/>
      <c r="J76" s="2220"/>
      <c r="K76" s="2220"/>
      <c r="L76" s="2220"/>
      <c r="M76" s="1649"/>
    </row>
    <row r="77" spans="1:13" ht="6.75" hidden="1" customHeight="1">
      <c r="B77" s="635"/>
      <c r="C77" s="635"/>
      <c r="D77" s="638"/>
      <c r="E77" s="635"/>
      <c r="F77" s="635"/>
      <c r="G77" s="635"/>
      <c r="H77" s="638"/>
      <c r="I77" s="721"/>
      <c r="J77" s="637"/>
      <c r="K77" s="635"/>
      <c r="L77" s="635"/>
      <c r="M77" s="1649"/>
    </row>
    <row r="78" spans="1:13" ht="15.75" hidden="1" customHeight="1">
      <c r="A78" s="1646"/>
      <c r="B78" s="639" t="s">
        <v>768</v>
      </c>
      <c r="C78" s="639"/>
      <c r="D78" s="2219"/>
      <c r="E78" s="2220"/>
      <c r="F78" s="2220"/>
      <c r="G78" s="2221"/>
      <c r="H78" s="2219"/>
      <c r="I78" s="2220"/>
      <c r="J78" s="2220"/>
      <c r="K78" s="2220"/>
      <c r="L78" s="2220"/>
      <c r="M78" s="1649"/>
    </row>
    <row r="79" spans="1:13" ht="18" hidden="1" customHeight="1">
      <c r="A79" s="1646"/>
      <c r="B79" s="639" t="s">
        <v>769</v>
      </c>
      <c r="C79" s="639"/>
      <c r="D79" s="2210"/>
      <c r="E79" s="2211"/>
      <c r="F79" s="2211"/>
      <c r="G79" s="2212"/>
      <c r="H79" s="2210"/>
      <c r="I79" s="2211"/>
      <c r="J79" s="2211"/>
      <c r="K79" s="2211"/>
      <c r="L79" s="2211"/>
      <c r="M79" s="1649"/>
    </row>
    <row r="80" spans="1:13" ht="0.95" hidden="1" customHeight="1">
      <c r="A80" s="1646"/>
      <c r="B80" s="635"/>
      <c r="C80" s="635"/>
      <c r="D80" s="2213"/>
      <c r="E80" s="2214"/>
      <c r="F80" s="2214"/>
      <c r="G80" s="2215"/>
      <c r="H80" s="2213"/>
      <c r="I80" s="2214"/>
      <c r="J80" s="2214"/>
      <c r="K80" s="2214"/>
      <c r="L80" s="2214"/>
      <c r="M80" s="1649"/>
    </row>
    <row r="81" spans="1:13" ht="3.75" hidden="1" customHeight="1">
      <c r="A81" s="1646"/>
      <c r="B81" s="635"/>
      <c r="C81" s="635"/>
      <c r="D81" s="635"/>
      <c r="E81" s="635"/>
      <c r="F81" s="635"/>
      <c r="G81" s="722"/>
      <c r="H81" s="722"/>
      <c r="I81" s="722"/>
      <c r="J81" s="635"/>
      <c r="K81" s="635"/>
      <c r="L81" s="635"/>
      <c r="M81" s="1649"/>
    </row>
    <row r="82" spans="1:13" ht="18" hidden="1" customHeight="1">
      <c r="A82" s="1646"/>
      <c r="B82" s="639" t="s">
        <v>770</v>
      </c>
      <c r="C82" s="635"/>
      <c r="D82" s="712" t="s">
        <v>779</v>
      </c>
      <c r="E82" s="720" t="s">
        <v>777</v>
      </c>
      <c r="F82" s="635"/>
      <c r="G82" s="701" t="s">
        <v>780</v>
      </c>
      <c r="H82" s="2013"/>
      <c r="I82" s="2013"/>
      <c r="J82" s="2013"/>
      <c r="K82" s="2013"/>
      <c r="L82" s="2013"/>
      <c r="M82" s="1649"/>
    </row>
    <row r="83" spans="1:13" ht="3" hidden="1" customHeight="1">
      <c r="A83" s="1646"/>
      <c r="B83" s="640"/>
      <c r="C83" s="640"/>
      <c r="D83" s="640"/>
      <c r="E83" s="640"/>
      <c r="F83" s="640"/>
      <c r="G83" s="640"/>
      <c r="H83" s="640"/>
      <c r="I83" s="640"/>
      <c r="J83" s="640"/>
      <c r="K83" s="640"/>
      <c r="L83" s="640"/>
    </row>
    <row r="84" spans="1:13" ht="9.9499999999999993" customHeight="1">
      <c r="B84" s="2206">
        <f ca="1">NOW()</f>
        <v>43696.566528009258</v>
      </c>
      <c r="C84" s="2206"/>
      <c r="D84" s="2206"/>
      <c r="L84" s="815" t="str">
        <f>Eingaben!C8&amp;" / "&amp;Eingaben!C7&amp;" / "&amp;Eingaben!H7&amp;" / "&amp;Eingaben!J7&amp;" / "&amp;Eingaben!J8&amp;" / "&amp;Eingaben!G55&amp;" / "&amp;Eingaben!G57</f>
        <v xml:space="preserve"> /  /  /  /  /  / </v>
      </c>
    </row>
    <row r="86" spans="1:13" hidden="1">
      <c r="B86" s="787" t="s">
        <v>1848</v>
      </c>
      <c r="C86" s="127"/>
      <c r="D86" s="127"/>
      <c r="E86" s="127"/>
      <c r="F86" s="1186" t="s">
        <v>524</v>
      </c>
      <c r="G86" s="1187">
        <f>IF(MUKEN,IF(G43=0,0,INDEX(Standardwerte!$L$9:$L$21,Kategorie1,1)/3.6),IF(_EBF1&gt;0,IF(WWMIN1,IF(WWBonus1,0,Standardwerte!J104),0),))</f>
        <v>0</v>
      </c>
      <c r="H86" s="1187">
        <f>IF(MUKEN,IF(H43=0,0,INDEX(Standardwerte!$L$9:$L$21,Kategorie2,1)/3.6),IF(_EBF2&gt;0,IF(WWMIN2,IF(WWBonus2,0,Standardwerte!K104),0),))</f>
        <v>0</v>
      </c>
      <c r="I86" s="1187">
        <f>IF(MUKEN,IF(I43=0,0,INDEX(Standardwerte!$L$9:$L$21,Kategorie3,1)/3.6),IF(_EBF3&gt;0,IF(WWMIN3,IF(WWBonus3,0,Standardwerte!L104),0),))</f>
        <v>0</v>
      </c>
      <c r="J86" s="1187">
        <f>IF(MUKEN,IF(J43=0,0,INDEX(Standardwerte!$L$9:$L$21,Kategorie4,1)/3.6),IF(_EBF4&gt;0,IF(WWMIN4,IF(WWBonus4,0,Standardwerte!M104),0),))</f>
        <v>0</v>
      </c>
      <c r="K86" s="127"/>
      <c r="L86" s="1188">
        <f>IF(ISERROR(Qe),"",IF(MUKEN,IF(EBF_MUKEN&gt;0,(G86*_EBF1+H86*_EBF2+I86*_EBF3+J86*_EBF4)/EBF_MUKEN,0),Qe))</f>
        <v>0</v>
      </c>
    </row>
    <row r="87" spans="1:13" hidden="1">
      <c r="B87" s="2239" t="s">
        <v>1709</v>
      </c>
      <c r="C87" s="2240"/>
      <c r="D87" s="2240"/>
      <c r="E87" s="2240"/>
      <c r="F87" s="2241"/>
      <c r="G87" s="1069">
        <f>L44</f>
        <v>0</v>
      </c>
      <c r="H87" s="1084" t="s">
        <v>584</v>
      </c>
      <c r="I87" s="1069">
        <f>IF(nurBadnutzung,"",IF(AND(qh&gt;0,Zonen_vollständig*qh_vollständig=1),IF(OR(WWBonus,WWMIN1,WWMIN2,WWMIN3,WWMIN4),IF(OR(DeckungsgradHeizung&lt;99.5,DeckungsgradHeizung&gt;101,DeckungsgradWW&gt;101),,I54+J54),IF(OR(DeckungsgradHeizung&lt;99.5,DeckungsgradHeizung&gt;101,DeckungsgradWW&gt;101),,I54+J54)),0))</f>
        <v>0</v>
      </c>
      <c r="J87" s="1084" t="s">
        <v>584</v>
      </c>
      <c r="K87" s="1070"/>
      <c r="L87" s="810" t="str">
        <f>IF(AND(G87&gt;0,I87&gt;0),IF(I87&lt;=G87,Uebersetzung!D25,Uebersetzung!D26),"")</f>
        <v/>
      </c>
    </row>
  </sheetData>
  <sheetProtection password="C616" sheet="1" objects="1" scenarios="1"/>
  <mergeCells count="70">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B20:G20"/>
    <mergeCell ref="X4:AA4"/>
    <mergeCell ref="S6:T6"/>
    <mergeCell ref="X6:Y6"/>
    <mergeCell ref="X8:Y8"/>
    <mergeCell ref="H13:H15"/>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xr:uid="{00000000-0002-0000-0300-000000000000}">
      <formula1>$N$2:$N$3</formula1>
    </dataValidation>
    <dataValidation type="list" allowBlank="1" showInputMessage="1" showErrorMessage="1" sqref="L60" xr:uid="{00000000-0002-0000-0300-000001000000}">
      <formula1>$O$1:$O$3</formula1>
    </dataValidation>
    <dataValidation type="list" allowBlank="1" showInputMessage="1" showErrorMessage="1" sqref="B20:G20 B8:G8 B12:G12 B16:G16" xr:uid="{00000000-0002-0000-0300-000002000000}">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pageSetUpPr fitToPage="1"/>
  </sheetPr>
  <dimension ref="A1:X67"/>
  <sheetViews>
    <sheetView showZeros="0" zoomScaleNormal="100" workbookViewId="0"/>
  </sheetViews>
  <sheetFormatPr baseColWidth="10" defaultColWidth="11.42578125" defaultRowHeight="12.75"/>
  <cols>
    <col min="1" max="1" width="3.42578125" style="1657" customWidth="1"/>
    <col min="2" max="2" width="20.7109375" style="1316" customWidth="1"/>
    <col min="3" max="3" width="10.7109375" style="1316" customWidth="1"/>
    <col min="4" max="4" width="8.7109375" style="1316" customWidth="1"/>
    <col min="5" max="5" width="6.7109375" style="1316" customWidth="1"/>
    <col min="6" max="9" width="11.7109375" style="1316" customWidth="1"/>
    <col min="10" max="10" width="0.7109375" style="1316" customWidth="1"/>
    <col min="11" max="11" width="10.7109375" style="1316" customWidth="1"/>
    <col min="12" max="12" width="11.42578125" style="1386"/>
    <col min="13" max="13" width="23.42578125" style="1595" customWidth="1"/>
    <col min="14" max="14" width="6.28515625" style="1595" customWidth="1"/>
    <col min="15" max="15" width="8" style="1595" customWidth="1"/>
    <col min="16" max="16" width="17.85546875" style="1595" customWidth="1"/>
    <col min="17" max="20" width="11.42578125" style="1595"/>
    <col min="21" max="22" width="11.42578125" style="1903"/>
    <col min="23" max="24" width="11.42578125" style="1386"/>
    <col min="25" max="16384" width="11.42578125" style="1316"/>
  </cols>
  <sheetData>
    <row r="1" spans="1:24" s="5" customFormat="1" ht="9.9499999999999993" customHeight="1">
      <c r="A1" s="1631"/>
      <c r="B1" s="1430" t="str">
        <f>MOP!A3</f>
        <v>2019.3</v>
      </c>
      <c r="C1" s="3"/>
      <c r="D1" s="3"/>
      <c r="E1" s="365"/>
      <c r="F1" s="3"/>
      <c r="G1" s="3"/>
      <c r="H1" s="3"/>
      <c r="I1" s="168"/>
      <c r="J1" s="3"/>
      <c r="K1" s="1433" t="str">
        <f>Uebersetzung!D5</f>
        <v>Formular EN101b, v2.3, zu verwenden bis 31. Dezember 2019</v>
      </c>
      <c r="L1" s="842"/>
      <c r="M1" s="1589"/>
      <c r="N1" s="1387"/>
      <c r="O1" s="1387"/>
      <c r="P1" s="1387"/>
      <c r="Q1" s="1387"/>
      <c r="R1" s="1387"/>
      <c r="S1" s="1387"/>
      <c r="T1" s="1387"/>
      <c r="U1" s="1900"/>
      <c r="V1" s="1900"/>
      <c r="W1" s="843"/>
      <c r="X1" s="843"/>
    </row>
    <row r="2" spans="1:24" s="5" customFormat="1" ht="17.100000000000001" customHeight="1">
      <c r="A2" s="1631"/>
      <c r="B2" s="1301"/>
      <c r="C2" s="1302"/>
      <c r="D2" s="1303"/>
      <c r="E2" s="1301"/>
      <c r="F2" s="1303"/>
      <c r="G2" s="2270" t="str">
        <f>Uebersetzung!D318</f>
        <v>Übersicht</v>
      </c>
      <c r="H2" s="2271"/>
      <c r="I2" s="2271"/>
      <c r="J2" s="2271"/>
      <c r="K2" s="2272"/>
      <c r="L2" s="842"/>
      <c r="M2" s="1589"/>
      <c r="N2" s="1387"/>
      <c r="O2" s="1387"/>
      <c r="P2" s="1387"/>
      <c r="Q2" s="1387"/>
      <c r="R2" s="1387"/>
      <c r="S2" s="1387"/>
      <c r="T2" s="1387"/>
      <c r="U2" s="1900"/>
      <c r="V2" s="1900"/>
      <c r="W2" s="843"/>
      <c r="X2" s="843"/>
    </row>
    <row r="3" spans="1:24" s="5" customFormat="1" ht="17.100000000000001" customHeight="1">
      <c r="A3" s="1631"/>
      <c r="B3" s="1304"/>
      <c r="C3" s="1305"/>
      <c r="D3" s="1306"/>
      <c r="E3" s="1307"/>
      <c r="F3" s="1308"/>
      <c r="G3" s="2273" t="str">
        <f>Uebersetzung!D376</f>
        <v>Minergie-Nachweis</v>
      </c>
      <c r="H3" s="2274"/>
      <c r="I3" s="2274"/>
      <c r="J3" s="2274"/>
      <c r="K3" s="2275"/>
      <c r="L3" s="842"/>
      <c r="M3" s="1589"/>
      <c r="N3" s="1387"/>
      <c r="O3" s="1387"/>
      <c r="P3" s="1387"/>
      <c r="Q3" s="1387"/>
      <c r="R3" s="1387"/>
      <c r="S3" s="1387"/>
      <c r="T3" s="1387"/>
      <c r="U3" s="1900"/>
      <c r="V3" s="1900"/>
      <c r="W3" s="843"/>
      <c r="X3" s="843"/>
    </row>
    <row r="4" spans="1:24" s="5" customFormat="1" ht="9.9499999999999993" customHeight="1">
      <c r="A4" s="1631"/>
      <c r="B4" s="1309"/>
      <c r="C4" s="946"/>
      <c r="D4" s="1310"/>
      <c r="E4" s="1309"/>
      <c r="F4" s="1310"/>
      <c r="G4" s="1311"/>
      <c r="H4" s="1312"/>
      <c r="I4" s="1312"/>
      <c r="J4" s="1312"/>
      <c r="K4" s="1313"/>
      <c r="L4" s="842"/>
      <c r="M4" s="1589"/>
      <c r="N4" s="1387"/>
      <c r="O4" s="1387"/>
      <c r="P4" s="1387"/>
      <c r="Q4" s="1387"/>
      <c r="R4" s="1387"/>
      <c r="S4" s="1387"/>
      <c r="T4" s="1387"/>
      <c r="U4" s="1900"/>
      <c r="V4" s="1900"/>
      <c r="W4" s="843"/>
      <c r="X4" s="843"/>
    </row>
    <row r="5" spans="1:24" s="5" customFormat="1" ht="9.9499999999999993" customHeight="1">
      <c r="A5" s="1631"/>
      <c r="B5" s="3"/>
      <c r="C5" s="3"/>
      <c r="D5" s="3"/>
      <c r="E5" s="365"/>
      <c r="F5" s="3"/>
      <c r="G5" s="3"/>
      <c r="H5" s="3"/>
      <c r="I5" s="168"/>
      <c r="J5" s="3"/>
      <c r="K5" s="4"/>
      <c r="L5" s="842"/>
      <c r="M5" s="1589"/>
      <c r="N5" s="1387"/>
      <c r="O5" s="1387"/>
      <c r="P5" s="1387"/>
      <c r="Q5" s="1387"/>
      <c r="R5" s="1387"/>
      <c r="S5" s="1387"/>
      <c r="T5" s="1387"/>
      <c r="U5" s="1900"/>
      <c r="V5" s="1900"/>
      <c r="W5" s="843"/>
      <c r="X5" s="843"/>
    </row>
    <row r="6" spans="1:24" s="5" customFormat="1" ht="9.9499999999999993" hidden="1" customHeight="1">
      <c r="A6" s="1631"/>
      <c r="B6" s="6"/>
      <c r="C6" s="6"/>
      <c r="D6" s="3"/>
      <c r="E6" s="3"/>
      <c r="F6" s="3"/>
      <c r="G6" s="3"/>
      <c r="H6" s="3"/>
      <c r="I6" s="3"/>
      <c r="J6" s="3"/>
      <c r="L6" s="842"/>
      <c r="M6" s="1589"/>
      <c r="N6" s="1387"/>
      <c r="O6" s="1387"/>
      <c r="P6" s="1387"/>
      <c r="Q6" s="1387"/>
      <c r="R6" s="1387"/>
      <c r="S6" s="1387"/>
      <c r="T6" s="1387"/>
      <c r="U6" s="1900"/>
      <c r="V6" s="1900"/>
      <c r="W6" s="843"/>
      <c r="X6" s="843"/>
    </row>
    <row r="7" spans="1:24" s="323" customFormat="1" ht="12" hidden="1" customHeight="1">
      <c r="A7" s="1631"/>
      <c r="B7" s="8"/>
      <c r="C7" s="8"/>
      <c r="D7" s="9"/>
      <c r="E7" s="9"/>
      <c r="F7" s="9"/>
      <c r="G7" s="9"/>
      <c r="H7" s="5"/>
      <c r="I7" s="5"/>
      <c r="J7" s="5"/>
      <c r="K7" s="5"/>
      <c r="L7" s="842"/>
      <c r="M7" s="1589"/>
      <c r="N7" s="1387"/>
      <c r="O7" s="1387"/>
      <c r="P7" s="1387"/>
      <c r="Q7" s="1387"/>
      <c r="R7" s="1387"/>
      <c r="S7" s="1387"/>
      <c r="T7" s="1387"/>
      <c r="U7" s="1900"/>
      <c r="V7" s="1900"/>
      <c r="W7" s="843"/>
      <c r="X7" s="843"/>
    </row>
    <row r="8" spans="1:24" s="323" customFormat="1" ht="6" customHeight="1">
      <c r="A8" s="1631"/>
      <c r="B8" s="1286"/>
      <c r="C8" s="1050"/>
      <c r="D8" s="1287"/>
      <c r="E8" s="1287"/>
      <c r="F8" s="1287"/>
      <c r="G8" s="1287"/>
      <c r="H8" s="1078"/>
      <c r="I8" s="1078"/>
      <c r="J8" s="1078"/>
      <c r="K8" s="1192"/>
      <c r="L8" s="842"/>
      <c r="M8" s="1589"/>
      <c r="N8" s="1387"/>
      <c r="O8" s="1387"/>
      <c r="P8" s="1387"/>
      <c r="Q8" s="1387"/>
      <c r="R8" s="1387"/>
      <c r="S8" s="1387"/>
      <c r="T8" s="1387"/>
      <c r="U8" s="1900"/>
      <c r="V8" s="1900"/>
      <c r="W8" s="843"/>
      <c r="X8" s="843"/>
    </row>
    <row r="9" spans="1:24" s="323" customFormat="1" ht="14.25" customHeight="1">
      <c r="A9" s="1631" t="s">
        <v>3003</v>
      </c>
      <c r="B9" s="1300" t="str">
        <f>Uebersetzung!D419</f>
        <v>Anleitung</v>
      </c>
      <c r="C9" s="8"/>
      <c r="D9" s="9"/>
      <c r="E9" s="9"/>
      <c r="F9" s="9"/>
      <c r="G9" s="9"/>
      <c r="H9" s="147"/>
      <c r="I9" s="147"/>
      <c r="J9" s="147"/>
      <c r="K9" s="1193"/>
      <c r="L9" s="842"/>
      <c r="M9" s="1589"/>
      <c r="N9" s="1387"/>
      <c r="O9" s="1387"/>
      <c r="P9" s="1387"/>
      <c r="Q9" s="1387"/>
      <c r="R9" s="1387"/>
      <c r="S9" s="1387"/>
      <c r="T9" s="1387"/>
      <c r="U9" s="1900"/>
      <c r="V9" s="1900"/>
      <c r="W9" s="843"/>
      <c r="X9" s="843"/>
    </row>
    <row r="10" spans="1:24" s="323" customFormat="1" ht="19.149999999999999" customHeight="1">
      <c r="A10" s="1631"/>
      <c r="B10" s="1288" t="str">
        <f>Uebersetzung!D420</f>
        <v xml:space="preserve">Dieses Nachweisformular dient zum Nachweis der Standards Minergie, Minergie-P und Minergie-A. Der entsprechende Standard </v>
      </c>
      <c r="C10" s="8"/>
      <c r="D10" s="8"/>
      <c r="E10" s="8"/>
      <c r="F10" s="8"/>
      <c r="G10" s="8"/>
      <c r="H10" s="8"/>
      <c r="I10" s="8"/>
      <c r="J10" s="8"/>
      <c r="K10" s="671"/>
      <c r="L10" s="842"/>
      <c r="M10" s="1589"/>
      <c r="N10" s="1387"/>
      <c r="O10" s="1387"/>
      <c r="P10" s="1387"/>
      <c r="Q10" s="1387"/>
      <c r="R10" s="1387"/>
      <c r="S10" s="1387"/>
      <c r="T10" s="1387"/>
      <c r="U10" s="1900"/>
      <c r="V10" s="1900"/>
      <c r="W10" s="843"/>
      <c r="X10" s="843"/>
    </row>
    <row r="11" spans="1:24" s="323" customFormat="1" ht="19.149999999999999" customHeight="1">
      <c r="A11" s="1631"/>
      <c r="B11" s="1288" t="str">
        <f>Uebersetzung!D421</f>
        <v>kann im Blatt "Eingabe" ausgewählt werden. Der ausgefüllte Nachweis wird auf der Minergie-Online-Plattform (MOP) hochgeladen.</v>
      </c>
      <c r="C11" s="8"/>
      <c r="D11" s="8"/>
      <c r="E11" s="8"/>
      <c r="F11" s="8"/>
      <c r="G11" s="8"/>
      <c r="H11" s="8"/>
      <c r="I11" s="8"/>
      <c r="J11" s="8"/>
      <c r="K11" s="671"/>
      <c r="L11" s="842"/>
      <c r="M11" s="1589"/>
      <c r="N11" s="1387"/>
      <c r="O11" s="1387"/>
      <c r="P11" s="1387"/>
      <c r="Q11" s="1387"/>
      <c r="R11" s="1387"/>
      <c r="S11" s="1387"/>
      <c r="T11" s="1387"/>
      <c r="U11" s="1900"/>
      <c r="V11" s="1900"/>
      <c r="W11" s="843"/>
      <c r="X11" s="843"/>
    </row>
    <row r="12" spans="1:24" s="323" customFormat="1" ht="19.149999999999999" customHeight="1">
      <c r="A12" s="1631"/>
      <c r="B12" s="1288" t="str">
        <f>Uebersetzung!D422</f>
        <v>Das Antragsformular wird nach der Einreichung auf der MOP automatisch generiert. Der unterschriebene Antrag, dieses Nachweis-</v>
      </c>
      <c r="C12" s="8"/>
      <c r="D12" s="8"/>
      <c r="E12" s="8"/>
      <c r="F12" s="8"/>
      <c r="G12" s="8"/>
      <c r="H12" s="8"/>
      <c r="I12" s="8"/>
      <c r="J12" s="8"/>
      <c r="K12" s="671"/>
      <c r="L12" s="842"/>
      <c r="M12" s="1589"/>
      <c r="N12" s="1387"/>
      <c r="O12" s="1387"/>
      <c r="P12" s="1387"/>
      <c r="Q12" s="1387"/>
      <c r="R12" s="1387"/>
      <c r="S12" s="1387"/>
      <c r="T12" s="1387"/>
      <c r="U12" s="1900"/>
      <c r="V12" s="1900"/>
      <c r="W12" s="843"/>
      <c r="X12" s="843"/>
    </row>
    <row r="13" spans="1:24" s="323" customFormat="1" ht="19.149999999999999" customHeight="1">
      <c r="A13" s="1631"/>
      <c r="B13" s="1288" t="str">
        <f>Uebersetzung!D423</f>
        <v>formular, sowie weitere auf dem Antrag vermerkte Unterlagen sind der zuständigen Zertifizierungsstelle schriftlich einzureichen.</v>
      </c>
      <c r="C13" s="8"/>
      <c r="D13" s="8"/>
      <c r="E13" s="8"/>
      <c r="F13" s="8"/>
      <c r="G13" s="8"/>
      <c r="H13" s="8"/>
      <c r="I13" s="8"/>
      <c r="J13" s="8"/>
      <c r="K13" s="671"/>
      <c r="L13" s="842"/>
      <c r="M13" s="1589"/>
      <c r="N13" s="1387"/>
      <c r="O13" s="1387"/>
      <c r="P13" s="1387"/>
      <c r="Q13" s="1387"/>
      <c r="R13" s="1387"/>
      <c r="S13" s="1387"/>
      <c r="T13" s="1387"/>
      <c r="U13" s="1900"/>
      <c r="V13" s="1900"/>
      <c r="W13" s="843"/>
      <c r="X13" s="843"/>
    </row>
    <row r="14" spans="1:24" s="323" customFormat="1" ht="18.600000000000001" customHeight="1">
      <c r="A14" s="1631"/>
      <c r="B14" s="1288" t="str">
        <f>Uebersetzung!D424</f>
        <v>Folgende Farbcodierung ist beim Ausfüllen des Nachweisformulars zu beachten:</v>
      </c>
      <c r="C14" s="8"/>
      <c r="D14" s="8"/>
      <c r="E14" s="8"/>
      <c r="F14" s="8"/>
      <c r="G14" s="8"/>
      <c r="H14" s="8"/>
      <c r="I14" s="8"/>
      <c r="J14" s="8"/>
      <c r="K14" s="671"/>
      <c r="L14" s="842"/>
      <c r="M14" s="1589"/>
      <c r="N14" s="1387"/>
      <c r="O14" s="1387"/>
      <c r="P14" s="1387"/>
      <c r="Q14" s="1387"/>
      <c r="R14" s="1387"/>
      <c r="S14" s="1387"/>
      <c r="T14" s="1387"/>
      <c r="U14" s="1900"/>
      <c r="V14" s="1900"/>
      <c r="W14" s="843"/>
      <c r="X14" s="843"/>
    </row>
    <row r="15" spans="1:24" s="323" customFormat="1" ht="12" hidden="1" customHeight="1">
      <c r="A15" s="1631"/>
      <c r="B15" s="1288"/>
      <c r="C15" s="8"/>
      <c r="D15" s="8"/>
      <c r="E15" s="8"/>
      <c r="F15" s="8"/>
      <c r="G15" s="8"/>
      <c r="H15" s="8"/>
      <c r="I15" s="8"/>
      <c r="J15" s="8"/>
      <c r="K15" s="671"/>
      <c r="L15" s="842"/>
      <c r="M15" s="1589"/>
      <c r="N15" s="1387"/>
      <c r="O15" s="1387"/>
      <c r="P15" s="1387"/>
      <c r="Q15" s="1387"/>
      <c r="R15" s="1387"/>
      <c r="S15" s="1387"/>
      <c r="T15" s="1387"/>
      <c r="U15" s="1900"/>
      <c r="V15" s="1900"/>
      <c r="W15" s="843"/>
      <c r="X15" s="843"/>
    </row>
    <row r="16" spans="1:24" s="323" customFormat="1" ht="19.149999999999999" hidden="1" customHeight="1">
      <c r="A16" s="1631"/>
      <c r="B16" s="1288"/>
      <c r="C16" s="8"/>
      <c r="D16" s="8"/>
      <c r="E16" s="8"/>
      <c r="F16" s="8"/>
      <c r="G16" s="8"/>
      <c r="H16" s="8"/>
      <c r="I16" s="8"/>
      <c r="J16" s="8"/>
      <c r="K16" s="671"/>
      <c r="L16" s="842"/>
      <c r="M16" s="1589"/>
      <c r="N16" s="1387"/>
      <c r="O16" s="1387"/>
      <c r="P16" s="1387"/>
      <c r="Q16" s="1387"/>
      <c r="R16" s="1387"/>
      <c r="S16" s="1387"/>
      <c r="T16" s="1387"/>
      <c r="U16" s="1900"/>
      <c r="V16" s="1900"/>
      <c r="W16" s="843"/>
      <c r="X16" s="843"/>
    </row>
    <row r="17" spans="1:24" s="323" customFormat="1" ht="9" customHeight="1">
      <c r="A17" s="1631"/>
      <c r="B17" s="1288"/>
      <c r="C17" s="8"/>
      <c r="D17" s="8"/>
      <c r="E17" s="8"/>
      <c r="F17" s="8"/>
      <c r="G17" s="8"/>
      <c r="H17" s="8"/>
      <c r="I17" s="8"/>
      <c r="J17" s="8"/>
      <c r="K17" s="671"/>
      <c r="L17" s="842"/>
      <c r="M17" s="1589"/>
      <c r="N17" s="1387"/>
      <c r="O17" s="1387"/>
      <c r="P17" s="1387"/>
      <c r="Q17" s="1387"/>
      <c r="R17" s="1387"/>
      <c r="S17" s="1387"/>
      <c r="T17" s="1387"/>
      <c r="U17" s="1900"/>
      <c r="V17" s="1900"/>
      <c r="W17" s="843"/>
      <c r="X17" s="843"/>
    </row>
    <row r="18" spans="1:24" s="323" customFormat="1" ht="19.149999999999999" customHeight="1">
      <c r="A18" s="1631"/>
      <c r="B18" s="1630" t="str">
        <f>Uebersetzung!D425</f>
        <v>Eingabefeld (Pflicht)</v>
      </c>
      <c r="C18" s="1363"/>
      <c r="D18" s="2276" t="str">
        <f>Uebersetzung!D426</f>
        <v>Eingabefeld (Fakultativ)</v>
      </c>
      <c r="E18" s="2276"/>
      <c r="F18" s="2276"/>
      <c r="G18" s="11"/>
      <c r="H18" s="2277" t="str">
        <f>Uebersetzung!D427</f>
        <v>Auswahlfeld (Pflicht)</v>
      </c>
      <c r="I18" s="2277"/>
      <c r="J18" s="155"/>
      <c r="K18" s="633"/>
      <c r="L18" s="842"/>
      <c r="M18" s="1589"/>
      <c r="N18" s="1387"/>
      <c r="O18" s="1387"/>
      <c r="P18" s="1387"/>
      <c r="Q18" s="1387"/>
      <c r="R18" s="1387"/>
      <c r="S18" s="1387"/>
      <c r="T18" s="1387"/>
      <c r="U18" s="1900"/>
      <c r="V18" s="1900"/>
      <c r="W18" s="843"/>
      <c r="X18" s="843"/>
    </row>
    <row r="19" spans="1:24" s="323" customFormat="1" ht="9.6" customHeight="1">
      <c r="A19" s="1631"/>
      <c r="B19" s="8"/>
      <c r="C19" s="8"/>
      <c r="D19" s="9"/>
      <c r="E19" s="9"/>
      <c r="F19" s="9"/>
      <c r="G19" s="9"/>
      <c r="H19" s="5"/>
      <c r="I19" s="5"/>
      <c r="J19" s="5"/>
      <c r="K19" s="5"/>
      <c r="L19" s="842"/>
      <c r="M19" s="1589"/>
      <c r="N19" s="1387"/>
      <c r="O19" s="1387"/>
      <c r="P19" s="1387"/>
      <c r="Q19" s="1387"/>
      <c r="R19" s="1387"/>
      <c r="S19" s="1387"/>
      <c r="T19" s="1387"/>
      <c r="U19" s="1900"/>
      <c r="V19" s="1900"/>
      <c r="W19" s="843"/>
      <c r="X19" s="843"/>
    </row>
    <row r="20" spans="1:24" s="323" customFormat="1" ht="20.45" customHeight="1">
      <c r="A20" s="1631" t="s">
        <v>2978</v>
      </c>
      <c r="B20" s="394" t="str">
        <f>Uebersetzung!D418</f>
        <v>Projekt</v>
      </c>
      <c r="C20" s="1289"/>
      <c r="D20" s="1290"/>
      <c r="E20" s="1290"/>
      <c r="F20" s="1290"/>
      <c r="G20" s="1290" t="str">
        <f>Uebersetzung!D18</f>
        <v xml:space="preserve">Art des Nachweises: </v>
      </c>
      <c r="H20" s="705"/>
      <c r="I20" s="1290" t="str">
        <f>MINERGIE!F13</f>
        <v>Minergie mit SIA 380/1:2016</v>
      </c>
      <c r="J20" s="705"/>
      <c r="K20" s="937"/>
      <c r="L20" s="842"/>
      <c r="M20" s="1589"/>
      <c r="N20" s="1387"/>
      <c r="O20" s="1387"/>
      <c r="P20" s="1387"/>
      <c r="Q20" s="1387"/>
      <c r="R20" s="1387"/>
      <c r="S20" s="1387"/>
      <c r="T20" s="1387"/>
      <c r="U20" s="1900"/>
      <c r="V20" s="1900"/>
      <c r="W20" s="843"/>
      <c r="X20" s="843"/>
    </row>
    <row r="21" spans="1:24" s="323" customFormat="1" ht="24" customHeight="1">
      <c r="A21" s="1631" t="s">
        <v>2979</v>
      </c>
      <c r="B21" s="813" t="str">
        <f>IF(MUKEN,Uebersetzung!D9,Uebersetzung!D356)</f>
        <v>Projektname:</v>
      </c>
      <c r="C21" s="2280" t="str">
        <f>IF(Projekt1="","",Projekt1)</f>
        <v/>
      </c>
      <c r="D21" s="2280"/>
      <c r="E21" s="2280"/>
      <c r="F21" s="2280"/>
      <c r="G21" s="918" t="str">
        <f>Uebersetzung!D10</f>
        <v xml:space="preserve">Parz.-Nr.:  </v>
      </c>
      <c r="H21" s="1317">
        <f>Projekt2</f>
        <v>0</v>
      </c>
      <c r="I21" s="1491" t="str">
        <f>IF(MUKEN,Uebersetzung!D11,Uebersetzung!D358)</f>
        <v xml:space="preserve">MOP - Nr.: </v>
      </c>
      <c r="J21" s="1314"/>
      <c r="K21" s="1318">
        <f>Projekt3</f>
        <v>0</v>
      </c>
      <c r="L21" s="842"/>
      <c r="M21" s="1589"/>
      <c r="N21" s="1387"/>
      <c r="O21" s="1387"/>
      <c r="P21" s="1387"/>
      <c r="Q21" s="1387"/>
      <c r="R21" s="1387"/>
      <c r="S21" s="1387"/>
      <c r="T21" s="1387"/>
      <c r="U21" s="1900"/>
      <c r="V21" s="1900"/>
      <c r="W21" s="843"/>
      <c r="X21" s="843"/>
    </row>
    <row r="22" spans="1:24" s="323" customFormat="1" ht="24" customHeight="1">
      <c r="A22" s="1631" t="s">
        <v>2980</v>
      </c>
      <c r="B22" s="814" t="str">
        <f>IF(MUKEN,Uebersetzung!D13,Uebersetzung!D359)</f>
        <v>Gebäudeadresse:</v>
      </c>
      <c r="C22" s="2278">
        <f>Eingaben!C8</f>
        <v>0</v>
      </c>
      <c r="D22" s="2278"/>
      <c r="E22" s="2278"/>
      <c r="F22" s="2278"/>
      <c r="G22" s="2278"/>
      <c r="H22" s="2278"/>
      <c r="I22" s="2278"/>
      <c r="J22" s="2278"/>
      <c r="K22" s="2279"/>
      <c r="L22" s="842"/>
      <c r="M22" s="842"/>
      <c r="N22" s="842"/>
      <c r="O22" s="842"/>
      <c r="P22" s="842"/>
      <c r="Q22" s="842"/>
      <c r="R22" s="842"/>
      <c r="S22" s="842"/>
      <c r="T22" s="842"/>
      <c r="U22" s="1901"/>
      <c r="V22" s="1901"/>
      <c r="W22" s="842"/>
      <c r="X22" s="843"/>
    </row>
    <row r="23" spans="1:24" s="323" customFormat="1" ht="19.149999999999999" hidden="1" customHeight="1">
      <c r="A23" s="1631"/>
      <c r="B23" s="8"/>
      <c r="C23" s="8"/>
      <c r="D23" s="9"/>
      <c r="E23" s="9"/>
      <c r="F23" s="9"/>
      <c r="G23" s="9"/>
      <c r="H23" s="5"/>
      <c r="I23" s="5"/>
      <c r="J23" s="5"/>
      <c r="K23" s="5"/>
      <c r="L23" s="842"/>
      <c r="M23" s="1589"/>
      <c r="N23" s="1387"/>
      <c r="O23" s="1387"/>
      <c r="P23" s="1387"/>
      <c r="Q23" s="1387"/>
      <c r="R23" s="1387"/>
      <c r="S23" s="1387"/>
      <c r="T23" s="1387"/>
      <c r="U23" s="1900"/>
      <c r="V23" s="1900"/>
      <c r="W23" s="843"/>
      <c r="X23" s="843"/>
    </row>
    <row r="24" spans="1:24" s="323" customFormat="1" ht="19.149999999999999" hidden="1" customHeight="1">
      <c r="A24" s="1631"/>
      <c r="B24" s="8"/>
      <c r="C24" s="8"/>
      <c r="D24" s="9"/>
      <c r="E24" s="9"/>
      <c r="F24" s="9"/>
      <c r="G24" s="9"/>
      <c r="H24" s="5"/>
      <c r="I24" s="5"/>
      <c r="J24" s="5"/>
      <c r="K24" s="5"/>
      <c r="L24" s="842"/>
      <c r="M24" s="1589"/>
      <c r="N24" s="1387"/>
      <c r="O24" s="1387"/>
      <c r="P24" s="1387"/>
      <c r="Q24" s="1387"/>
      <c r="R24" s="1387"/>
      <c r="S24" s="1387"/>
      <c r="T24" s="1387"/>
      <c r="U24" s="1900"/>
      <c r="V24" s="1900"/>
      <c r="W24" s="843"/>
      <c r="X24" s="843"/>
    </row>
    <row r="25" spans="1:24" s="323" customFormat="1" ht="19.149999999999999" hidden="1" customHeight="1">
      <c r="A25" s="1631"/>
      <c r="B25" s="8"/>
      <c r="C25" s="8"/>
      <c r="D25" s="9"/>
      <c r="E25" s="9"/>
      <c r="F25" s="9"/>
      <c r="G25" s="9"/>
      <c r="H25" s="5"/>
      <c r="I25" s="5"/>
      <c r="J25" s="5"/>
      <c r="K25" s="5"/>
      <c r="L25" s="842"/>
      <c r="M25" s="1589"/>
      <c r="N25" s="1387"/>
      <c r="O25" s="1387"/>
      <c r="P25" s="1387"/>
      <c r="Q25" s="1387"/>
      <c r="R25" s="1387"/>
      <c r="S25" s="1387"/>
      <c r="T25" s="1387"/>
      <c r="U25" s="1900"/>
      <c r="V25" s="1900"/>
      <c r="W25" s="843"/>
      <c r="X25" s="843"/>
    </row>
    <row r="26" spans="1:24" s="323" customFormat="1" ht="12" customHeight="1">
      <c r="A26" s="1632"/>
      <c r="B26" s="5"/>
      <c r="C26" s="5"/>
      <c r="D26" s="5"/>
      <c r="E26" s="5"/>
      <c r="F26" s="9"/>
      <c r="G26" s="9"/>
      <c r="H26" s="5"/>
      <c r="I26" s="5"/>
      <c r="J26" s="5"/>
      <c r="K26" s="5"/>
      <c r="L26" s="842"/>
      <c r="M26" s="1589"/>
      <c r="N26" s="1387"/>
      <c r="O26" s="1387"/>
      <c r="P26" s="1387"/>
      <c r="Q26" s="1387"/>
      <c r="R26" s="1387"/>
      <c r="S26" s="1387"/>
      <c r="T26" s="1387"/>
      <c r="U26" s="1900"/>
      <c r="V26" s="1900"/>
      <c r="W26" s="843"/>
      <c r="X26" s="843"/>
    </row>
    <row r="27" spans="1:24" s="323" customFormat="1" ht="1.1499999999999999" customHeight="1">
      <c r="A27" s="1632"/>
      <c r="B27" s="3"/>
      <c r="C27" s="3"/>
      <c r="D27" s="3"/>
      <c r="E27" s="3"/>
      <c r="F27" s="3"/>
      <c r="G27" s="3"/>
      <c r="H27" s="9"/>
      <c r="I27" s="9"/>
      <c r="J27" s="9"/>
      <c r="K27" s="9"/>
      <c r="L27" s="842"/>
      <c r="M27" s="1589"/>
      <c r="N27" s="1387"/>
      <c r="O27" s="1387"/>
      <c r="P27" s="1387"/>
      <c r="Q27" s="1387"/>
      <c r="R27" s="1387"/>
      <c r="S27" s="1387"/>
      <c r="T27" s="1387"/>
      <c r="U27" s="1900"/>
      <c r="V27" s="1900"/>
      <c r="W27" s="843"/>
      <c r="X27" s="843"/>
    </row>
    <row r="28" spans="1:24" s="323" customFormat="1" ht="20.100000000000001" customHeight="1">
      <c r="A28" s="1632" t="s">
        <v>2981</v>
      </c>
      <c r="B28" s="1364" t="str">
        <f>Uebersetzung!D428</f>
        <v>Erfüllung der Hauptanforderung</v>
      </c>
      <c r="C28" s="1049"/>
      <c r="D28" s="1050"/>
      <c r="E28" s="1051"/>
      <c r="F28" s="1052"/>
      <c r="G28" s="1053"/>
      <c r="H28" s="1054"/>
      <c r="I28" s="1058"/>
      <c r="J28" s="1055"/>
      <c r="K28" s="1056"/>
      <c r="L28" s="842"/>
      <c r="M28" s="1589"/>
      <c r="N28" s="1387"/>
      <c r="O28" s="1387"/>
      <c r="P28" s="1387"/>
      <c r="Q28" s="1387"/>
      <c r="R28" s="1387"/>
      <c r="S28" s="1387"/>
      <c r="T28" s="1387"/>
      <c r="U28" s="1900"/>
      <c r="V28" s="1900"/>
      <c r="W28" s="843"/>
      <c r="X28" s="843"/>
    </row>
    <row r="29" spans="1:24" s="323" customFormat="1" ht="15.95" customHeight="1">
      <c r="A29" s="1632"/>
      <c r="B29" s="1365"/>
      <c r="C29" s="11"/>
      <c r="D29" s="11"/>
      <c r="E29" s="11"/>
      <c r="F29" s="2281" t="str">
        <f>Uebersetzung!D294</f>
        <v>Anforderung</v>
      </c>
      <c r="G29" s="2282"/>
      <c r="H29" s="2281" t="str">
        <f>Uebersetzung!D295</f>
        <v>Berechneter Wert</v>
      </c>
      <c r="I29" s="2282"/>
      <c r="J29" s="809"/>
      <c r="K29" s="810" t="str">
        <f>Uebersetzung!D299</f>
        <v>Erfüllt?</v>
      </c>
      <c r="L29" s="842"/>
      <c r="M29" s="1590"/>
      <c r="N29" s="1387"/>
      <c r="O29" s="1387"/>
      <c r="P29" s="1387"/>
      <c r="Q29" s="1387"/>
      <c r="R29" s="1387"/>
      <c r="S29" s="842"/>
      <c r="T29" s="842"/>
      <c r="U29" s="1900"/>
      <c r="V29" s="1900"/>
      <c r="W29" s="843"/>
      <c r="X29" s="843"/>
    </row>
    <row r="30" spans="1:24" s="323" customFormat="1" ht="20.100000000000001" customHeight="1">
      <c r="A30" s="1632" t="s">
        <v>2982</v>
      </c>
      <c r="B30" s="1292" t="str">
        <f>Uebersetzung!D430</f>
        <v>Minergie-Kennzahl in kWh/m2</v>
      </c>
      <c r="C30" s="1293"/>
      <c r="D30" s="1293"/>
      <c r="E30" s="1294"/>
      <c r="F30" s="2283">
        <f>MINERGIE!Z41</f>
        <v>0</v>
      </c>
      <c r="G30" s="2284"/>
      <c r="H30" s="2283">
        <f>IF(MUKEN=FALSE,Nachweis!I59)</f>
        <v>0</v>
      </c>
      <c r="I30" s="2284"/>
      <c r="J30" s="1072"/>
      <c r="K30" s="1542" t="str">
        <f>IF(ROUND(F30,1)&gt;=ROUND(H30,1),IF(EBF&gt;0,Uebersetzung!D25,Uebersetzung!D26),Uebersetzung!D26)</f>
        <v>Nein</v>
      </c>
      <c r="L30" s="1547">
        <f>IF(K30=MINERGIE!$N$12,1,IF(K30=MINERGIE!$N$13,2,0))</f>
        <v>2</v>
      </c>
      <c r="M30" s="1591"/>
      <c r="N30" s="1591"/>
      <c r="O30" s="1387"/>
      <c r="P30" s="1387"/>
      <c r="Q30" s="1387"/>
      <c r="R30" s="1387"/>
      <c r="S30" s="842"/>
      <c r="T30" s="842"/>
      <c r="U30" s="1900"/>
      <c r="V30" s="1900"/>
      <c r="W30" s="843"/>
      <c r="X30" s="843"/>
    </row>
    <row r="31" spans="1:24" s="5" customFormat="1" ht="20.100000000000001" customHeight="1">
      <c r="A31" s="1632" t="s">
        <v>2983</v>
      </c>
      <c r="B31" s="1295" t="str">
        <f>Uebersetzung!D431</f>
        <v>Minergie-Kennzahl in kg CO2/m2</v>
      </c>
      <c r="C31" s="1370"/>
      <c r="D31" s="1370"/>
      <c r="E31" s="1296"/>
      <c r="F31" s="2285" t="str">
        <f>Uebersetzung!D462</f>
        <v>Keine Anforderungen</v>
      </c>
      <c r="G31" s="2286"/>
      <c r="H31" s="2285">
        <f>Nachweis!AL45</f>
        <v>0</v>
      </c>
      <c r="I31" s="2286"/>
      <c r="J31" s="1291"/>
      <c r="K31" s="1343"/>
      <c r="L31" s="842"/>
      <c r="M31" s="1589"/>
      <c r="N31" s="1387"/>
      <c r="O31" s="1387"/>
      <c r="P31" s="1387"/>
      <c r="Q31" s="1387"/>
      <c r="R31" s="1387"/>
      <c r="S31" s="1387"/>
      <c r="T31" s="1387"/>
      <c r="U31" s="1900"/>
      <c r="V31" s="1900"/>
      <c r="W31" s="843"/>
      <c r="X31" s="843"/>
    </row>
    <row r="32" spans="1:24" s="5" customFormat="1" ht="9.9499999999999993" customHeight="1">
      <c r="A32" s="1633"/>
      <c r="B32" s="486"/>
      <c r="C32" s="486"/>
      <c r="D32" s="486"/>
      <c r="E32" s="486"/>
      <c r="F32" s="159"/>
      <c r="G32" s="159"/>
      <c r="H32" s="159"/>
      <c r="I32" s="159"/>
      <c r="J32" s="486"/>
      <c r="K32" s="486"/>
      <c r="L32" s="842"/>
      <c r="M32" s="1589"/>
      <c r="N32" s="1387"/>
      <c r="O32" s="1387"/>
      <c r="P32" s="1387"/>
      <c r="Q32" s="1387"/>
      <c r="R32" s="1387"/>
      <c r="S32" s="1387"/>
      <c r="T32" s="1387"/>
      <c r="U32" s="1900"/>
      <c r="V32" s="1900"/>
      <c r="W32" s="843"/>
      <c r="X32" s="843"/>
    </row>
    <row r="33" spans="1:24" s="5" customFormat="1" ht="9.6" hidden="1" customHeight="1">
      <c r="A33" s="1633"/>
      <c r="B33" s="486"/>
      <c r="C33" s="486"/>
      <c r="D33" s="486"/>
      <c r="E33" s="486"/>
      <c r="F33" s="159"/>
      <c r="G33" s="159"/>
      <c r="H33" s="159"/>
      <c r="I33" s="159"/>
      <c r="J33" s="486"/>
      <c r="K33" s="486"/>
      <c r="L33" s="842"/>
      <c r="M33" s="1589"/>
      <c r="N33" s="1387"/>
      <c r="O33" s="1387"/>
      <c r="P33" s="1387"/>
      <c r="Q33" s="1387"/>
      <c r="R33" s="1387"/>
      <c r="S33" s="1387"/>
      <c r="T33" s="1387"/>
      <c r="U33" s="1900"/>
      <c r="V33" s="1900"/>
      <c r="W33" s="843"/>
      <c r="X33" s="843"/>
    </row>
    <row r="34" spans="1:24" s="5" customFormat="1" ht="9.6" hidden="1" customHeight="1">
      <c r="A34" s="1633"/>
      <c r="B34" s="486"/>
      <c r="C34" s="486"/>
      <c r="D34" s="486"/>
      <c r="E34" s="486"/>
      <c r="F34" s="159"/>
      <c r="G34" s="159"/>
      <c r="H34" s="159"/>
      <c r="I34" s="159"/>
      <c r="J34" s="486"/>
      <c r="K34" s="486"/>
      <c r="L34" s="842"/>
      <c r="M34" s="1589"/>
      <c r="N34" s="1387"/>
      <c r="O34" s="1387"/>
      <c r="P34" s="1387"/>
      <c r="Q34" s="1387"/>
      <c r="R34" s="1387"/>
      <c r="S34" s="1387"/>
      <c r="T34" s="1387"/>
      <c r="U34" s="1900"/>
      <c r="V34" s="1900"/>
      <c r="W34" s="843"/>
      <c r="X34" s="843"/>
    </row>
    <row r="35" spans="1:24" s="5" customFormat="1" ht="19.899999999999999" customHeight="1">
      <c r="A35" s="1631" t="s">
        <v>2984</v>
      </c>
      <c r="B35" s="1364" t="str">
        <f>Uebersetzung!D429</f>
        <v>Erfüllung der Zusatzanforderungen</v>
      </c>
      <c r="C35" s="1049"/>
      <c r="D35" s="1050"/>
      <c r="E35" s="1051"/>
      <c r="F35" s="1052"/>
      <c r="G35" s="1053"/>
      <c r="H35" s="1054"/>
      <c r="I35" s="1058"/>
      <c r="J35" s="1055"/>
      <c r="K35" s="1056"/>
      <c r="L35" s="843"/>
      <c r="M35" s="1387"/>
      <c r="N35" s="1387"/>
      <c r="O35" s="1387"/>
      <c r="P35" s="1387"/>
      <c r="Q35" s="1387"/>
      <c r="R35" s="1387"/>
      <c r="S35" s="1387"/>
      <c r="T35" s="1387"/>
      <c r="U35" s="1900"/>
      <c r="V35" s="1900"/>
      <c r="W35" s="843"/>
      <c r="X35" s="843"/>
    </row>
    <row r="36" spans="1:24" s="5" customFormat="1" ht="15.95" customHeight="1">
      <c r="A36" s="1631"/>
      <c r="B36" s="1365"/>
      <c r="C36" s="11"/>
      <c r="D36" s="11"/>
      <c r="E36" s="11"/>
      <c r="F36" s="2281" t="str">
        <f>Uebersetzung!D294</f>
        <v>Anforderung</v>
      </c>
      <c r="G36" s="2282"/>
      <c r="H36" s="2281" t="str">
        <f>Uebersetzung!D295</f>
        <v>Berechneter Wert</v>
      </c>
      <c r="I36" s="2282"/>
      <c r="J36" s="809"/>
      <c r="K36" s="810" t="str">
        <f>Uebersetzung!D299</f>
        <v>Erfüllt?</v>
      </c>
      <c r="L36" s="843"/>
      <c r="M36" s="1387"/>
      <c r="N36" s="1387"/>
      <c r="O36" s="1387"/>
      <c r="P36" s="1387"/>
      <c r="Q36" s="1592" t="s">
        <v>2709</v>
      </c>
      <c r="R36" s="1592" t="s">
        <v>2710</v>
      </c>
      <c r="S36" s="1592" t="s">
        <v>2711</v>
      </c>
      <c r="T36" s="1387"/>
      <c r="U36" s="1900"/>
      <c r="V36" s="1900"/>
      <c r="W36" s="843"/>
      <c r="X36" s="843"/>
    </row>
    <row r="37" spans="1:24" s="5" customFormat="1" ht="19.899999999999999" customHeight="1">
      <c r="A37" s="1632" t="s">
        <v>2985</v>
      </c>
      <c r="B37" s="1292" t="str">
        <f>Uebersetzung!D432</f>
        <v>ZA1: Heizwärmebedarf in kWh/m2</v>
      </c>
      <c r="C37" s="1293"/>
      <c r="D37" s="1293"/>
      <c r="E37" s="1613" t="s">
        <v>2718</v>
      </c>
      <c r="F37" s="2283">
        <f>MINERGIE!Z19</f>
        <v>0</v>
      </c>
      <c r="G37" s="2284"/>
      <c r="H37" s="2283">
        <f>MINERGIE!Z25</f>
        <v>0</v>
      </c>
      <c r="I37" s="2284"/>
      <c r="J37" s="1072"/>
      <c r="K37" s="1543">
        <f>IF(AND(F37=0,H37&gt;0),Uebersetzung!D25,IF(AND(F37&gt;0,H37&gt;0),IF(ROUND(F37,1)&gt;=ROUND(H37,1),Uebersetzung!D25,Uebersetzung!D26),))</f>
        <v>0</v>
      </c>
      <c r="L37" s="1547">
        <f>IF(K37=MINERGIE!$N$12,1,IF(K37=MINERGIE!$N$13,2,0))</f>
        <v>0</v>
      </c>
      <c r="M37" s="1387"/>
      <c r="N37" s="1387"/>
      <c r="O37" s="1387"/>
      <c r="P37" s="1387"/>
      <c r="Q37" s="1387">
        <v>0</v>
      </c>
      <c r="R37" s="1387">
        <v>0</v>
      </c>
      <c r="S37" s="1388">
        <f>S60-S38</f>
        <v>0</v>
      </c>
      <c r="T37" s="1387"/>
      <c r="U37" s="1900"/>
      <c r="V37" s="1900"/>
      <c r="W37" s="843"/>
      <c r="X37" s="843"/>
    </row>
    <row r="38" spans="1:24" s="5" customFormat="1" ht="19.899999999999999" customHeight="1">
      <c r="A38" s="1632" t="s">
        <v>2986</v>
      </c>
      <c r="B38" s="1297" t="str">
        <f>Uebersetzung!D433</f>
        <v>ZA2: Endenergie ohne PV in kWh/m2</v>
      </c>
      <c r="C38" s="1298"/>
      <c r="D38" s="1298"/>
      <c r="E38" s="1299"/>
      <c r="F38" s="2266">
        <f>IF(Nachweis!L43="",0,Nachweis!L43)</f>
        <v>0</v>
      </c>
      <c r="G38" s="2267"/>
      <c r="H38" s="2266">
        <f>IF(Nachweis!I58="",0,Nachweis!I58)</f>
        <v>0</v>
      </c>
      <c r="I38" s="2267"/>
      <c r="J38" s="1167"/>
      <c r="K38" s="1544" t="str">
        <f>IF(ROUND(F38,1)&gt;=ROUND(H38,1),IF(EBF&gt;0,Uebersetzung!D25,Uebersetzung!D26),Uebersetzung!D26)</f>
        <v>Nein</v>
      </c>
      <c r="L38" s="1547">
        <f>IF(K38=MINERGIE!$N$12,1,IF(K38=MINERGIE!$N$13,2,0))</f>
        <v>2</v>
      </c>
      <c r="M38" s="1387" t="s">
        <v>2817</v>
      </c>
      <c r="N38" s="1621">
        <v>0</v>
      </c>
      <c r="O38" s="1387"/>
      <c r="P38" s="1387"/>
      <c r="Q38" s="1387">
        <v>0</v>
      </c>
      <c r="R38" s="1387">
        <v>0</v>
      </c>
      <c r="S38" s="1388">
        <f>MAX(MIN(S60,N56),0)</f>
        <v>0</v>
      </c>
      <c r="T38" s="1387"/>
      <c r="U38" s="1900"/>
      <c r="V38" s="1900"/>
      <c r="W38" s="843"/>
      <c r="X38" s="843"/>
    </row>
    <row r="39" spans="1:24" s="5" customFormat="1" ht="20.100000000000001" customHeight="1">
      <c r="A39" s="1632" t="s">
        <v>2987</v>
      </c>
      <c r="B39" s="1288" t="str">
        <f>Uebersetzung!D434</f>
        <v>ZA3: Minergie-Grenzwert Beleuchtung in kWh/m2</v>
      </c>
      <c r="C39" s="8"/>
      <c r="D39" s="8"/>
      <c r="E39" s="822"/>
      <c r="F39" s="2295">
        <f>MINERGIE!K48</f>
        <v>0</v>
      </c>
      <c r="G39" s="2296"/>
      <c r="H39" s="2295">
        <f>MINERGIE!K49</f>
        <v>0</v>
      </c>
      <c r="I39" s="2296"/>
      <c r="J39" s="1464"/>
      <c r="K39" s="1545" t="str">
        <f>IF(MINERGIE!S63=FALSE,Uebersetzung!D26,IF(AND(F39=0,H39=0),"",IF(AND(F39=0,OR(MINERGIE!S82,MINERGIE!S86,MINERGIE!S90)),Uebersetzung!D26,IF(AND(F39&gt;0,H39&gt;0),IF(ROUND(F39,1)&gt;=ROUND(H39,1),Uebersetzung!D25,Uebersetzung!D26),))))</f>
        <v/>
      </c>
      <c r="L39" s="1547">
        <f>IF(K39=MINERGIE!$N$12,1,IF(K39=MINERGIE!$N$13,2,0))</f>
        <v>0</v>
      </c>
      <c r="M39" s="1387"/>
      <c r="N39" s="1387">
        <f>IF(N38=1,0,1)</f>
        <v>1</v>
      </c>
      <c r="O39" s="1387"/>
      <c r="P39" s="1387"/>
      <c r="Q39" s="1387">
        <v>0</v>
      </c>
      <c r="R39" s="1387">
        <v>0</v>
      </c>
      <c r="S39" s="1388">
        <f>IF(N52&lt;0,MAX(N54-MAX(0,-S60+S38),0),N54)</f>
        <v>0</v>
      </c>
      <c r="T39" s="1387"/>
      <c r="U39" s="1900"/>
      <c r="V39" s="1900"/>
      <c r="W39" s="843"/>
      <c r="X39" s="843"/>
    </row>
    <row r="40" spans="1:24" s="5" customFormat="1" ht="24" customHeight="1">
      <c r="A40" s="1632" t="s">
        <v>2988</v>
      </c>
      <c r="B40" s="2291" t="str">
        <f>MINERGIE!B57</f>
        <v>Minimale Grösse der Eigenstromerzeugung:</v>
      </c>
      <c r="C40" s="2292"/>
      <c r="D40" s="2292"/>
      <c r="E40" s="1465" t="s">
        <v>2293</v>
      </c>
      <c r="F40" s="2268">
        <f>MINERGIE!E57</f>
        <v>0</v>
      </c>
      <c r="G40" s="2269"/>
      <c r="H40" s="2268">
        <f>MINERGIE!E55</f>
        <v>0</v>
      </c>
      <c r="I40" s="2269"/>
      <c r="J40" s="1167"/>
      <c r="K40" s="1544" t="str">
        <f>IF(wkk,Uebersetzung!D25,IF(ROUND(H40,2)&gt;=ROUND(F40,2),IF(EBF&gt;0,Uebersetzung!D25,Uebersetzung!D26),Uebersetzung!D26))</f>
        <v>Nein</v>
      </c>
      <c r="L40" s="1547">
        <f>IF(K40=MINERGIE!$N$12,1,IF(K40=MINERGIE!$N$13,2,0))</f>
        <v>2</v>
      </c>
      <c r="M40" s="1387"/>
      <c r="N40" s="1387"/>
      <c r="O40" s="1387"/>
      <c r="P40" s="1387"/>
      <c r="Q40" s="1387">
        <v>0</v>
      </c>
      <c r="R40" s="1387">
        <v>0</v>
      </c>
      <c r="S40" s="1388">
        <f>IF(N52&lt;0,MIN(N53,N55),N53)</f>
        <v>0</v>
      </c>
      <c r="T40" s="1387"/>
      <c r="U40" s="1900"/>
      <c r="V40" s="1900"/>
      <c r="W40" s="843"/>
      <c r="X40" s="843"/>
    </row>
    <row r="41" spans="1:24" s="5" customFormat="1" ht="19.899999999999999" customHeight="1">
      <c r="A41" s="1632" t="s">
        <v>2989</v>
      </c>
      <c r="B41" s="1297" t="str">
        <f>Uebersetzung!D320</f>
        <v>Sommerlicher Wärmeschutz im Minergie-Standard</v>
      </c>
      <c r="C41" s="1503"/>
      <c r="D41" s="1503"/>
      <c r="E41" s="1504"/>
      <c r="F41" s="1531"/>
      <c r="G41" s="1532"/>
      <c r="H41" s="1531"/>
      <c r="I41" s="1532"/>
      <c r="J41" s="216"/>
      <c r="K41" s="1546" t="str">
        <f>IF(Sommer!S52,Uebersetzung!D25,Uebersetzung!D26)</f>
        <v>Nein</v>
      </c>
      <c r="L41" s="1547">
        <f>IF(K41=MINERGIE!$N$12,1,IF(K41=MINERGIE!$N$13,2,0))</f>
        <v>2</v>
      </c>
      <c r="M41" s="1589"/>
      <c r="N41" s="1387"/>
      <c r="O41" s="1387"/>
      <c r="P41" s="1619" t="str">
        <f>M43</f>
        <v>Heizung</v>
      </c>
      <c r="Q41" s="1388" t="e">
        <f>(MINERGIE!Z46)*(1/(R43+R42+R41)*R41)*N39</f>
        <v>#DIV/0!</v>
      </c>
      <c r="R41" s="1388">
        <f t="shared" ref="R41:R46" si="0">N43</f>
        <v>0</v>
      </c>
      <c r="S41" s="1387">
        <v>0</v>
      </c>
      <c r="T41" s="1387"/>
      <c r="U41" s="1900"/>
      <c r="V41" s="1900"/>
      <c r="W41" s="843"/>
      <c r="X41" s="843"/>
    </row>
    <row r="42" spans="1:24" s="5" customFormat="1" ht="19.899999999999999" customHeight="1">
      <c r="A42" s="1632" t="s">
        <v>2990</v>
      </c>
      <c r="B42" s="1173" t="str">
        <f>Uebersetzung!D464</f>
        <v>Höchstanteil fossiler Energie</v>
      </c>
      <c r="C42" s="1514"/>
      <c r="D42" s="1514"/>
      <c r="E42" s="1515" t="s">
        <v>2591</v>
      </c>
      <c r="F42" s="2289">
        <f>IF(AND(MINERGIE!AH37&gt;0,H42&gt;0),MINERGIE!AH25,)</f>
        <v>0</v>
      </c>
      <c r="G42" s="2290"/>
      <c r="H42" s="2289">
        <f>IF(MINERGIE!AH14&gt;0,MINERGIE!AH38,)</f>
        <v>0</v>
      </c>
      <c r="I42" s="2290"/>
      <c r="J42" s="1514"/>
      <c r="K42" s="1545" t="str">
        <f>IF(ROUND(H42,3)&lt;=ROUND(F42,3),Uebersetzung!D25,Uebersetzung!D26)</f>
        <v>Ja</v>
      </c>
      <c r="L42" s="1547">
        <f>IF(K42=MINERGIE!$N$12,1,IF(K42=MINERGIE!$N$13,2,0))</f>
        <v>1</v>
      </c>
      <c r="M42" s="1589" t="str">
        <f>Uebersetzung!D446</f>
        <v>Bedarf</v>
      </c>
      <c r="N42" s="1387"/>
      <c r="O42" s="1387"/>
      <c r="P42" s="1619" t="str">
        <f>M44</f>
        <v>Warmwasser</v>
      </c>
      <c r="Q42" s="1388" t="e">
        <f>(MINERGIE!Z46)*(1/(R43+R42+R41)*R42)*N39</f>
        <v>#DIV/0!</v>
      </c>
      <c r="R42" s="1388">
        <f t="shared" si="0"/>
        <v>0</v>
      </c>
      <c r="S42" s="1387">
        <v>0</v>
      </c>
      <c r="T42" s="1387"/>
      <c r="U42" s="1900"/>
      <c r="V42" s="1900"/>
      <c r="W42" s="843"/>
      <c r="X42" s="843"/>
    </row>
    <row r="43" spans="1:24" s="5" customFormat="1" ht="23.1" customHeight="1">
      <c r="A43" s="1632" t="s">
        <v>2991</v>
      </c>
      <c r="B43" s="2293" t="str">
        <f>IF(minergiea,Uebersetzung!D465,"")</f>
        <v/>
      </c>
      <c r="C43" s="2294"/>
      <c r="D43" s="2294"/>
      <c r="E43" s="909" t="s">
        <v>2308</v>
      </c>
      <c r="F43" s="2297" t="str">
        <f>IF(minergiea,MINERGIE!G59,"")</f>
        <v/>
      </c>
      <c r="G43" s="2298"/>
      <c r="H43" s="2297" t="str">
        <f>IF(minergiea,MINERGIE!H59,"")</f>
        <v/>
      </c>
      <c r="I43" s="2298"/>
      <c r="J43" s="17"/>
      <c r="K43" s="1628" t="e">
        <f>IF(AND(F43&gt;0,H43&gt;0),IF(ROUND(F43,1)&lt;=ROUND(H43,1),Uebersetzung!D25,Uebersetzung!D26),)</f>
        <v>#VALUE!</v>
      </c>
      <c r="L43" s="1547" t="e">
        <f>IF(K43=MINERGIE!$N$12,1,IF(K43=MINERGIE!$N$13,2,0))</f>
        <v>#VALUE!</v>
      </c>
      <c r="M43" s="1387" t="str">
        <f>Uebersetzung!D436</f>
        <v>Heizung</v>
      </c>
      <c r="N43" s="1388">
        <f>MINERGIE!S103</f>
        <v>0</v>
      </c>
      <c r="O43" s="1387" t="s">
        <v>524</v>
      </c>
      <c r="P43" s="1619" t="str">
        <f>M45</f>
        <v>Lüftung + Klima</v>
      </c>
      <c r="Q43" s="1388" t="e">
        <f>(MINERGIE!Z46)*(1/(R43+R42+R41)*R43)*N39</f>
        <v>#DIV/0!</v>
      </c>
      <c r="R43" s="1388">
        <f t="shared" si="0"/>
        <v>0</v>
      </c>
      <c r="S43" s="1387">
        <v>0</v>
      </c>
      <c r="T43" s="1387"/>
      <c r="U43" s="1900"/>
      <c r="V43" s="1900"/>
      <c r="W43" s="843"/>
      <c r="X43" s="843"/>
    </row>
    <row r="44" spans="1:24" s="5" customFormat="1" ht="19.899999999999999" customHeight="1">
      <c r="A44" s="1632" t="s">
        <v>2992</v>
      </c>
      <c r="B44" s="1512" t="str">
        <f>"   "&amp;Uebersetzung!D435</f>
        <v xml:space="preserve">   Visualisierung Minergie-Kennzahl (MKZ)</v>
      </c>
      <c r="C44" s="1349"/>
      <c r="D44" s="147"/>
      <c r="E44" s="147"/>
      <c r="F44" s="147"/>
      <c r="G44" s="147"/>
      <c r="H44" s="147"/>
      <c r="I44" s="147"/>
      <c r="J44" s="147"/>
      <c r="K44" s="1513" t="s">
        <v>2538</v>
      </c>
      <c r="L44" s="843"/>
      <c r="M44" s="1387" t="str">
        <f>Uebersetzung!D437</f>
        <v>Warmwasser</v>
      </c>
      <c r="N44" s="1388">
        <f>MINERGIE!S18</f>
        <v>0</v>
      </c>
      <c r="O44" s="1387" t="s">
        <v>524</v>
      </c>
      <c r="P44" s="1619" t="str">
        <f>M46</f>
        <v>Wohnstrom</v>
      </c>
      <c r="Q44" s="1388">
        <f>MINERGIE!Z47</f>
        <v>0</v>
      </c>
      <c r="R44" s="1388">
        <f t="shared" si="0"/>
        <v>0</v>
      </c>
      <c r="S44" s="1387">
        <v>0</v>
      </c>
      <c r="T44" s="1387"/>
      <c r="U44" s="1900"/>
      <c r="V44" s="1900"/>
      <c r="W44" s="843"/>
      <c r="X44" s="843"/>
    </row>
    <row r="45" spans="1:24" s="5" customFormat="1" ht="19.899999999999999" customHeight="1">
      <c r="A45" s="1632"/>
      <c r="B45" s="2287" t="str">
        <f>M67&amp;"    "</f>
        <v xml:space="preserve">                                          E HWLK,li  +
                             Standardbedarf Elektrizität
      </v>
      </c>
      <c r="C45" s="2288"/>
      <c r="D45" s="2288"/>
      <c r="E45" s="2288" t="str">
        <f>"             
 "&amp;M65</f>
        <v xml:space="preserve">             
            Objektwert
 </v>
      </c>
      <c r="F45" s="2288"/>
      <c r="G45" s="2288"/>
      <c r="H45" s="2142" t="str">
        <f>M63</f>
        <v xml:space="preserve">   Produktion PV</v>
      </c>
      <c r="I45" s="2142"/>
      <c r="J45" s="147"/>
      <c r="K45" s="1501" t="str">
        <f>Uebersetzung!D479&amp;" "&amp;Uebersetzung!D480</f>
        <v>MKZ H</v>
      </c>
      <c r="L45" s="843"/>
      <c r="M45" s="1387" t="str">
        <f>Uebersetzung!D470</f>
        <v>Lüftung + Klima</v>
      </c>
      <c r="N45" s="1617">
        <f>MINERGIE!S104</f>
        <v>0</v>
      </c>
      <c r="O45" s="1387" t="s">
        <v>524</v>
      </c>
      <c r="P45" s="1622" t="str">
        <f>M47</f>
        <v>Beleuchtung</v>
      </c>
      <c r="Q45" s="1388">
        <f>MINERGIE!Z48</f>
        <v>0</v>
      </c>
      <c r="R45" s="1388">
        <f t="shared" si="0"/>
        <v>0</v>
      </c>
      <c r="S45" s="1387">
        <v>0</v>
      </c>
      <c r="T45" s="1387"/>
      <c r="U45" s="1900"/>
      <c r="V45" s="1900"/>
      <c r="W45" s="843"/>
      <c r="X45" s="843"/>
    </row>
    <row r="46" spans="1:24" s="5" customFormat="1" ht="24" customHeight="1">
      <c r="A46" s="1632" t="s">
        <v>2993</v>
      </c>
      <c r="B46" s="2287"/>
      <c r="C46" s="2288"/>
      <c r="D46" s="2288"/>
      <c r="E46" s="2288"/>
      <c r="F46" s="2288"/>
      <c r="G46" s="2288"/>
      <c r="H46" s="2142"/>
      <c r="I46" s="2142"/>
      <c r="J46" s="147"/>
      <c r="K46" s="1502">
        <f>N43</f>
        <v>0</v>
      </c>
      <c r="L46" s="843"/>
      <c r="M46" s="1387" t="str">
        <f>Uebersetzung!D443</f>
        <v>Wohnstrom</v>
      </c>
      <c r="N46" s="1388">
        <f>MINERGIE!S44</f>
        <v>0</v>
      </c>
      <c r="O46" s="1387" t="s">
        <v>524</v>
      </c>
      <c r="P46" s="1619" t="s">
        <v>1877</v>
      </c>
      <c r="Q46" s="1388">
        <f>MINERGIE!Z49</f>
        <v>0</v>
      </c>
      <c r="R46" s="1388">
        <f t="shared" si="0"/>
        <v>0</v>
      </c>
      <c r="S46" s="1387">
        <v>0</v>
      </c>
      <c r="T46" s="1387"/>
      <c r="U46" s="1900"/>
      <c r="V46" s="1900"/>
      <c r="W46" s="843"/>
      <c r="X46" s="843"/>
    </row>
    <row r="47" spans="1:24" s="5" customFormat="1" ht="20.100000000000001" customHeight="1">
      <c r="A47" s="1632"/>
      <c r="B47" s="2287"/>
      <c r="C47" s="2288"/>
      <c r="D47" s="2288"/>
      <c r="E47" s="1660"/>
      <c r="F47" s="1660"/>
      <c r="G47" s="1660"/>
      <c r="H47" s="1629"/>
      <c r="I47" s="1629"/>
      <c r="J47" s="147"/>
      <c r="K47" s="1501" t="str">
        <f>Uebersetzung!D479&amp;" "&amp;Uebersetzung!D481</f>
        <v>MKZ ww</v>
      </c>
      <c r="L47" s="843"/>
      <c r="M47" s="1387" t="str">
        <f>Uebersetzung!D438</f>
        <v>Beleuchtung</v>
      </c>
      <c r="N47" s="1388">
        <f>MINERGIE!S56+MINERGIE!S94+MINERGIE!S100</f>
        <v>0</v>
      </c>
      <c r="O47" s="1387" t="s">
        <v>524</v>
      </c>
      <c r="P47" s="1387" t="str">
        <f>M49</f>
        <v>Allgemeine Gebäudetechnik</v>
      </c>
      <c r="Q47" s="1388">
        <f>MINERGIE!Z50</f>
        <v>0</v>
      </c>
      <c r="R47" s="1388">
        <f>N49</f>
        <v>0</v>
      </c>
      <c r="S47" s="1387">
        <v>0</v>
      </c>
      <c r="T47" s="1387"/>
      <c r="U47" s="1900"/>
      <c r="V47" s="1900"/>
      <c r="W47" s="843"/>
      <c r="X47" s="843"/>
    </row>
    <row r="48" spans="1:24" s="5" customFormat="1" ht="20.100000000000001" customHeight="1">
      <c r="A48" s="1632" t="s">
        <v>2994</v>
      </c>
      <c r="B48" s="1348"/>
      <c r="C48" s="1349"/>
      <c r="D48" s="147"/>
      <c r="E48" s="147"/>
      <c r="F48" s="147"/>
      <c r="G48" s="147"/>
      <c r="H48" s="147"/>
      <c r="I48" s="147"/>
      <c r="J48" s="147"/>
      <c r="K48" s="1502">
        <f>N44</f>
        <v>0</v>
      </c>
      <c r="L48" s="843"/>
      <c r="M48" s="1387" t="str">
        <f>Uebersetzung!D439</f>
        <v>Geräte</v>
      </c>
      <c r="N48" s="1388">
        <f>MINERGIE!S59</f>
        <v>0</v>
      </c>
      <c r="O48" s="1387" t="s">
        <v>524</v>
      </c>
      <c r="P48" s="1618" t="s">
        <v>2714</v>
      </c>
      <c r="Q48" s="1388">
        <f>MINERGIE!Z46*N38</f>
        <v>0</v>
      </c>
      <c r="R48" s="1387">
        <v>0</v>
      </c>
      <c r="S48" s="1387">
        <v>0</v>
      </c>
      <c r="T48" s="1387"/>
      <c r="U48" s="1900"/>
      <c r="V48" s="1900"/>
      <c r="W48" s="843"/>
      <c r="X48" s="843"/>
    </row>
    <row r="49" spans="1:24" s="5" customFormat="1" ht="20.100000000000001" customHeight="1">
      <c r="A49" s="1656"/>
      <c r="B49" s="1159"/>
      <c r="C49" s="147"/>
      <c r="D49" s="147"/>
      <c r="E49" s="147"/>
      <c r="F49" s="147"/>
      <c r="G49" s="147"/>
      <c r="H49" s="147"/>
      <c r="I49" s="147"/>
      <c r="J49" s="147"/>
      <c r="K49" s="1501" t="str">
        <f>Uebersetzung!D479&amp;" "&amp;Uebersetzung!D482</f>
        <v>MKZ LK</v>
      </c>
      <c r="L49" s="843"/>
      <c r="M49" s="1387" t="str">
        <f>Uebersetzung!D440</f>
        <v>Allgemeine Gebäudetechnik</v>
      </c>
      <c r="N49" s="1388">
        <f>MINERGIE!S68</f>
        <v>0</v>
      </c>
      <c r="O49" s="1387" t="s">
        <v>524</v>
      </c>
      <c r="P49" s="1387"/>
      <c r="Q49" s="1388">
        <v>0</v>
      </c>
      <c r="R49" s="1387"/>
      <c r="S49" s="1387"/>
      <c r="T49" s="1387"/>
      <c r="U49" s="1900"/>
      <c r="V49" s="1900"/>
      <c r="W49" s="843"/>
      <c r="X49" s="843"/>
    </row>
    <row r="50" spans="1:24" s="5" customFormat="1" ht="20.100000000000001" customHeight="1">
      <c r="A50" s="1634" t="s">
        <v>2995</v>
      </c>
      <c r="B50" s="1159"/>
      <c r="C50" s="147"/>
      <c r="D50" s="147"/>
      <c r="E50" s="147"/>
      <c r="F50" s="147"/>
      <c r="G50" s="147"/>
      <c r="H50" s="147"/>
      <c r="I50" s="147"/>
      <c r="J50" s="147"/>
      <c r="K50" s="1502">
        <f>N45</f>
        <v>0</v>
      </c>
      <c r="L50" s="843"/>
      <c r="M50" s="1387" t="s">
        <v>691</v>
      </c>
      <c r="N50" s="1388">
        <f>SUM(N43:N49)</f>
        <v>0</v>
      </c>
      <c r="O50" s="1387" t="s">
        <v>524</v>
      </c>
      <c r="P50" s="1387"/>
      <c r="Q50" s="1388">
        <v>0</v>
      </c>
      <c r="R50" s="1387">
        <v>0</v>
      </c>
      <c r="S50" s="1387">
        <v>0</v>
      </c>
      <c r="T50" s="1387"/>
      <c r="U50" s="1900"/>
      <c r="V50" s="1900"/>
      <c r="W50" s="843"/>
      <c r="X50" s="843"/>
    </row>
    <row r="51" spans="1:24" s="5" customFormat="1" ht="20.100000000000001" customHeight="1">
      <c r="A51" s="1634"/>
      <c r="B51" s="1159"/>
      <c r="C51" s="147"/>
      <c r="D51" s="147"/>
      <c r="E51" s="147"/>
      <c r="F51" s="147"/>
      <c r="G51" s="147"/>
      <c r="H51" s="147"/>
      <c r="I51" s="147"/>
      <c r="J51" s="147"/>
      <c r="K51" s="1624" t="str">
        <f>Uebersetzung!D479&amp;" "&amp;Uebersetzung!D483</f>
        <v>MKZ el,wohn.</v>
      </c>
      <c r="L51" s="843"/>
      <c r="M51" s="1387" t="str">
        <f>Uebersetzung!D441</f>
        <v>Endenergiebedarf</v>
      </c>
      <c r="N51" s="1388"/>
      <c r="O51" s="1387"/>
      <c r="P51" s="1619"/>
      <c r="Q51" s="843"/>
      <c r="R51" s="1387">
        <v>0</v>
      </c>
      <c r="S51" s="1387">
        <v>0</v>
      </c>
      <c r="T51" s="1387"/>
      <c r="U51" s="1900"/>
      <c r="V51" s="1900"/>
      <c r="W51" s="843"/>
      <c r="X51" s="843"/>
    </row>
    <row r="52" spans="1:24" s="5" customFormat="1" ht="20.100000000000001" customHeight="1">
      <c r="A52" s="1634" t="s">
        <v>2996</v>
      </c>
      <c r="B52" s="1159"/>
      <c r="C52" s="925"/>
      <c r="D52" s="147"/>
      <c r="E52" s="147"/>
      <c r="F52" s="147"/>
      <c r="G52" s="147"/>
      <c r="H52" s="147"/>
      <c r="I52" s="147"/>
      <c r="J52" s="147"/>
      <c r="K52" s="1502">
        <f>N46</f>
        <v>0</v>
      </c>
      <c r="L52" s="843"/>
      <c r="M52" s="1387" t="str">
        <f>Uebersetzung!D442</f>
        <v>MKZ berechneter Wert</v>
      </c>
      <c r="N52" s="1388">
        <f>H30</f>
        <v>0</v>
      </c>
      <c r="O52" s="1387" t="s">
        <v>524</v>
      </c>
      <c r="P52" s="1619"/>
      <c r="Q52" s="843"/>
      <c r="R52" s="1387">
        <v>0</v>
      </c>
      <c r="S52" s="1387">
        <v>0</v>
      </c>
      <c r="T52" s="1387"/>
      <c r="U52" s="1900"/>
      <c r="V52" s="1900"/>
      <c r="W52" s="843"/>
      <c r="X52" s="843"/>
    </row>
    <row r="53" spans="1:24" s="5" customFormat="1" ht="20.100000000000001" customHeight="1">
      <c r="A53" s="1635"/>
      <c r="B53" s="1159"/>
      <c r="C53" s="925"/>
      <c r="D53" s="925"/>
      <c r="E53" s="925"/>
      <c r="F53" s="925"/>
      <c r="G53" s="925"/>
      <c r="H53" s="925"/>
      <c r="I53" s="925"/>
      <c r="J53" s="925"/>
      <c r="K53" s="1501" t="str">
        <f>Uebersetzung!D479&amp;" "&amp;Uebersetzung!D484</f>
        <v>MKZ Bel</v>
      </c>
      <c r="L53" s="928"/>
      <c r="M53" s="1387" t="str">
        <f>Uebersetzung!D444</f>
        <v>PV Eigenverbrauch</v>
      </c>
      <c r="N53" s="1388">
        <f>MINERGIE!S71</f>
        <v>0</v>
      </c>
      <c r="O53" s="1387" t="s">
        <v>524</v>
      </c>
      <c r="P53" s="843"/>
      <c r="Q53" s="843"/>
      <c r="R53" s="1387">
        <v>0</v>
      </c>
      <c r="S53" s="1387">
        <v>0</v>
      </c>
      <c r="T53" s="1387"/>
      <c r="U53" s="1900"/>
      <c r="V53" s="1900"/>
      <c r="W53" s="843"/>
      <c r="X53" s="843"/>
    </row>
    <row r="54" spans="1:24" s="5" customFormat="1" ht="20.100000000000001" customHeight="1">
      <c r="A54" s="1632" t="s">
        <v>2997</v>
      </c>
      <c r="B54" s="1348"/>
      <c r="C54" s="925"/>
      <c r="D54" s="925"/>
      <c r="E54" s="925"/>
      <c r="F54" s="925"/>
      <c r="G54" s="925"/>
      <c r="H54" s="925"/>
      <c r="I54" s="925"/>
      <c r="J54" s="925"/>
      <c r="K54" s="1502">
        <f>N47</f>
        <v>0</v>
      </c>
      <c r="L54" s="928"/>
      <c r="M54" s="1387" t="str">
        <f>Uebersetzung!D445</f>
        <v>PV Anteil Einspeisung</v>
      </c>
      <c r="N54" s="1620">
        <f>MINERGIE!S72</f>
        <v>0</v>
      </c>
      <c r="O54" s="1387" t="s">
        <v>524</v>
      </c>
      <c r="P54" s="1619"/>
      <c r="Q54" s="843"/>
      <c r="R54" s="1387">
        <v>0</v>
      </c>
      <c r="S54" s="1387">
        <v>0</v>
      </c>
      <c r="T54" s="1387"/>
      <c r="U54" s="1900"/>
      <c r="V54" s="1900"/>
      <c r="W54" s="843"/>
      <c r="X54" s="843"/>
    </row>
    <row r="55" spans="1:24" s="5" customFormat="1" ht="20.100000000000001" customHeight="1">
      <c r="A55" s="1631"/>
      <c r="B55" s="1348"/>
      <c r="C55" s="1350"/>
      <c r="D55" s="1168"/>
      <c r="E55" s="147"/>
      <c r="F55" s="147"/>
      <c r="G55" s="147"/>
      <c r="H55" s="147"/>
      <c r="I55" s="147"/>
      <c r="J55" s="147"/>
      <c r="K55" s="1501" t="str">
        <f>Uebersetzung!D479&amp;" "&amp;Uebersetzung!D485</f>
        <v>MKZ Geräte</v>
      </c>
      <c r="L55" s="842"/>
      <c r="M55" s="1589" t="s">
        <v>691</v>
      </c>
      <c r="N55" s="1591">
        <f>SUM(N52:N54)</f>
        <v>0</v>
      </c>
      <c r="O55" s="1387" t="s">
        <v>524</v>
      </c>
      <c r="P55" s="1387"/>
      <c r="Q55" s="1388" t="e">
        <f>SUM(Q37:Q53)</f>
        <v>#DIV/0!</v>
      </c>
      <c r="R55" s="1388">
        <f>SUM(R30:R54)</f>
        <v>0</v>
      </c>
      <c r="S55" s="1388">
        <f>SUM(S37:S40)</f>
        <v>0</v>
      </c>
      <c r="T55" s="1388">
        <f>S55</f>
        <v>0</v>
      </c>
      <c r="U55" s="1900"/>
      <c r="V55" s="1900"/>
      <c r="W55" s="843"/>
      <c r="X55" s="843"/>
    </row>
    <row r="56" spans="1:24" s="5" customFormat="1" ht="20.100000000000001" customHeight="1">
      <c r="A56" s="1631" t="s">
        <v>2998</v>
      </c>
      <c r="B56" s="1348"/>
      <c r="C56" s="1349"/>
      <c r="D56" s="1168"/>
      <c r="E56" s="147"/>
      <c r="F56" s="147"/>
      <c r="G56" s="147"/>
      <c r="H56" s="147"/>
      <c r="I56" s="147"/>
      <c r="J56" s="147"/>
      <c r="K56" s="1502">
        <f>N48</f>
        <v>0</v>
      </c>
      <c r="L56" s="843"/>
      <c r="M56" s="1387" t="str">
        <f>Uebersetzung!D473</f>
        <v>PV nicht anrechenbar</v>
      </c>
      <c r="N56" s="1388">
        <f>N54/4*6</f>
        <v>0</v>
      </c>
      <c r="O56" s="1387" t="s">
        <v>524</v>
      </c>
      <c r="P56" s="1387"/>
      <c r="Q56" s="1388">
        <v>1</v>
      </c>
      <c r="R56" s="1387">
        <v>3</v>
      </c>
      <c r="S56" s="1387">
        <v>1</v>
      </c>
      <c r="T56" s="1387">
        <v>3</v>
      </c>
      <c r="U56" s="1900"/>
      <c r="V56" s="1900"/>
      <c r="W56" s="843"/>
      <c r="X56" s="843"/>
    </row>
    <row r="57" spans="1:24" s="5" customFormat="1" ht="17.25" customHeight="1">
      <c r="A57" s="1632"/>
      <c r="B57" s="1348"/>
      <c r="C57" s="1351"/>
      <c r="D57" s="1352"/>
      <c r="E57" s="147"/>
      <c r="F57" s="147"/>
      <c r="G57" s="147"/>
      <c r="H57" s="147"/>
      <c r="I57" s="147"/>
      <c r="J57" s="147"/>
      <c r="K57" s="1501" t="str">
        <f>Uebersetzung!D479&amp;" "&amp;Uebersetzung!D486</f>
        <v>MKZ AGT</v>
      </c>
      <c r="L57" s="843"/>
      <c r="M57" s="1387"/>
      <c r="N57" s="1387"/>
      <c r="O57" s="1387"/>
      <c r="P57" s="1387"/>
      <c r="Q57" s="1387"/>
      <c r="R57" s="1387"/>
      <c r="S57" s="1387"/>
      <c r="T57" s="1387"/>
      <c r="U57" s="1900"/>
      <c r="V57" s="1900"/>
      <c r="W57" s="843"/>
      <c r="X57" s="843"/>
    </row>
    <row r="58" spans="1:24" s="5" customFormat="1" ht="17.25" customHeight="1">
      <c r="A58" s="1632" t="s">
        <v>2999</v>
      </c>
      <c r="B58" s="1348"/>
      <c r="C58" s="1351"/>
      <c r="D58" s="1168"/>
      <c r="E58" s="147"/>
      <c r="F58" s="147"/>
      <c r="G58" s="147"/>
      <c r="H58" s="147"/>
      <c r="I58" s="147"/>
      <c r="J58" s="147"/>
      <c r="K58" s="1502">
        <f>N49</f>
        <v>0</v>
      </c>
      <c r="L58" s="843"/>
      <c r="M58" s="1387" t="str">
        <f>Uebersetzung!D447</f>
        <v>Optimierungspotential</v>
      </c>
      <c r="N58" s="1388">
        <f>H30-F30</f>
        <v>0</v>
      </c>
      <c r="O58" s="1387" t="s">
        <v>524</v>
      </c>
      <c r="P58" s="1387"/>
      <c r="Q58" s="1388"/>
      <c r="R58" s="1387"/>
      <c r="S58" s="1387"/>
      <c r="T58" s="1387"/>
      <c r="U58" s="1900"/>
      <c r="V58" s="1900"/>
      <c r="W58" s="843"/>
      <c r="X58" s="843"/>
    </row>
    <row r="59" spans="1:24" s="5" customFormat="1" ht="17.25" customHeight="1">
      <c r="A59" s="1632"/>
      <c r="B59" s="1348"/>
      <c r="C59" s="1351"/>
      <c r="D59" s="1168"/>
      <c r="E59" s="147"/>
      <c r="F59" s="147"/>
      <c r="G59" s="147"/>
      <c r="H59" s="147"/>
      <c r="I59" s="147"/>
      <c r="J59" s="147"/>
      <c r="K59" s="1501" t="str">
        <f>"E "&amp;Uebersetzung!D487</f>
        <v>E EB</v>
      </c>
      <c r="L59" s="843"/>
      <c r="M59" s="1387"/>
      <c r="N59" s="1387"/>
      <c r="O59" s="1387"/>
      <c r="P59" s="1387"/>
      <c r="Q59" s="1388"/>
      <c r="R59" s="1387"/>
      <c r="S59" s="1387">
        <v>1</v>
      </c>
      <c r="T59" s="1387">
        <v>3</v>
      </c>
      <c r="U59" s="1900"/>
      <c r="V59" s="1900"/>
      <c r="W59" s="843"/>
      <c r="X59" s="843"/>
    </row>
    <row r="60" spans="1:24" s="5" customFormat="1" ht="17.25" customHeight="1">
      <c r="A60" s="1632" t="s">
        <v>3000</v>
      </c>
      <c r="B60" s="1348"/>
      <c r="C60" s="1351" t="b">
        <v>0</v>
      </c>
      <c r="D60" s="1168"/>
      <c r="E60" s="147"/>
      <c r="F60" s="147"/>
      <c r="G60" s="147"/>
      <c r="H60" s="147"/>
      <c r="I60" s="147"/>
      <c r="J60" s="147"/>
      <c r="K60" s="1502">
        <f>N53</f>
        <v>0</v>
      </c>
      <c r="L60" s="843"/>
      <c r="M60" s="1387" t="str">
        <f>M52</f>
        <v>MKZ berechneter Wert</v>
      </c>
      <c r="N60" s="1383">
        <f>H30</f>
        <v>0</v>
      </c>
      <c r="O60" s="1387" t="s">
        <v>524</v>
      </c>
      <c r="P60" s="1387"/>
      <c r="Q60" s="843"/>
      <c r="R60" s="843"/>
      <c r="S60" s="1388">
        <f>N60</f>
        <v>0</v>
      </c>
      <c r="T60" s="1388">
        <f>S60</f>
        <v>0</v>
      </c>
      <c r="U60" s="1900"/>
      <c r="V60" s="1900"/>
      <c r="W60" s="843"/>
      <c r="X60" s="843"/>
    </row>
    <row r="61" spans="1:24" s="5" customFormat="1" ht="17.25" customHeight="1">
      <c r="A61" s="1632"/>
      <c r="B61" s="1348"/>
      <c r="C61" s="1351" t="b">
        <v>0</v>
      </c>
      <c r="D61" s="1168"/>
      <c r="E61" s="147"/>
      <c r="F61" s="147"/>
      <c r="G61" s="147"/>
      <c r="H61" s="147"/>
      <c r="I61" s="147"/>
      <c r="J61" s="147"/>
      <c r="K61" s="1501" t="str">
        <f>"E "&amp;Uebersetzung!D488</f>
        <v>E Netz</v>
      </c>
      <c r="L61" s="843"/>
      <c r="M61" s="1387" t="str">
        <f>Uebersetzung!D450</f>
        <v>MKZ Anforderung</v>
      </c>
      <c r="N61" s="1388">
        <f>F30</f>
        <v>0</v>
      </c>
      <c r="O61" s="1387" t="s">
        <v>524</v>
      </c>
      <c r="P61" s="1387"/>
      <c r="Q61" s="843"/>
      <c r="R61" s="843"/>
      <c r="S61" s="1388">
        <f>N61</f>
        <v>0</v>
      </c>
      <c r="T61" s="1388">
        <f>S61</f>
        <v>0</v>
      </c>
      <c r="U61" s="1900"/>
      <c r="V61" s="1900"/>
      <c r="W61" s="843"/>
      <c r="X61" s="843"/>
    </row>
    <row r="62" spans="1:24" s="5" customFormat="1" ht="17.25" customHeight="1">
      <c r="A62" s="1632" t="s">
        <v>3001</v>
      </c>
      <c r="B62" s="1348"/>
      <c r="C62" s="1351" t="b">
        <v>1</v>
      </c>
      <c r="D62" s="1168"/>
      <c r="E62" s="147"/>
      <c r="F62" s="147"/>
      <c r="G62" s="147"/>
      <c r="H62" s="147"/>
      <c r="I62" s="147"/>
      <c r="J62" s="147"/>
      <c r="K62" s="1502">
        <f>N54</f>
        <v>0</v>
      </c>
      <c r="L62" s="1383"/>
      <c r="M62" s="1387" t="str">
        <f>Uebersetzung!D449</f>
        <v>Bedarf</v>
      </c>
      <c r="N62" s="1387"/>
      <c r="O62" s="1387"/>
      <c r="P62" s="1387"/>
      <c r="Q62" s="1388"/>
      <c r="R62" s="1387"/>
      <c r="S62" s="1387"/>
      <c r="T62" s="1387"/>
      <c r="U62" s="1900"/>
      <c r="V62" s="1900"/>
      <c r="W62" s="843"/>
      <c r="X62" s="843"/>
    </row>
    <row r="63" spans="1:24" s="5" customFormat="1" ht="17.25" customHeight="1">
      <c r="A63" s="1632" t="s">
        <v>3002</v>
      </c>
      <c r="B63" s="225"/>
      <c r="C63" s="1353"/>
      <c r="D63" s="1354"/>
      <c r="E63" s="155"/>
      <c r="F63" s="155"/>
      <c r="G63" s="155"/>
      <c r="H63" s="155"/>
      <c r="I63" s="155"/>
      <c r="J63" s="155"/>
      <c r="K63" s="1583" t="str">
        <f>Uebersetzung!D479&amp;" = "&amp;ROUND(N52,1)</f>
        <v>MKZ = 0</v>
      </c>
      <c r="L63" s="843"/>
      <c r="M63" s="1387" t="str">
        <f>Uebersetzung!D471</f>
        <v xml:space="preserve">   Produktion PV</v>
      </c>
      <c r="N63" s="1387"/>
      <c r="O63" s="1387"/>
      <c r="P63" s="1387"/>
      <c r="Q63" s="1387"/>
      <c r="R63" s="1387"/>
      <c r="S63" s="1387"/>
      <c r="T63" s="1387"/>
      <c r="U63" s="1900"/>
      <c r="V63" s="1900"/>
      <c r="W63" s="843"/>
      <c r="X63" s="843"/>
    </row>
    <row r="64" spans="1:24" s="5" customFormat="1" ht="17.25" hidden="1" customHeight="1">
      <c r="A64" s="1632" t="s">
        <v>116</v>
      </c>
      <c r="B64" s="1365" t="str">
        <f>IF(auswahl8&gt;0,INDEX(#REF!,9),"")</f>
        <v/>
      </c>
      <c r="C64" s="1366"/>
      <c r="D64" s="1079" t="str">
        <f>IF(auswahl8&gt;0,INDEX(#REF!,9),"")</f>
        <v/>
      </c>
      <c r="E64" s="1080"/>
      <c r="F64" s="1081"/>
      <c r="G64" s="1082" t="s">
        <v>310</v>
      </c>
      <c r="H64" s="1082" t="s">
        <v>311</v>
      </c>
      <c r="I64" s="1083">
        <f>IF(OR(minergiep,minergiea),IF(Neubau=2,"0.6 1/h",IF(Neubau=3,"1.5 1/h","0.6 (bzw. 1.5)")),)</f>
        <v>0</v>
      </c>
      <c r="J64" s="1367"/>
      <c r="K64" s="1368"/>
      <c r="L64" s="842"/>
      <c r="M64" s="1589" t="b">
        <v>0</v>
      </c>
      <c r="N64" s="1387"/>
      <c r="O64" s="1387"/>
      <c r="P64" s="1387"/>
      <c r="Q64" s="1387"/>
      <c r="R64" s="1387"/>
      <c r="S64" s="1387"/>
      <c r="T64" s="1387"/>
      <c r="U64" s="1900"/>
      <c r="V64" s="1900"/>
      <c r="W64" s="843"/>
      <c r="X64" s="843"/>
    </row>
    <row r="65" spans="1:24" s="525" customFormat="1">
      <c r="A65" s="1634"/>
      <c r="B65" s="1369">
        <f ca="1">NOW()</f>
        <v>43696.566528009258</v>
      </c>
      <c r="C65" s="5"/>
      <c r="D65" s="5"/>
      <c r="E65" s="5"/>
      <c r="F65" s="5"/>
      <c r="G65" s="5"/>
      <c r="H65" s="5"/>
      <c r="I65" s="5"/>
      <c r="J65" s="5"/>
      <c r="K65" s="815" t="str">
        <f>Eingaben!K47</f>
        <v xml:space="preserve"> /  /  /  /  /  / </v>
      </c>
      <c r="L65" s="1384"/>
      <c r="M65" s="1387" t="str">
        <f>Uebersetzung!D472</f>
        <v xml:space="preserve">           Objektwert
 </v>
      </c>
      <c r="N65" s="1593"/>
      <c r="O65" s="1593"/>
      <c r="P65" s="1593"/>
      <c r="Q65" s="1593"/>
      <c r="R65" s="1593"/>
      <c r="S65" s="1593"/>
      <c r="T65" s="1593"/>
      <c r="U65" s="1902"/>
      <c r="V65" s="1902"/>
      <c r="W65" s="1385"/>
      <c r="X65" s="1385"/>
    </row>
    <row r="66" spans="1:24" s="525" customFormat="1">
      <c r="A66" s="1634"/>
      <c r="F66" s="1315"/>
      <c r="G66" s="1315"/>
      <c r="H66" s="1315"/>
      <c r="I66" s="1716"/>
      <c r="L66" s="1384"/>
      <c r="M66" s="1594"/>
      <c r="N66" s="1593"/>
      <c r="O66" s="1593"/>
      <c r="P66" s="1593"/>
      <c r="Q66" s="1593"/>
      <c r="R66" s="1593"/>
      <c r="S66" s="1593"/>
      <c r="T66" s="1593"/>
      <c r="U66" s="1902"/>
      <c r="V66" s="1902"/>
      <c r="W66" s="1385"/>
      <c r="X66" s="1385"/>
    </row>
    <row r="67" spans="1:24">
      <c r="K67" s="1714"/>
      <c r="M67" s="1595" t="str">
        <f>Uebersetzung!D477</f>
        <v xml:space="preserve">                                          E HWLK,li  +
                             Standardbedarf Elektrizität
  </v>
      </c>
    </row>
  </sheetData>
  <sheetProtection password="C616" sheet="1" objects="1" scenarios="1"/>
  <mergeCells count="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4">
    <pageSetUpPr fitToPage="1"/>
  </sheetPr>
  <dimension ref="A1:CQ240"/>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60" customWidth="1"/>
    <col min="19" max="19" width="10.42578125" style="160" customWidth="1"/>
    <col min="20" max="20" width="40.140625" style="160" customWidth="1"/>
    <col min="21" max="21" width="30.28515625" style="160" customWidth="1"/>
    <col min="22" max="22" width="36.7109375" style="160"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40" width="8.7109375" style="27" customWidth="1"/>
    <col min="41" max="41" width="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60" t="s">
        <v>714</v>
      </c>
      <c r="S1" s="160" t="b">
        <f>OR(Kategorie1=4,Kategorie2=4,Kategorie3=4,Kategorie4=4)</f>
        <v>0</v>
      </c>
      <c r="Z1" s="108" t="str">
        <f>Eingaben!K1</f>
        <v>Formular EN101b, v2.3, zu verwenden bis 31. Dezember 2019</v>
      </c>
      <c r="AD1" s="42"/>
      <c r="BC1" s="274" t="s">
        <v>20</v>
      </c>
    </row>
    <row r="2" spans="1:57" ht="15.75">
      <c r="A2" s="274" t="s">
        <v>682</v>
      </c>
      <c r="I2" s="274" t="s">
        <v>684</v>
      </c>
      <c r="M2" s="369" t="s">
        <v>192</v>
      </c>
      <c r="N2" s="370">
        <f>IF(EBF&gt;0,(_qhs1*_EBF1+_qhs2*_EBF2+_qhs3*_EBF3+_qhs4*_EBF4)/EBF,0)</f>
        <v>0</v>
      </c>
      <c r="O2" s="325" t="s">
        <v>191</v>
      </c>
      <c r="R2" s="160" t="s">
        <v>712</v>
      </c>
      <c r="S2" s="160" t="b">
        <f>OR(Kategorie1=5,Kategorie2=5,Kategorie3=5,Kategorie4=5)</f>
        <v>0</v>
      </c>
      <c r="U2" s="769" t="s">
        <v>1227</v>
      </c>
      <c r="AE2" s="274" t="s">
        <v>683</v>
      </c>
    </row>
    <row r="3" spans="1:57">
      <c r="B3" s="160"/>
      <c r="I3" s="42"/>
      <c r="J3" s="42"/>
      <c r="K3" s="42"/>
      <c r="L3" s="42"/>
      <c r="M3" s="372" t="s">
        <v>193</v>
      </c>
      <c r="N3" s="373">
        <f>IF(AND(Zonen&lt;&gt;1,Zonen&lt;&gt;2,Zonen&lt;&gt;3,Zonen&lt;&gt;4),0,1)</f>
        <v>0</v>
      </c>
      <c r="O3" s="42" t="s">
        <v>194</v>
      </c>
      <c r="P3" s="42"/>
      <c r="Q3" s="42"/>
      <c r="R3" s="85" t="s">
        <v>713</v>
      </c>
      <c r="S3" s="160" t="b">
        <f>OR(Kategorie1=6,Kategorie2=6,Kategorie3=6,Kategorie4=6)</f>
        <v>0</v>
      </c>
      <c r="U3" s="1032">
        <f>IF(MUKEN,0.15,0.15)</f>
        <v>0.15</v>
      </c>
      <c r="BB3" s="310"/>
      <c r="BC3" s="63" t="s">
        <v>21</v>
      </c>
      <c r="BD3" s="64" t="s">
        <v>264</v>
      </c>
    </row>
    <row r="4" spans="1:57" ht="19.7" customHeight="1">
      <c r="A4" s="54" t="s">
        <v>719</v>
      </c>
      <c r="B4" s="509">
        <f>IF(Eingaben!$I$14="",1,VLOOKUP(Eingaben!$I$14,Standardwerte!$A$7:$G$47,7,FALSE))</f>
        <v>1</v>
      </c>
      <c r="C4" s="77" t="str">
        <f>IF(Klima&gt;0,INDEX(A7:A47,Klima,1),)</f>
        <v xml:space="preserve"> </v>
      </c>
      <c r="D4" s="78" t="str">
        <f>IF(Klima&gt;0,INDEX(E7:E47,Klima,1),)</f>
        <v xml:space="preserve"> </v>
      </c>
      <c r="E4" s="79" t="s">
        <v>251</v>
      </c>
      <c r="F4" s="556" t="str">
        <f>IF(Klima&gt;0,INDEX(F7:F47,Klima,1),)</f>
        <v xml:space="preserve"> </v>
      </c>
      <c r="I4" s="399" t="s">
        <v>632</v>
      </c>
      <c r="J4" s="261" t="s">
        <v>635</v>
      </c>
      <c r="K4" s="172" t="str">
        <f>IF(Kategorie1&lt;2,"",INDEX(I9:I21,Kategorie1,1))</f>
        <v/>
      </c>
      <c r="L4" s="261" t="s">
        <v>636</v>
      </c>
      <c r="M4" s="262" t="str">
        <f>IF(Kategorie2&lt;2,"",INDEX(I9:I21,Kategorie2,1))</f>
        <v/>
      </c>
      <c r="N4" s="261" t="s">
        <v>637</v>
      </c>
      <c r="O4" s="262" t="str">
        <f>IF(Kategorie3&lt;2,"",INDEX(I9:I21,Kategorie3,1))</f>
        <v/>
      </c>
      <c r="P4" s="261" t="s">
        <v>638</v>
      </c>
      <c r="Q4" s="262" t="str">
        <f>IF(Kategorie4&lt;2,"",INDEX(I9:I21,Kategorie4,1))</f>
        <v/>
      </c>
      <c r="R4" s="297" t="s">
        <v>178</v>
      </c>
      <c r="S4" s="297" t="b">
        <f>IF(OR(Kategorie2&gt;1,Kategorie3&gt;1,Kategorie4&gt;1),IF(OR(Kategorie1=13,Kategorie2=13,Kategorie3=13,Kategorie4=13),IF(OR(AND(Kategorie1&gt;1,Kategorie1&lt;13),AND(Kategorie2&gt;1,Kategorie2&lt;13),AND(Kategorie3&gt;1,Kategorie3&lt;13),AND(Kategorie4&gt;1,Kategorie4&lt;13)),TRUE,FALSE),FALSE),FALSE)</f>
        <v>0</v>
      </c>
      <c r="AE4" s="346" t="s">
        <v>652</v>
      </c>
      <c r="AF4" s="141" t="s">
        <v>697</v>
      </c>
      <c r="AG4" s="142">
        <v>1</v>
      </c>
      <c r="AH4" s="142">
        <v>2</v>
      </c>
      <c r="AI4" s="142">
        <v>3</v>
      </c>
      <c r="AJ4" s="142">
        <v>4</v>
      </c>
      <c r="AK4" s="142">
        <v>5</v>
      </c>
      <c r="AL4" s="142">
        <v>6</v>
      </c>
      <c r="AM4" s="142">
        <v>7</v>
      </c>
      <c r="AN4" s="142">
        <v>8</v>
      </c>
      <c r="AO4" s="142">
        <v>9</v>
      </c>
      <c r="AP4" s="142">
        <v>10</v>
      </c>
      <c r="AQ4" s="142">
        <v>11</v>
      </c>
      <c r="AR4" s="142">
        <v>12</v>
      </c>
      <c r="AS4" s="344">
        <v>13</v>
      </c>
      <c r="AT4" s="310"/>
      <c r="AU4" s="310"/>
      <c r="AV4" s="346" t="s">
        <v>698</v>
      </c>
      <c r="AW4" s="143" t="s">
        <v>698</v>
      </c>
      <c r="AX4" s="143" t="s">
        <v>698</v>
      </c>
      <c r="AY4" s="143" t="s">
        <v>698</v>
      </c>
      <c r="AZ4" s="143" t="s">
        <v>698</v>
      </c>
      <c r="BA4" s="107" t="s">
        <v>479</v>
      </c>
      <c r="BB4" s="311">
        <v>1</v>
      </c>
      <c r="BC4" s="280"/>
      <c r="BD4" s="301"/>
      <c r="BE4" s="311">
        <v>1</v>
      </c>
    </row>
    <row r="5" spans="1:57">
      <c r="A5" s="81" t="s">
        <v>232</v>
      </c>
      <c r="B5" s="82" t="s">
        <v>247</v>
      </c>
      <c r="C5" s="82" t="s">
        <v>248</v>
      </c>
      <c r="D5" s="83" t="s">
        <v>477</v>
      </c>
      <c r="E5" s="82" t="s">
        <v>249</v>
      </c>
      <c r="F5" s="84" t="s">
        <v>233</v>
      </c>
      <c r="I5" s="398"/>
      <c r="J5" s="318" t="s">
        <v>168</v>
      </c>
      <c r="K5" s="321">
        <f>IF(AND(Kategorie1=13,BadMisch),0,Eingaben!F19)</f>
        <v>0</v>
      </c>
      <c r="L5" s="318" t="s">
        <v>169</v>
      </c>
      <c r="M5" s="321">
        <f>IF(Zonen&gt;1,IF(AND(Kategorie2=13,BadMisch),0,Eingaben!G19),0)</f>
        <v>0</v>
      </c>
      <c r="N5" s="318" t="s">
        <v>170</v>
      </c>
      <c r="O5" s="321">
        <f>IF(Zonen&gt;2,IF(AND(Kategorie3=13,BadMisch),0,Eingaben!H19),0)</f>
        <v>0</v>
      </c>
      <c r="P5" s="318" t="s">
        <v>171</v>
      </c>
      <c r="Q5" s="321">
        <f>IF(Zonen&gt;3,IF(AND(Kategorie4=13,BadMisch),0,Eingaben!I19),0)</f>
        <v>0</v>
      </c>
      <c r="R5" s="322" t="s">
        <v>552</v>
      </c>
      <c r="S5" s="322" t="b">
        <f>IF(Warmwasser,IF(OR(IF(Kategorie1&gt;0,INDEX(S9:S21,Kategorie1,1)=FALSE,FALSE),IF(Kategorie2&gt;0,INDEX(S9:S21,Kategorie2,1)=FALSE,FALSE),IF(Kategorie3&gt;0,INDEX(S9:S21,Kategorie3,1)=FALSE,FALSE),IF(Kategorie4&gt;0,INDEX(S9:S21,Kategorie4,1)=FALSE,FALSE)),FALSE,TRUE),FALSE)</f>
        <v>0</v>
      </c>
      <c r="AE5" s="1404" t="str">
        <f>IF(auswahl2=1,INDEX(Standardwerte!$AF$5:$AF$13,3),"")</f>
        <v/>
      </c>
      <c r="AF5" s="1406"/>
      <c r="AG5" s="145"/>
      <c r="AH5" s="145" t="str">
        <f>INDEX($I$9:$I$21,AH4,1)</f>
        <v>MFH</v>
      </c>
      <c r="AI5" s="145" t="str">
        <f t="shared" ref="AI5:AS5" si="0">INDEX($I$9:$I$21,AI4,1)</f>
        <v>EFH</v>
      </c>
      <c r="AJ5" s="145" t="str">
        <f t="shared" si="0"/>
        <v>Verwaltung</v>
      </c>
      <c r="AK5" s="145" t="str">
        <f t="shared" si="0"/>
        <v>Schule</v>
      </c>
      <c r="AL5" s="145" t="str">
        <f t="shared" si="0"/>
        <v>Verkauf</v>
      </c>
      <c r="AM5" s="145" t="str">
        <f t="shared" si="0"/>
        <v>Restaurant</v>
      </c>
      <c r="AN5" s="145" t="str">
        <f t="shared" si="0"/>
        <v>Vers.-Lokal</v>
      </c>
      <c r="AO5" s="145" t="str">
        <f t="shared" si="0"/>
        <v>Spitäler</v>
      </c>
      <c r="AP5" s="145" t="str">
        <f t="shared" si="0"/>
        <v>Industrie</v>
      </c>
      <c r="AQ5" s="145" t="str">
        <f t="shared" si="0"/>
        <v>Lager</v>
      </c>
      <c r="AR5" s="145" t="str">
        <f t="shared" si="0"/>
        <v>Sportbau</v>
      </c>
      <c r="AS5" s="345" t="str">
        <f t="shared" si="0"/>
        <v>Hallenbad</v>
      </c>
      <c r="AT5" s="348" t="s">
        <v>650</v>
      </c>
      <c r="AU5" s="348" t="s">
        <v>651</v>
      </c>
      <c r="AV5" s="347" t="s">
        <v>555</v>
      </c>
      <c r="AW5" s="144" t="s">
        <v>556</v>
      </c>
      <c r="AX5" s="144" t="s">
        <v>234</v>
      </c>
      <c r="AY5" s="144" t="s">
        <v>235</v>
      </c>
      <c r="AZ5" s="144" t="s">
        <v>212</v>
      </c>
      <c r="BA5" s="543"/>
      <c r="BB5" s="89">
        <v>2</v>
      </c>
      <c r="BC5" s="552" t="str">
        <f t="shared" ref="BC5:BC32" si="1">A98</f>
        <v>Aargau</v>
      </c>
      <c r="BD5" s="309" t="b">
        <v>1</v>
      </c>
      <c r="BE5" s="89">
        <v>2</v>
      </c>
    </row>
    <row r="6" spans="1:57" ht="15" customHeight="1">
      <c r="A6" s="86"/>
      <c r="B6" s="82"/>
      <c r="C6" s="82" t="s">
        <v>250</v>
      </c>
      <c r="D6" s="83" t="s">
        <v>213</v>
      </c>
      <c r="E6" s="82" t="s">
        <v>251</v>
      </c>
      <c r="F6" s="87" t="s">
        <v>206</v>
      </c>
      <c r="G6" s="592"/>
      <c r="I6" s="350"/>
      <c r="J6" s="319" t="s">
        <v>172</v>
      </c>
      <c r="K6" s="320">
        <f>IF(AND(Kategorie1=13,BadMisch),0,Eingaben!F91)</f>
        <v>0</v>
      </c>
      <c r="L6" s="319" t="s">
        <v>173</v>
      </c>
      <c r="M6" s="320">
        <f>IF(Zonen&gt;1,IF(AND(Kategorie2=13,BadMisch),0,Eingaben!G91),0)</f>
        <v>0</v>
      </c>
      <c r="N6" s="319" t="s">
        <v>174</v>
      </c>
      <c r="O6" s="320">
        <f>IF(Zonen&gt;2,IF(AND(Kategorie3=13,BadMisch),0,Eingaben!H91),0)</f>
        <v>0</v>
      </c>
      <c r="P6" s="319" t="s">
        <v>175</v>
      </c>
      <c r="Q6" s="320">
        <f>IF(Zonen&gt;3,IF(AND(Kategorie4=13,BadMisch),0,Eingaben!I91),0)</f>
        <v>0</v>
      </c>
      <c r="R6" s="298" t="b">
        <f>OR(WWBonus1,WWBonus2,WWBonus3,WWBonus4)</f>
        <v>0</v>
      </c>
      <c r="S6" s="298"/>
      <c r="AE6" s="1843">
        <v>1</v>
      </c>
      <c r="AF6" s="1844" t="str">
        <f>Uebersetzung!D389</f>
        <v>Luftdichtheit der Hüllfläche</v>
      </c>
      <c r="AG6" s="1405"/>
      <c r="AH6" s="152">
        <v>1</v>
      </c>
      <c r="AI6" s="153">
        <v>1</v>
      </c>
      <c r="AJ6" s="153">
        <v>1</v>
      </c>
      <c r="AK6" s="153">
        <v>1</v>
      </c>
      <c r="AL6" s="153">
        <v>1</v>
      </c>
      <c r="AM6" s="153">
        <v>1</v>
      </c>
      <c r="AN6" s="153">
        <v>1</v>
      </c>
      <c r="AO6" s="153">
        <v>1</v>
      </c>
      <c r="AP6" s="153">
        <v>1</v>
      </c>
      <c r="AQ6" s="153">
        <v>1</v>
      </c>
      <c r="AR6" s="153">
        <v>1</v>
      </c>
      <c r="AS6" s="153">
        <v>1</v>
      </c>
      <c r="AT6" s="349">
        <v>1</v>
      </c>
      <c r="AU6" s="349">
        <v>1</v>
      </c>
      <c r="AV6" s="139">
        <f>IF(Kategorie1&gt;0,IF(Neubau1=2,$AT6,$AU6)*INDEX($AG6:$AS6,1,Kategorie1),)</f>
        <v>0</v>
      </c>
      <c r="AW6" s="139">
        <f>IF(Kategorie2&gt;0,IF(Neubau2=2,$AT6,$AU6)*INDEX($AG6:$AS6,1,Kategorie2),)</f>
        <v>0</v>
      </c>
      <c r="AX6" s="139">
        <f>IF(Kategorie3&gt;0,IF(Neubau3=2,$AT6,$AU6)*INDEX($AG6:$AS6,1,Kategorie3),)</f>
        <v>0</v>
      </c>
      <c r="AY6" s="139">
        <f>IF(Kategorie4&gt;0,IF(Neubau4=2,$AT6,$AU6)*INDEX($AG6:$AS6,1,Kategorie4),)</f>
        <v>0</v>
      </c>
      <c r="AZ6" s="139">
        <f>SUM(AV6:AY6)</f>
        <v>0</v>
      </c>
      <c r="BA6" s="544" t="str">
        <f>IF(OR(minergiea,minergiep),Uebersetzung!D529,Uebersetzung!D406)</f>
        <v>Konzept Lufdichtheit beigelegt?</v>
      </c>
      <c r="BB6" s="123">
        <v>3</v>
      </c>
      <c r="BC6" s="553" t="str">
        <f t="shared" si="1"/>
        <v>Appenzell Innerrhoden</v>
      </c>
      <c r="BD6" s="179" t="b">
        <v>1</v>
      </c>
      <c r="BE6" s="123">
        <v>3</v>
      </c>
    </row>
    <row r="7" spans="1:57" ht="13.5">
      <c r="A7" s="88" t="s">
        <v>199</v>
      </c>
      <c r="B7" s="51" t="s">
        <v>199</v>
      </c>
      <c r="C7" s="51" t="s">
        <v>199</v>
      </c>
      <c r="D7" s="51"/>
      <c r="E7" s="89" t="s">
        <v>199</v>
      </c>
      <c r="F7" s="89" t="s">
        <v>199</v>
      </c>
      <c r="G7" s="592">
        <v>1</v>
      </c>
      <c r="I7" s="37" t="s">
        <v>241</v>
      </c>
      <c r="J7" s="38" t="s">
        <v>80</v>
      </c>
      <c r="K7" s="39" t="s">
        <v>81</v>
      </c>
      <c r="L7" s="38" t="s">
        <v>46</v>
      </c>
      <c r="M7" s="38" t="s">
        <v>641</v>
      </c>
      <c r="N7" s="38" t="s">
        <v>642</v>
      </c>
      <c r="O7" s="45" t="s">
        <v>334</v>
      </c>
      <c r="P7" s="259" t="s">
        <v>694</v>
      </c>
      <c r="Q7" s="259" t="s">
        <v>695</v>
      </c>
      <c r="R7" s="260" t="s">
        <v>362</v>
      </c>
      <c r="S7" s="897" t="s">
        <v>313</v>
      </c>
      <c r="T7" s="40"/>
      <c r="U7" s="769" t="s">
        <v>807</v>
      </c>
      <c r="V7" s="1884" t="s">
        <v>821</v>
      </c>
      <c r="W7" s="85"/>
      <c r="AE7" s="1830">
        <v>1</v>
      </c>
      <c r="AF7" s="550" t="str">
        <f>Uebersetzung!D390</f>
        <v>Luftdichtheit der Hüllfläche, Erneuerung</v>
      </c>
      <c r="AG7" s="1405"/>
      <c r="AH7" s="152">
        <v>1</v>
      </c>
      <c r="AI7" s="153">
        <v>1</v>
      </c>
      <c r="AJ7" s="153">
        <v>1</v>
      </c>
      <c r="AK7" s="153">
        <v>1</v>
      </c>
      <c r="AL7" s="153">
        <v>1</v>
      </c>
      <c r="AM7" s="257">
        <v>1</v>
      </c>
      <c r="AN7" s="257">
        <v>1</v>
      </c>
      <c r="AO7" s="153">
        <v>1</v>
      </c>
      <c r="AP7" s="153">
        <v>1</v>
      </c>
      <c r="AQ7" s="153">
        <v>1</v>
      </c>
      <c r="AR7" s="153">
        <v>1</v>
      </c>
      <c r="AS7" s="153">
        <v>1</v>
      </c>
      <c r="AT7" s="153">
        <v>0</v>
      </c>
      <c r="AU7" s="153">
        <v>1</v>
      </c>
      <c r="AV7" s="139">
        <f>IF(Kategorie1&gt;0,IF(Neubau1=3,AU7,AT7)*INDEX($AG7:$AS7,1,Kategorie1),)</f>
        <v>0</v>
      </c>
      <c r="AW7" s="139">
        <f>IF(Kategorie2&gt;0,IF(Neubau2=3,AU7,AT7)*INDEX($AG7:$AS7,1,Kategorie2),)</f>
        <v>0</v>
      </c>
      <c r="AX7" s="139">
        <f>IF(Kategorie3&gt;0,IF(Neubau3=3,AU7,AT7)*INDEX($AG7:$AS7,1,Kategorie3),)</f>
        <v>0</v>
      </c>
      <c r="AY7" s="139">
        <f>IF(Kategorie4&gt;0,IF(Neubau4=3,AU7,AT7)*INDEX($AG7:$AS7,1,Kategorie4),)</f>
        <v>0</v>
      </c>
      <c r="AZ7" s="139">
        <f t="shared" ref="AZ7:AZ13" si="2">SUM(AV7:AY7)</f>
        <v>0</v>
      </c>
      <c r="BA7" s="544" t="s">
        <v>557</v>
      </c>
      <c r="BB7" s="123">
        <v>4</v>
      </c>
      <c r="BC7" s="553" t="str">
        <f t="shared" si="1"/>
        <v>Appenzell Ausserrhoden</v>
      </c>
      <c r="BD7" s="179" t="b">
        <v>1</v>
      </c>
      <c r="BE7" s="123">
        <v>4</v>
      </c>
    </row>
    <row r="8" spans="1:57">
      <c r="A8" s="550"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92">
        <v>2</v>
      </c>
      <c r="I8" s="37"/>
      <c r="J8" s="38" t="s">
        <v>336</v>
      </c>
      <c r="K8" s="38" t="s">
        <v>336</v>
      </c>
      <c r="L8" s="38" t="s">
        <v>336</v>
      </c>
      <c r="M8" s="38" t="s">
        <v>337</v>
      </c>
      <c r="N8" s="38" t="s">
        <v>338</v>
      </c>
      <c r="O8" s="45" t="s">
        <v>723</v>
      </c>
      <c r="P8" s="45" t="s">
        <v>693</v>
      </c>
      <c r="Q8" s="45" t="s">
        <v>693</v>
      </c>
      <c r="R8" s="45" t="s">
        <v>465</v>
      </c>
      <c r="S8" s="45" t="s">
        <v>467</v>
      </c>
      <c r="T8" s="45"/>
      <c r="U8" s="770" t="s">
        <v>806</v>
      </c>
      <c r="V8" s="770" t="s">
        <v>582</v>
      </c>
      <c r="W8" s="160"/>
      <c r="AE8" s="1830">
        <v>1</v>
      </c>
      <c r="AF8" s="550" t="str">
        <f>Uebersetzung!D392</f>
        <v>Warmwasser</v>
      </c>
      <c r="AG8" s="1405"/>
      <c r="AH8" s="152"/>
      <c r="AI8" s="153"/>
      <c r="AJ8" s="153"/>
      <c r="AK8" s="153"/>
      <c r="AL8" s="153"/>
      <c r="AM8" s="257">
        <v>1</v>
      </c>
      <c r="AN8" s="153"/>
      <c r="AO8" s="153"/>
      <c r="AP8" s="153"/>
      <c r="AQ8" s="153"/>
      <c r="AR8" s="153">
        <v>1</v>
      </c>
      <c r="AS8" s="153">
        <v>1</v>
      </c>
      <c r="AT8" s="153">
        <v>1</v>
      </c>
      <c r="AU8" s="153">
        <v>1</v>
      </c>
      <c r="AV8" s="139">
        <f>IF(Kategorie1&gt;0,IF(OR(minergiea,minergiep),IF($AE8,IF(OR(Neubau1=2,Neubau1=1),$AT8,$AU8)*INDEX($AG8:$AS8,1,Kategorie1),0),IF(OR(Neubau1=2,Neubau1=1),$AT8,$AU8)*INDEX($AG8:$AS8,1,Kategorie1)),)</f>
        <v>0</v>
      </c>
      <c r="AW8" s="139">
        <f>IF(Kategorie2&gt;0,IF(OR(minergiea,minergiep),IF($AE8,IF(OR(Neubau2=2,Neubau2=1),$AT8,$AU8)*INDEX($AG8:$AS8,1,Kategorie2),0),IF(OR(Neubau2=2,Neubau2=1),$AT8,$AU8)*INDEX($AG8:$AS8,1,Kategorie2)),)</f>
        <v>0</v>
      </c>
      <c r="AX8" s="139">
        <f>IF(Kategorie3&gt;0,IF(OR(minergiea,minergiep),IF($AE8,IF(OR(Neubau3=2,Neubau3=1),$AT8,$AU8)*INDEX($AG8:$AS8,1,Kategorie3),0),IF(OR(Neubau3=2,Neubau3=1),$AT8,$AU8)*INDEX($AG8:$AS8,1,Kategorie3)),)</f>
        <v>0</v>
      </c>
      <c r="AY8" s="139">
        <f>IF(Kategorie4&gt;0,IF(OR(minergiea,minergiep),IF($AE8,IF(OR(Neubau4=2,Neubau4=1),$AT8,$AU8)*INDEX($AG8:$AS8,1,Kategorie4),0),IF(OR(Neubau4=2,Neubau4=1),$AT8,$AU8)*INDEX($AG8:$AS8,1,Kategorie4)),)</f>
        <v>0</v>
      </c>
      <c r="AZ8" s="139">
        <f t="shared" si="2"/>
        <v>0</v>
      </c>
      <c r="BA8" s="544" t="str">
        <f>Uebersetzung!D399</f>
        <v>20% mit erneuerbarer Energie gedeckt?</v>
      </c>
      <c r="BB8" s="123">
        <v>5</v>
      </c>
      <c r="BC8" s="553" t="str">
        <f t="shared" si="1"/>
        <v>Bern</v>
      </c>
      <c r="BD8" s="179" t="b">
        <v>1</v>
      </c>
      <c r="BE8" s="123">
        <v>5</v>
      </c>
    </row>
    <row r="9" spans="1:57">
      <c r="A9" s="550"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92">
        <v>3</v>
      </c>
      <c r="H9" s="46">
        <v>1</v>
      </c>
      <c r="I9" s="47" t="s">
        <v>199</v>
      </c>
      <c r="J9" s="47"/>
      <c r="K9" s="47"/>
      <c r="L9" s="47"/>
      <c r="M9" s="48"/>
      <c r="N9" s="48">
        <v>1</v>
      </c>
      <c r="O9" s="49"/>
      <c r="P9" s="49"/>
      <c r="Q9" s="49"/>
      <c r="R9" s="49" t="b">
        <v>0</v>
      </c>
      <c r="S9" s="49" t="b">
        <v>1</v>
      </c>
      <c r="T9" s="555">
        <v>1</v>
      </c>
      <c r="U9" s="771"/>
      <c r="V9" s="771"/>
      <c r="W9" s="160"/>
      <c r="AE9" s="1830">
        <v>1</v>
      </c>
      <c r="AF9" s="550" t="str">
        <f>IF(AZ16,Uebersetzung!D397,"")</f>
        <v/>
      </c>
      <c r="AG9" s="1405"/>
      <c r="AH9" s="152">
        <f t="shared" ref="AH9:AR9" si="4">IF($AZ$16,1,0)</f>
        <v>0</v>
      </c>
      <c r="AI9" s="152">
        <f t="shared" si="4"/>
        <v>0</v>
      </c>
      <c r="AJ9" s="152">
        <f t="shared" si="4"/>
        <v>0</v>
      </c>
      <c r="AK9" s="152">
        <f t="shared" si="4"/>
        <v>0</v>
      </c>
      <c r="AL9" s="152">
        <f t="shared" si="4"/>
        <v>0</v>
      </c>
      <c r="AM9" s="152">
        <f t="shared" si="4"/>
        <v>0</v>
      </c>
      <c r="AN9" s="152">
        <f t="shared" si="4"/>
        <v>0</v>
      </c>
      <c r="AO9" s="152">
        <f t="shared" si="4"/>
        <v>0</v>
      </c>
      <c r="AP9" s="152">
        <f t="shared" si="4"/>
        <v>0</v>
      </c>
      <c r="AQ9" s="152">
        <f t="shared" si="4"/>
        <v>0</v>
      </c>
      <c r="AR9" s="152">
        <f t="shared" si="4"/>
        <v>0</v>
      </c>
      <c r="AS9" s="153"/>
      <c r="AT9" s="152">
        <f>IF($AZ$16,1,0)</f>
        <v>0</v>
      </c>
      <c r="AU9" s="153">
        <v>0</v>
      </c>
      <c r="AV9" s="139">
        <f>IF(Kategorie1&gt;0,IF($AE9=1,IF(OR(Neubau1=2,Neubau1=1),$AT9,$AU9)*INDEX($AG9:$AS9,1,Kategorie1),IF(OR(Neubau1=2,Neubau1=1),$AT9,$AU9)*INDEX($AG9:$AS9,1,Kategorie1)),)</f>
        <v>0</v>
      </c>
      <c r="AW9" s="139">
        <f>IF(Kategorie2&gt;0,IF($AE9=1,IF(OR(Neubau2=2,Neubau2=1),$AT9,$AU9)*INDEX($AG9:$AS9,1,Kategorie2),IF(OR(Neubau2=2,Neubau2=1),$AT9,$AU9)*INDEX($AG9:$AS9,1,Kategorie2)),)</f>
        <v>0</v>
      </c>
      <c r="AX9" s="139">
        <f>IF(Kategorie3&gt;0,IF($AE9=1,IF(OR(Neubau3=2,Neubau3=1),$AT9,$AU9)*INDEX($AG9:$AS9,1,Kategorie3),IF(OR(Neubau3=2,Neubau3=1),$AT9,$AU9)*INDEX($AG9:$AS9,1,Kategorie3)),)</f>
        <v>0</v>
      </c>
      <c r="AY9" s="139">
        <f>IF(Kategorie4&gt;0,IF($AE9=1,IF(OR(Neubau4=2,Neubau4=1),$AT9,$AU9)*INDEX($AG9:$AS9,1,Kategorie4),IF(OR(Neubau4=2,Neubau4=1),$AT9,$AU9)*INDEX($AG9:$AS9,1,Kategorie4)),)</f>
        <v>0</v>
      </c>
      <c r="AZ9" s="139">
        <f t="shared" si="2"/>
        <v>0</v>
      </c>
      <c r="BA9" s="544" t="str">
        <f>IF(AZ16,Uebersetzung!D405,"")</f>
        <v/>
      </c>
      <c r="BB9" s="123">
        <v>6</v>
      </c>
      <c r="BC9" s="553" t="str">
        <f t="shared" si="1"/>
        <v>Basel Land</v>
      </c>
      <c r="BD9" s="179" t="b">
        <v>1</v>
      </c>
      <c r="BE9" s="123">
        <v>6</v>
      </c>
    </row>
    <row r="10" spans="1:57">
      <c r="A10" s="550"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92">
        <v>4</v>
      </c>
      <c r="H10" s="46">
        <v>2</v>
      </c>
      <c r="I10" s="374" t="str">
        <f>IF(minergiea,BE37,IF(minergiep,BD37,BC37))</f>
        <v>MFH</v>
      </c>
      <c r="J10" s="1867">
        <f t="shared" ref="J10:J21" si="5">IF(_SIA2009,AJ72,AG72)*3.6</f>
        <v>46.800000000000004</v>
      </c>
      <c r="K10" s="1867">
        <f t="shared" ref="K10:K21" si="6">IF(_SIA2009,AK72,AH72)*3.6</f>
        <v>54</v>
      </c>
      <c r="L10" s="38">
        <v>75</v>
      </c>
      <c r="M10" s="51">
        <v>40</v>
      </c>
      <c r="N10" s="51">
        <v>2</v>
      </c>
      <c r="O10" s="52">
        <v>0.7</v>
      </c>
      <c r="P10" s="1035">
        <v>85</v>
      </c>
      <c r="Q10" s="1035">
        <v>120</v>
      </c>
      <c r="R10" s="40" t="b">
        <v>0</v>
      </c>
      <c r="S10" s="45" t="b">
        <v>1</v>
      </c>
      <c r="T10" s="659">
        <v>2</v>
      </c>
      <c r="U10" s="40">
        <v>2000</v>
      </c>
      <c r="V10" s="854">
        <v>50</v>
      </c>
      <c r="W10" s="160"/>
      <c r="AE10" s="1830">
        <v>1</v>
      </c>
      <c r="AF10" s="550" t="str">
        <f>Uebersetzung!D394</f>
        <v>Abwärme</v>
      </c>
      <c r="AG10" s="1405"/>
      <c r="AH10" s="152">
        <v>1</v>
      </c>
      <c r="AI10" s="153">
        <v>1</v>
      </c>
      <c r="AJ10" s="153">
        <v>1</v>
      </c>
      <c r="AK10" s="153">
        <v>1</v>
      </c>
      <c r="AL10" s="153">
        <v>1</v>
      </c>
      <c r="AM10" s="153">
        <v>1</v>
      </c>
      <c r="AN10" s="153">
        <v>1</v>
      </c>
      <c r="AO10" s="153">
        <v>1</v>
      </c>
      <c r="AP10" s="153">
        <v>1</v>
      </c>
      <c r="AQ10" s="153">
        <v>1</v>
      </c>
      <c r="AR10" s="153">
        <v>1</v>
      </c>
      <c r="AS10" s="153"/>
      <c r="AT10" s="153">
        <v>1</v>
      </c>
      <c r="AU10" s="153">
        <v>1</v>
      </c>
      <c r="AV10" s="139">
        <f>IF(Kategorie1&gt;0,IF(OR(minergiea,minergiep),IF($AE10=1,IF(OR(Neubau1=2,Neubau1=1),$AT10,$AU10)*INDEX($AG10:$AS10,1,Kategorie1),0),IF(OR(Neubau1=2,Neubau1=1),$AT10,$AU10)*INDEX($AG10:$AS10,1,Kategorie1)),)</f>
        <v>0</v>
      </c>
      <c r="AW10" s="139">
        <f>IF(Kategorie2&gt;0,IF(OR(minergiea,minergiep),IF($AE10=1,IF(OR(Neubau2=2,Neubau2=1),$AT10,$AU10)*INDEX($AG10:$AS10,1,Kategorie2),0),IF(OR(Neubau2=2,Neubau2=1),$AT10,$AU10)*INDEX($AG10:$AS10,1,Kategorie2)),)</f>
        <v>0</v>
      </c>
      <c r="AX10" s="139">
        <f>IF(Kategorie3&gt;0,IF(OR(minergiea,minergiep),IF($AE10=1,IF(OR(Neubau3=2,Neubau3=1),$AT10,$AU10)*INDEX($AG10:$AS10,1,Kategorie3),0),IF(OR(Neubau3=2,Neubau3=1),$AT10,$AU10)*INDEX($AG10:$AS10,1,Kategorie3)),)</f>
        <v>0</v>
      </c>
      <c r="AY10" s="139">
        <f>IF(Kategorie4&gt;0,IF(OR(minergiea,minergiep),IF($AE10=1,IF(OR(Neubau4=2,Neubau4=1),$AT10,$AU10)*INDEX($AG10:$AS10,1,Kategorie4),0),IF(OR(Neubau4=2,Neubau4=1),$AT10,$AU10)*INDEX($AG10:$AS10,1,Kategorie4)),)</f>
        <v>0</v>
      </c>
      <c r="AZ10" s="139">
        <f t="shared" si="2"/>
        <v>0</v>
      </c>
      <c r="BA10" s="544" t="str">
        <f>Uebersetzung!D398</f>
        <v>Fällt Abwärme an?</v>
      </c>
      <c r="BB10" s="123">
        <v>7</v>
      </c>
      <c r="BC10" s="553" t="str">
        <f t="shared" si="1"/>
        <v>Basel Stadt</v>
      </c>
      <c r="BD10" s="179" t="b">
        <v>1</v>
      </c>
      <c r="BE10" s="123">
        <v>7</v>
      </c>
    </row>
    <row r="11" spans="1:57">
      <c r="A11" s="550"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92">
        <v>5</v>
      </c>
      <c r="H11" s="46">
        <v>3</v>
      </c>
      <c r="I11" s="37" t="str">
        <f t="shared" ref="I11:I21" si="7">IF(minergiea,BE38,IF(minergiep,BD38,BC38))</f>
        <v>EFH</v>
      </c>
      <c r="J11" s="38">
        <f t="shared" si="5"/>
        <v>57.6</v>
      </c>
      <c r="K11" s="38">
        <f t="shared" si="6"/>
        <v>54</v>
      </c>
      <c r="L11" s="38">
        <v>50</v>
      </c>
      <c r="M11" s="38">
        <v>60</v>
      </c>
      <c r="N11" s="38">
        <v>2</v>
      </c>
      <c r="O11" s="52">
        <v>0.7</v>
      </c>
      <c r="P11" s="1035">
        <v>80</v>
      </c>
      <c r="Q11" s="1035">
        <v>115</v>
      </c>
      <c r="R11" s="45" t="b">
        <v>0</v>
      </c>
      <c r="S11" s="45" t="b">
        <v>1</v>
      </c>
      <c r="T11" s="659">
        <v>3</v>
      </c>
      <c r="U11" s="45">
        <v>2000</v>
      </c>
      <c r="V11" s="855">
        <v>50</v>
      </c>
      <c r="W11" s="160"/>
      <c r="AE11" s="1830">
        <v>1</v>
      </c>
      <c r="AF11" s="550" t="str">
        <f>IF(MINERGIE!I67=MINERGIE!N12,Uebersetzung!D395,"")</f>
        <v/>
      </c>
      <c r="AG11" s="1405"/>
      <c r="AH11" s="152">
        <v>1</v>
      </c>
      <c r="AI11" s="153">
        <v>1</v>
      </c>
      <c r="AJ11" s="153">
        <v>1</v>
      </c>
      <c r="AK11" s="153">
        <v>1</v>
      </c>
      <c r="AL11" s="153">
        <v>1</v>
      </c>
      <c r="AM11" s="153">
        <v>1</v>
      </c>
      <c r="AN11" s="153">
        <v>1</v>
      </c>
      <c r="AO11" s="153">
        <v>1</v>
      </c>
      <c r="AP11" s="153">
        <v>1</v>
      </c>
      <c r="AQ11" s="153">
        <v>1</v>
      </c>
      <c r="AR11" s="153">
        <v>1</v>
      </c>
      <c r="AS11" s="153"/>
      <c r="AT11" s="153">
        <v>1</v>
      </c>
      <c r="AU11" s="153">
        <v>1</v>
      </c>
      <c r="AV11" s="139">
        <f>IF(Kategorie1&gt;0,IF(OR(minergiea,minergiep),$AE11,IF(OR(Neubau1=2,Neubau1=1),$AT11,$AU11)*INDEX($AG11:$AS11,1,Kategorie1)),)</f>
        <v>0</v>
      </c>
      <c r="AW11" s="139">
        <f>IF(Kategorie2&gt;0,IF(OR(minergiea,minergiep),$AE11,IF(OR(Neubau2=2,Neubau2=1),$AT11,$AU11)*INDEX($AG11:$AS11,1,Kategorie2)),)</f>
        <v>0</v>
      </c>
      <c r="AX11" s="139">
        <f>IF(Kategorie3&gt;0,IF(OR(minergiea,minergiep),$AE11,IF(OR(Neubau3=2,Neubau3=1),$AT11,$AU11)*INDEX($AG11:$AS11,1,Kategorie3)),)</f>
        <v>0</v>
      </c>
      <c r="AY11" s="139">
        <f>IF(Kategorie4&gt;0,IF(OR(minergiea,minergiep),$AE11,IF(OR(Neubau4=2,Neubau4=1),$AT11,$AU11)*INDEX($AG11:$AS11,1,Kategorie4)),)</f>
        <v>0</v>
      </c>
      <c r="AZ11" s="139">
        <f t="shared" si="2"/>
        <v>0</v>
      </c>
      <c r="BA11" s="544" t="str">
        <f>IF(MINERGIE!I67=MINERGIE!N12,Uebersetzung!D402,"")</f>
        <v/>
      </c>
      <c r="BB11" s="123">
        <v>8</v>
      </c>
      <c r="BC11" s="553" t="str">
        <f t="shared" si="1"/>
        <v>Fribourg</v>
      </c>
      <c r="BD11" s="179" t="b">
        <v>1</v>
      </c>
      <c r="BE11" s="123">
        <v>8</v>
      </c>
    </row>
    <row r="12" spans="1:57">
      <c r="A12" s="550"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92">
        <v>6</v>
      </c>
      <c r="H12" s="46">
        <v>4</v>
      </c>
      <c r="I12" s="37" t="str">
        <f t="shared" si="7"/>
        <v>Verwaltung</v>
      </c>
      <c r="J12" s="38">
        <f t="shared" si="5"/>
        <v>46.800000000000004</v>
      </c>
      <c r="K12" s="38">
        <f t="shared" si="6"/>
        <v>54</v>
      </c>
      <c r="L12" s="38">
        <v>25</v>
      </c>
      <c r="M12" s="38">
        <v>20</v>
      </c>
      <c r="N12" s="38">
        <v>3</v>
      </c>
      <c r="O12" s="52">
        <v>0.7</v>
      </c>
      <c r="P12" s="1035">
        <v>180</v>
      </c>
      <c r="Q12" s="1035">
        <v>215</v>
      </c>
      <c r="R12" s="45" t="b">
        <v>0</v>
      </c>
      <c r="S12" s="45" t="b">
        <v>1</v>
      </c>
      <c r="T12" s="659">
        <v>4</v>
      </c>
      <c r="U12" s="45">
        <v>1000</v>
      </c>
      <c r="V12" s="855">
        <v>20</v>
      </c>
      <c r="W12" s="160"/>
      <c r="AE12" s="1830">
        <v>0</v>
      </c>
      <c r="AF12" s="550" t="str">
        <f>Uebersetzung!D396</f>
        <v>Optimierter Betrieb Hallenbad</v>
      </c>
      <c r="AG12" s="1405"/>
      <c r="AH12" s="152"/>
      <c r="AI12" s="153"/>
      <c r="AJ12" s="153"/>
      <c r="AK12" s="153"/>
      <c r="AL12" s="153"/>
      <c r="AM12" s="153"/>
      <c r="AN12" s="153"/>
      <c r="AO12" s="153"/>
      <c r="AP12" s="153"/>
      <c r="AQ12" s="153"/>
      <c r="AR12" s="153"/>
      <c r="AS12" s="153">
        <v>1</v>
      </c>
      <c r="AT12" s="153">
        <v>1</v>
      </c>
      <c r="AU12" s="153">
        <v>1</v>
      </c>
      <c r="AV12" s="139">
        <f>IF(Kategorie1&gt;0,IF(OR(minergiea,minergiep),$AE12,IF(OR(Neubau1=2,Neubau1=1),$AT12,$AU12)*INDEX($AG12:$AS12,1,Kategorie1)),)</f>
        <v>0</v>
      </c>
      <c r="AW12" s="139">
        <f>IF(Kategorie2&gt;0,IF(OR(minergiea,minergiep),$AE12,IF(OR(Neubau2=2,Neubau2=1),$AT12,$AU12)*INDEX($AG12:$AS12,1,Kategorie2)),)</f>
        <v>0</v>
      </c>
      <c r="AX12" s="139">
        <f>IF(Kategorie3&gt;0,IF(OR(minergiea,minergiep),$AE12,IF(OR(Neubau3=2,Neubau3=1),$AT12,$AU12)*INDEX($AG12:$AS12,1,Kategorie3)),)</f>
        <v>0</v>
      </c>
      <c r="AY12" s="139">
        <f>IF(Kategorie4&gt;0,IF(OR(minergiea,minergiep),$AE12,IF(OR(Neubau4=2,Neubau4=1),$AT12,$AU12)*INDEX($AG12:$AS12,1,Kategorie4)),)</f>
        <v>0</v>
      </c>
      <c r="AZ12" s="139">
        <f t="shared" si="2"/>
        <v>0</v>
      </c>
      <c r="BA12" s="544" t="str">
        <f>Uebersetzung!D403</f>
        <v>WRG mit WP bei Lüftung, WRG aus Badwasser</v>
      </c>
      <c r="BB12" s="123">
        <v>9</v>
      </c>
      <c r="BC12" s="553" t="str">
        <f t="shared" si="1"/>
        <v>Genève</v>
      </c>
      <c r="BD12" s="179" t="b">
        <v>1</v>
      </c>
      <c r="BE12" s="123">
        <v>9</v>
      </c>
    </row>
    <row r="13" spans="1:57">
      <c r="A13" s="550"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92">
        <v>7</v>
      </c>
      <c r="H13" s="46">
        <v>5</v>
      </c>
      <c r="I13" s="37" t="str">
        <f t="shared" si="7"/>
        <v>Schule</v>
      </c>
      <c r="J13" s="38">
        <f t="shared" si="5"/>
        <v>50.4</v>
      </c>
      <c r="K13" s="38">
        <f t="shared" si="6"/>
        <v>54</v>
      </c>
      <c r="L13" s="38">
        <v>25</v>
      </c>
      <c r="M13" s="38">
        <v>10</v>
      </c>
      <c r="N13" s="38">
        <v>4</v>
      </c>
      <c r="O13" s="52">
        <v>0.7</v>
      </c>
      <c r="P13" s="1035">
        <v>95</v>
      </c>
      <c r="Q13" s="1035">
        <v>125</v>
      </c>
      <c r="R13" s="45" t="b">
        <v>0</v>
      </c>
      <c r="S13" s="45" t="b">
        <v>1</v>
      </c>
      <c r="T13" s="659">
        <v>5</v>
      </c>
      <c r="U13" s="45">
        <v>1000</v>
      </c>
      <c r="V13" s="855">
        <v>10</v>
      </c>
      <c r="W13" s="160"/>
      <c r="AE13" s="1830">
        <v>1</v>
      </c>
      <c r="AF13" s="550" t="str">
        <f>IF(AND(minergiea=FALSE,AND(EBF&gt;2000,MINERGIE!Z59&gt;0,MINERGIE!Z58&lt;2000)),Uebersetzung!D416,"")</f>
        <v/>
      </c>
      <c r="AG13" s="1405"/>
      <c r="AH13" s="152">
        <v>1</v>
      </c>
      <c r="AI13" s="153">
        <v>1</v>
      </c>
      <c r="AJ13" s="153">
        <v>1</v>
      </c>
      <c r="AK13" s="153">
        <v>1</v>
      </c>
      <c r="AL13" s="153">
        <v>1</v>
      </c>
      <c r="AM13" s="153">
        <v>1</v>
      </c>
      <c r="AN13" s="153">
        <v>1</v>
      </c>
      <c r="AO13" s="153">
        <v>1</v>
      </c>
      <c r="AP13" s="153">
        <v>1</v>
      </c>
      <c r="AQ13" s="153">
        <v>1</v>
      </c>
      <c r="AR13" s="153">
        <v>1</v>
      </c>
      <c r="AS13" s="153">
        <v>1</v>
      </c>
      <c r="AT13" s="153">
        <v>0</v>
      </c>
      <c r="AU13" s="153">
        <v>1</v>
      </c>
      <c r="AV13" s="139">
        <f>IF(Kategorie1&gt;0,IF(OR(minergiea,minergiep),$AE13,IF(OR(Neubau1=2,Neubau1=1),$AT13,$AU13)*INDEX($AG13:$AS13,1,Kategorie1)),)</f>
        <v>0</v>
      </c>
      <c r="AW13" s="139">
        <f>IF(Kategorie2&gt;0,IF(OR(minergiea,minergiep),$AE13,IF(OR(Neubau2=2,Neubau2=1),$AT13,$AU13)*INDEX($AG13:$AS13,1,Kategorie2)),)</f>
        <v>0</v>
      </c>
      <c r="AX13" s="139">
        <f>IF(Kategorie3&gt;0,IF(OR(minergiea,minergiep),$AE13,IF(OR(Neubau3=2,Neubau3=1),$AT13,$AU13)*INDEX($AG13:$AS13,1,Kategorie3)),)</f>
        <v>0</v>
      </c>
      <c r="AY13" s="139">
        <f>IF(Kategorie4&gt;0,IF(OR(minergiea,minergiep),$AE13,IF(OR(Neubau4=2,Neubau4=1),$AT13,$AU13)*INDEX($AG13:$AS13,1,Kategorie4)),)</f>
        <v>0</v>
      </c>
      <c r="AZ13" s="139">
        <f t="shared" si="2"/>
        <v>0</v>
      </c>
      <c r="BA13" s="1408" t="str">
        <f>IF(AND(minergiea=FALSE,AND(EBF&gt;2000,MINERGIE!Z59&gt;0,MINERGIE!Z58&lt;2000)),Uebersetzung!D415,"")</f>
        <v/>
      </c>
      <c r="BB13" s="123">
        <v>10</v>
      </c>
      <c r="BC13" s="553" t="str">
        <f t="shared" si="1"/>
        <v>Glarus</v>
      </c>
      <c r="BD13" s="179" t="b">
        <v>1</v>
      </c>
      <c r="BE13" s="123">
        <v>10</v>
      </c>
    </row>
    <row r="14" spans="1:57">
      <c r="A14" s="550" t="str">
        <f t="shared" ref="A14:F23" si="8">IF(Kanton=29,A61,"")</f>
        <v/>
      </c>
      <c r="B14" s="38" t="str">
        <f t="shared" si="8"/>
        <v/>
      </c>
      <c r="C14" s="38" t="str">
        <f t="shared" si="8"/>
        <v/>
      </c>
      <c r="D14" s="38" t="str">
        <f t="shared" si="8"/>
        <v/>
      </c>
      <c r="E14" s="38" t="str">
        <f t="shared" si="8"/>
        <v/>
      </c>
      <c r="F14" s="38" t="str">
        <f t="shared" si="8"/>
        <v/>
      </c>
      <c r="G14" s="592">
        <v>8</v>
      </c>
      <c r="H14" s="46">
        <v>6</v>
      </c>
      <c r="I14" s="37" t="str">
        <f t="shared" si="7"/>
        <v>Verkauf</v>
      </c>
      <c r="J14" s="38">
        <f t="shared" si="5"/>
        <v>25.2</v>
      </c>
      <c r="K14" s="38">
        <f t="shared" si="6"/>
        <v>50.4</v>
      </c>
      <c r="L14" s="38">
        <v>25</v>
      </c>
      <c r="M14" s="38">
        <v>10</v>
      </c>
      <c r="N14" s="38">
        <v>3</v>
      </c>
      <c r="O14" s="52">
        <v>0.7</v>
      </c>
      <c r="P14" s="1035">
        <v>210</v>
      </c>
      <c r="Q14" s="1035">
        <v>250</v>
      </c>
      <c r="R14" s="45" t="b">
        <v>0</v>
      </c>
      <c r="S14" s="45" t="b">
        <v>1</v>
      </c>
      <c r="T14" s="659">
        <v>6</v>
      </c>
      <c r="U14" s="45">
        <v>0</v>
      </c>
      <c r="V14" s="852">
        <v>0</v>
      </c>
      <c r="W14" s="160"/>
      <c r="AE14" s="1830">
        <v>1</v>
      </c>
      <c r="AF14" s="37" t="str">
        <f>IF(MINERGIE!Z62,Uebersetzung!D416,"")</f>
        <v/>
      </c>
      <c r="AG14" s="1405"/>
      <c r="AH14" s="152">
        <v>1</v>
      </c>
      <c r="AI14" s="153">
        <v>1</v>
      </c>
      <c r="AJ14" s="153">
        <v>1</v>
      </c>
      <c r="AK14" s="153">
        <v>1</v>
      </c>
      <c r="AL14" s="153">
        <v>1</v>
      </c>
      <c r="AM14" s="153">
        <v>1</v>
      </c>
      <c r="AN14" s="153">
        <v>1</v>
      </c>
      <c r="AO14" s="153">
        <v>1</v>
      </c>
      <c r="AP14" s="153">
        <v>1</v>
      </c>
      <c r="AQ14" s="153">
        <v>1</v>
      </c>
      <c r="AR14" s="153">
        <v>1</v>
      </c>
      <c r="AS14" s="153">
        <v>1</v>
      </c>
      <c r="AT14" s="153">
        <v>1</v>
      </c>
      <c r="AU14" s="153">
        <v>1</v>
      </c>
      <c r="AV14" s="139">
        <f>IF(Kategorie1&gt;0,IF(OR(minergiea,minergiep),$AE14,IF(OR(Neubau1=2,Neubau1=1),$AT14,$AU14)*INDEX($AG14:$AS14,1,Kategorie1)),)</f>
        <v>0</v>
      </c>
      <c r="AW14" s="139">
        <f>IF(Kategorie2&gt;0,IF(OR(minergiea,minergiep),$AE14,IF(OR(Neubau2=2,Neubau2=1),$AT14,$AU14)*INDEX($AG14:$AS14,1,Kategorie2)),)</f>
        <v>0</v>
      </c>
      <c r="AX14" s="139">
        <f>IF(Kategorie3&gt;0,IF(OR(minergiea,minergiep),$AE14,IF(OR(Neubau3=2,Neubau3=1),$AT14,$AU14)*INDEX($AG14:$AS14,1,Kategorie3)),)</f>
        <v>0</v>
      </c>
      <c r="AY14" s="139">
        <f>IF(Kategorie4&gt;0,IF(OR(minergiea,minergiep),$AE14,IF(OR(Neubau4=2,Neubau4=1),$AT14,$AU14)*INDEX($AG14:$AS14,1,Kategorie4)),)</f>
        <v>0</v>
      </c>
      <c r="AZ14" s="139">
        <f>SUM(AV14:AY14)</f>
        <v>0</v>
      </c>
      <c r="BA14" s="1408" t="str">
        <f>IF(MINERGIE!Z62,Uebersetzung!D417,"")</f>
        <v/>
      </c>
      <c r="BB14" s="123">
        <v>11</v>
      </c>
      <c r="BC14" s="553" t="str">
        <f t="shared" si="1"/>
        <v>Graubünden</v>
      </c>
      <c r="BD14" s="179" t="b">
        <v>1</v>
      </c>
      <c r="BE14" s="123">
        <v>11</v>
      </c>
    </row>
    <row r="15" spans="1:57">
      <c r="A15" s="550" t="str">
        <f t="shared" si="8"/>
        <v/>
      </c>
      <c r="B15" s="38" t="str">
        <f t="shared" si="8"/>
        <v/>
      </c>
      <c r="C15" s="38" t="str">
        <f t="shared" si="8"/>
        <v/>
      </c>
      <c r="D15" s="38" t="str">
        <f t="shared" si="8"/>
        <v/>
      </c>
      <c r="E15" s="38" t="str">
        <f t="shared" si="8"/>
        <v/>
      </c>
      <c r="F15" s="38" t="str">
        <f t="shared" si="8"/>
        <v/>
      </c>
      <c r="G15" s="592">
        <v>9</v>
      </c>
      <c r="H15" s="46">
        <v>7</v>
      </c>
      <c r="I15" s="37" t="str">
        <f t="shared" si="7"/>
        <v>Restaurant</v>
      </c>
      <c r="J15" s="38">
        <f t="shared" si="5"/>
        <v>57.6</v>
      </c>
      <c r="K15" s="38">
        <f t="shared" si="6"/>
        <v>54</v>
      </c>
      <c r="L15" s="38">
        <v>0</v>
      </c>
      <c r="M15" s="38">
        <v>5</v>
      </c>
      <c r="N15" s="38">
        <v>3</v>
      </c>
      <c r="O15" s="52">
        <v>1.2</v>
      </c>
      <c r="P15" s="1035">
        <v>135</v>
      </c>
      <c r="Q15" s="1035">
        <v>160</v>
      </c>
      <c r="R15" s="45" t="b">
        <v>0</v>
      </c>
      <c r="S15" s="45" t="b">
        <v>0</v>
      </c>
      <c r="T15" s="659">
        <v>7</v>
      </c>
      <c r="U15" s="45">
        <v>0</v>
      </c>
      <c r="V15" s="852">
        <v>0</v>
      </c>
      <c r="W15" s="160"/>
      <c r="AE15" s="1831">
        <v>1</v>
      </c>
      <c r="AF15" s="146" t="str">
        <f>IF(AZ15&gt;0,Uebersetzung!D543,"")</f>
        <v/>
      </c>
      <c r="AG15" s="1405"/>
      <c r="AH15" s="152">
        <v>1</v>
      </c>
      <c r="AI15" s="153">
        <v>1</v>
      </c>
      <c r="AJ15" s="153">
        <v>1</v>
      </c>
      <c r="AK15" s="153">
        <v>1</v>
      </c>
      <c r="AL15" s="153">
        <v>1</v>
      </c>
      <c r="AM15" s="153">
        <v>1</v>
      </c>
      <c r="AN15" s="153">
        <v>1</v>
      </c>
      <c r="AO15" s="153">
        <v>1</v>
      </c>
      <c r="AP15" s="153">
        <v>1</v>
      </c>
      <c r="AQ15" s="153">
        <v>1</v>
      </c>
      <c r="AR15" s="153">
        <v>1</v>
      </c>
      <c r="AS15" s="153">
        <v>1</v>
      </c>
      <c r="AT15" s="153">
        <v>1</v>
      </c>
      <c r="AU15" s="153">
        <v>0</v>
      </c>
      <c r="AV15" s="139">
        <f>IF(Kategorie1&gt;0,IF(OR(minergiea,minergiep),IF($AE15=1,IF(OR(Neubau1=2,Neubau1=1),$AT15,$AU15)*INDEX($AG15:$AS15,1,Kategorie1),0),IF(OR(Neubau1=2,Neubau1=1),$AT15,$AU15)*INDEX($AG15:$AS15,1,Kategorie1)),)</f>
        <v>0</v>
      </c>
      <c r="AW15" s="139">
        <f>IF(Kategorie2&gt;0,IF(OR(minergiea,minergiep),IF($AE15=1,IF(OR(Neubau2=2,Neubau2=1),$AT15,$AU15)*INDEX($AG15:$AS15,1,Kategorie2),0),IF(OR(Neubau2=2,Neubau2=1),$AT15,$AU15)*INDEX($AG15:$AS15,1,Kategorie2)),)</f>
        <v>0</v>
      </c>
      <c r="AX15" s="139">
        <f>IF(Kategorie3&gt;0,IF(OR(minergiea,minergiep),IF($AE15=1,IF(OR(Neubau3=2,Neubau3=1),$AT15,$AU15)*INDEX($AG15:$AS15,1,Kategorie3),0),IF(OR(Neubau3=2,Neubau3=1),$AT15,$AU15)*INDEX($AG15:$AS15,1,Kategorie3)),)</f>
        <v>0</v>
      </c>
      <c r="AY15" s="139">
        <f>IF(Kategorie4&gt;0,IF(OR(minergiea,minergiep),IF($AE15=1,IF(OR(Neubau4=2,Neubau4=1),$AT15,$AU15)*INDEX($AG15:$AS15,1,Kategorie4),0),IF(OR(Neubau4=2,Neubau4=1),$AT15,$AU15)*INDEX($AG15:$AS15,1,Kategorie4)),)</f>
        <v>0</v>
      </c>
      <c r="AZ15" s="139">
        <f>SUM(AV15:AY15)</f>
        <v>0</v>
      </c>
      <c r="BA15" s="544" t="str">
        <f>IF(AZ15&gt;0,Uebersetzung!D544,"")</f>
        <v/>
      </c>
      <c r="BB15" s="123">
        <v>12</v>
      </c>
      <c r="BC15" s="553" t="str">
        <f t="shared" si="1"/>
        <v>Jura</v>
      </c>
      <c r="BD15" s="179" t="b">
        <v>1</v>
      </c>
      <c r="BE15" s="123">
        <v>12</v>
      </c>
    </row>
    <row r="16" spans="1:57">
      <c r="A16" s="550" t="str">
        <f t="shared" si="8"/>
        <v/>
      </c>
      <c r="B16" s="38" t="str">
        <f t="shared" si="8"/>
        <v/>
      </c>
      <c r="C16" s="38" t="str">
        <f t="shared" si="8"/>
        <v/>
      </c>
      <c r="D16" s="38" t="str">
        <f t="shared" si="8"/>
        <v/>
      </c>
      <c r="E16" s="38" t="str">
        <f t="shared" si="8"/>
        <v/>
      </c>
      <c r="F16" s="38" t="str">
        <f t="shared" si="8"/>
        <v/>
      </c>
      <c r="G16" s="592">
        <v>10</v>
      </c>
      <c r="H16" s="46">
        <v>8</v>
      </c>
      <c r="I16" s="37" t="str">
        <f t="shared" si="7"/>
        <v>Vers.-Lokal</v>
      </c>
      <c r="J16" s="38">
        <f t="shared" si="5"/>
        <v>64.8</v>
      </c>
      <c r="K16" s="38">
        <f t="shared" si="6"/>
        <v>54</v>
      </c>
      <c r="L16" s="38">
        <v>50</v>
      </c>
      <c r="M16" s="38">
        <v>5</v>
      </c>
      <c r="N16" s="38">
        <v>3</v>
      </c>
      <c r="O16" s="58">
        <v>1</v>
      </c>
      <c r="P16" s="1035">
        <v>95</v>
      </c>
      <c r="Q16" s="1035">
        <v>120</v>
      </c>
      <c r="R16" s="45" t="b">
        <v>0</v>
      </c>
      <c r="S16" s="45" t="b">
        <v>1</v>
      </c>
      <c r="T16" s="659">
        <v>8</v>
      </c>
      <c r="U16" s="45">
        <v>0</v>
      </c>
      <c r="V16" s="852">
        <v>0</v>
      </c>
      <c r="W16" s="160"/>
      <c r="AE16" s="350" t="s">
        <v>699</v>
      </c>
      <c r="AF16" s="1407"/>
      <c r="AG16" s="43"/>
      <c r="AZ16" s="1536" t="b">
        <v>0</v>
      </c>
      <c r="BA16" s="1537" t="s">
        <v>2633</v>
      </c>
      <c r="BB16" s="123">
        <v>13</v>
      </c>
      <c r="BC16" s="553" t="str">
        <f t="shared" si="1"/>
        <v>Luzern</v>
      </c>
      <c r="BD16" s="179" t="b">
        <v>1</v>
      </c>
      <c r="BE16" s="123">
        <v>13</v>
      </c>
    </row>
    <row r="17" spans="1:75">
      <c r="A17" s="550" t="str">
        <f t="shared" si="8"/>
        <v/>
      </c>
      <c r="B17" s="38" t="str">
        <f t="shared" si="8"/>
        <v/>
      </c>
      <c r="C17" s="38" t="str">
        <f t="shared" si="8"/>
        <v/>
      </c>
      <c r="D17" s="38" t="str">
        <f t="shared" si="8"/>
        <v/>
      </c>
      <c r="E17" s="38" t="str">
        <f t="shared" si="8"/>
        <v/>
      </c>
      <c r="F17" s="38" t="str">
        <f t="shared" si="8"/>
        <v/>
      </c>
      <c r="G17" s="592">
        <v>11</v>
      </c>
      <c r="H17" s="46">
        <v>9</v>
      </c>
      <c r="I17" s="37" t="str">
        <f t="shared" si="7"/>
        <v>Spitäler</v>
      </c>
      <c r="J17" s="38">
        <f t="shared" si="5"/>
        <v>64.8</v>
      </c>
      <c r="K17" s="38">
        <f t="shared" si="6"/>
        <v>61.2</v>
      </c>
      <c r="L17" s="38">
        <v>100</v>
      </c>
      <c r="M17" s="38">
        <v>30</v>
      </c>
      <c r="N17" s="38">
        <v>3</v>
      </c>
      <c r="O17" s="58">
        <v>1</v>
      </c>
      <c r="P17" s="1035">
        <v>170</v>
      </c>
      <c r="Q17" s="1035">
        <v>200</v>
      </c>
      <c r="R17" s="45" t="b">
        <v>0</v>
      </c>
      <c r="S17" s="45" t="b">
        <v>1</v>
      </c>
      <c r="T17" s="659">
        <v>9</v>
      </c>
      <c r="U17" s="45">
        <v>0</v>
      </c>
      <c r="V17" s="852">
        <v>0</v>
      </c>
      <c r="W17" s="160"/>
      <c r="AE17" s="1401" t="s">
        <v>653</v>
      </c>
      <c r="AF17" s="351">
        <f>Kategorie1</f>
        <v>1</v>
      </c>
      <c r="AG17" s="43"/>
      <c r="BB17" s="123">
        <v>14</v>
      </c>
      <c r="BC17" s="553" t="str">
        <f t="shared" si="1"/>
        <v>Neuenburg</v>
      </c>
      <c r="BD17" s="179" t="b">
        <v>1</v>
      </c>
      <c r="BE17" s="123">
        <v>14</v>
      </c>
    </row>
    <row r="18" spans="1:75">
      <c r="A18" s="550" t="str">
        <f t="shared" si="8"/>
        <v/>
      </c>
      <c r="B18" s="38" t="str">
        <f t="shared" si="8"/>
        <v/>
      </c>
      <c r="C18" s="38" t="str">
        <f t="shared" si="8"/>
        <v/>
      </c>
      <c r="D18" s="38" t="str">
        <f t="shared" si="8"/>
        <v/>
      </c>
      <c r="E18" s="38" t="str">
        <f t="shared" si="8"/>
        <v/>
      </c>
      <c r="F18" s="38" t="str">
        <f t="shared" si="8"/>
        <v/>
      </c>
      <c r="G18" s="592">
        <v>12</v>
      </c>
      <c r="H18" s="46">
        <v>10</v>
      </c>
      <c r="I18" s="37" t="str">
        <f t="shared" si="7"/>
        <v>Industrie</v>
      </c>
      <c r="J18" s="38">
        <f t="shared" si="5"/>
        <v>36</v>
      </c>
      <c r="K18" s="38">
        <f t="shared" si="6"/>
        <v>50.4</v>
      </c>
      <c r="L18" s="38">
        <v>25</v>
      </c>
      <c r="M18" s="38">
        <v>20</v>
      </c>
      <c r="N18" s="38">
        <v>3</v>
      </c>
      <c r="O18" s="52">
        <v>0.7</v>
      </c>
      <c r="P18" s="1035">
        <v>135</v>
      </c>
      <c r="Q18" s="1035">
        <v>170</v>
      </c>
      <c r="R18" s="45" t="b">
        <v>0</v>
      </c>
      <c r="S18" s="45" t="b">
        <v>1</v>
      </c>
      <c r="T18" s="659">
        <v>10</v>
      </c>
      <c r="U18" s="45">
        <v>0</v>
      </c>
      <c r="V18" s="852">
        <v>0</v>
      </c>
      <c r="W18" s="160"/>
      <c r="AE18" s="1402" t="s">
        <v>654</v>
      </c>
      <c r="AF18" s="352">
        <f>Kategorie2</f>
        <v>1</v>
      </c>
      <c r="AG18" s="43"/>
      <c r="BB18" s="123">
        <v>15</v>
      </c>
      <c r="BC18" s="553" t="str">
        <f t="shared" si="1"/>
        <v>Nidwalden</v>
      </c>
      <c r="BD18" s="179" t="b">
        <v>1</v>
      </c>
      <c r="BE18" s="123">
        <v>15</v>
      </c>
    </row>
    <row r="19" spans="1:75">
      <c r="A19" s="550" t="str">
        <f t="shared" si="8"/>
        <v/>
      </c>
      <c r="B19" s="38" t="str">
        <f t="shared" si="8"/>
        <v/>
      </c>
      <c r="C19" s="38" t="str">
        <f t="shared" si="8"/>
        <v/>
      </c>
      <c r="D19" s="38" t="str">
        <f t="shared" si="8"/>
        <v/>
      </c>
      <c r="E19" s="38" t="str">
        <f t="shared" si="8"/>
        <v/>
      </c>
      <c r="F19" s="38" t="str">
        <f t="shared" si="8"/>
        <v/>
      </c>
      <c r="G19" s="592">
        <v>13</v>
      </c>
      <c r="H19" s="46">
        <v>11</v>
      </c>
      <c r="I19" s="37" t="str">
        <f t="shared" si="7"/>
        <v>Lager</v>
      </c>
      <c r="J19" s="38">
        <f t="shared" si="5"/>
        <v>50.4</v>
      </c>
      <c r="K19" s="38">
        <f t="shared" si="6"/>
        <v>50.4</v>
      </c>
      <c r="L19" s="38">
        <v>5</v>
      </c>
      <c r="M19" s="38">
        <v>100</v>
      </c>
      <c r="N19" s="38">
        <v>3</v>
      </c>
      <c r="O19" s="52">
        <v>0.3</v>
      </c>
      <c r="P19" s="1035">
        <v>45</v>
      </c>
      <c r="Q19" s="1035">
        <v>70</v>
      </c>
      <c r="R19" s="45" t="b">
        <v>0</v>
      </c>
      <c r="S19" s="45" t="b">
        <v>1</v>
      </c>
      <c r="T19" s="659">
        <v>11</v>
      </c>
      <c r="U19" s="45">
        <v>0</v>
      </c>
      <c r="V19" s="852">
        <v>0</v>
      </c>
      <c r="W19" s="160"/>
      <c r="AE19" s="1402" t="s">
        <v>655</v>
      </c>
      <c r="AF19" s="352">
        <f>Kategorie3</f>
        <v>1</v>
      </c>
      <c r="BB19" s="123">
        <v>16</v>
      </c>
      <c r="BC19" s="553" t="str">
        <f t="shared" si="1"/>
        <v>Obwalden</v>
      </c>
      <c r="BD19" s="179" t="b">
        <v>1</v>
      </c>
      <c r="BE19" s="123">
        <v>16</v>
      </c>
    </row>
    <row r="20" spans="1:75" ht="15.75">
      <c r="A20" s="550" t="str">
        <f t="shared" si="8"/>
        <v/>
      </c>
      <c r="B20" s="38" t="str">
        <f t="shared" si="8"/>
        <v/>
      </c>
      <c r="C20" s="38" t="str">
        <f t="shared" si="8"/>
        <v/>
      </c>
      <c r="D20" s="38" t="str">
        <f t="shared" si="8"/>
        <v/>
      </c>
      <c r="E20" s="38" t="str">
        <f t="shared" si="8"/>
        <v/>
      </c>
      <c r="F20" s="38" t="str">
        <f t="shared" si="8"/>
        <v/>
      </c>
      <c r="G20" s="592">
        <v>14</v>
      </c>
      <c r="H20" s="46">
        <v>12</v>
      </c>
      <c r="I20" s="37" t="str">
        <f t="shared" si="7"/>
        <v>Sportbau</v>
      </c>
      <c r="J20" s="38">
        <f t="shared" si="5"/>
        <v>57.6</v>
      </c>
      <c r="K20" s="38">
        <f t="shared" si="6"/>
        <v>50.4</v>
      </c>
      <c r="L20" s="38">
        <v>0</v>
      </c>
      <c r="M20" s="38">
        <v>20</v>
      </c>
      <c r="N20" s="38">
        <v>3</v>
      </c>
      <c r="O20" s="52">
        <v>0.7</v>
      </c>
      <c r="P20" s="1035">
        <v>75</v>
      </c>
      <c r="Q20" s="1035">
        <v>100</v>
      </c>
      <c r="R20" s="45" t="b">
        <v>0</v>
      </c>
      <c r="S20" s="45" t="b">
        <v>0</v>
      </c>
      <c r="T20" s="659">
        <v>12</v>
      </c>
      <c r="U20" s="45">
        <v>0</v>
      </c>
      <c r="V20" s="852">
        <v>0</v>
      </c>
      <c r="W20" s="160"/>
      <c r="AE20" s="1403" t="s">
        <v>656</v>
      </c>
      <c r="AF20" s="353">
        <f>Kategorie4</f>
        <v>1</v>
      </c>
      <c r="AN20" s="274"/>
      <c r="BB20" s="123">
        <v>17</v>
      </c>
      <c r="BC20" s="553" t="str">
        <f t="shared" si="1"/>
        <v>St. Gallen</v>
      </c>
      <c r="BD20" s="179" t="b">
        <v>1</v>
      </c>
      <c r="BE20" s="123">
        <v>17</v>
      </c>
    </row>
    <row r="21" spans="1:75" ht="15.75">
      <c r="A21" s="550" t="str">
        <f t="shared" si="8"/>
        <v/>
      </c>
      <c r="B21" s="38" t="str">
        <f t="shared" si="8"/>
        <v/>
      </c>
      <c r="C21" s="38" t="str">
        <f t="shared" si="8"/>
        <v/>
      </c>
      <c r="D21" s="38" t="str">
        <f t="shared" si="8"/>
        <v/>
      </c>
      <c r="E21" s="38" t="str">
        <f t="shared" si="8"/>
        <v/>
      </c>
      <c r="F21" s="38" t="str">
        <f t="shared" si="8"/>
        <v/>
      </c>
      <c r="G21" s="592">
        <v>15</v>
      </c>
      <c r="H21" s="46">
        <v>13</v>
      </c>
      <c r="I21" s="47" t="str">
        <f t="shared" si="7"/>
        <v>Hallenbad</v>
      </c>
      <c r="J21" s="48">
        <f t="shared" si="5"/>
        <v>54</v>
      </c>
      <c r="K21" s="48">
        <f t="shared" si="6"/>
        <v>64.8</v>
      </c>
      <c r="L21" s="48">
        <v>0</v>
      </c>
      <c r="M21" s="48">
        <v>20</v>
      </c>
      <c r="N21" s="48">
        <v>3</v>
      </c>
      <c r="O21" s="68">
        <v>0.7</v>
      </c>
      <c r="P21" s="49">
        <v>0</v>
      </c>
      <c r="Q21" s="848">
        <v>0</v>
      </c>
      <c r="R21" s="49" t="b">
        <v>0</v>
      </c>
      <c r="S21" s="49" t="b">
        <v>0</v>
      </c>
      <c r="T21" s="896">
        <v>13</v>
      </c>
      <c r="U21" s="49">
        <v>0</v>
      </c>
      <c r="V21" s="853">
        <v>0</v>
      </c>
      <c r="W21" s="160"/>
      <c r="AE21" s="274" t="s">
        <v>348</v>
      </c>
      <c r="AV21" s="2323"/>
      <c r="AW21" s="2323"/>
      <c r="AY21" s="2"/>
      <c r="BB21" s="123">
        <v>18</v>
      </c>
      <c r="BC21" s="553" t="str">
        <f t="shared" si="1"/>
        <v>Schaffhausen</v>
      </c>
      <c r="BD21" s="179" t="b">
        <v>1</v>
      </c>
      <c r="BE21" s="123">
        <v>18</v>
      </c>
    </row>
    <row r="22" spans="1:75">
      <c r="A22" s="550" t="str">
        <f t="shared" si="8"/>
        <v/>
      </c>
      <c r="B22" s="38" t="str">
        <f t="shared" si="8"/>
        <v/>
      </c>
      <c r="C22" s="38" t="str">
        <f t="shared" si="8"/>
        <v/>
      </c>
      <c r="D22" s="38" t="str">
        <f t="shared" si="8"/>
        <v/>
      </c>
      <c r="E22" s="38" t="str">
        <f t="shared" si="8"/>
        <v/>
      </c>
      <c r="F22" s="38" t="str">
        <f t="shared" si="8"/>
        <v/>
      </c>
      <c r="G22" s="592">
        <v>16</v>
      </c>
      <c r="R22" s="108" t="s">
        <v>215</v>
      </c>
      <c r="S22" s="160" t="b">
        <f>OR(Kategorie1=10,Kategorie2=10,Kategorie3=10,Kategorie4=10,Kategorie1=11,Kategorie2=11,Kategorie3=11,Kategorie4=11)</f>
        <v>0</v>
      </c>
      <c r="U22" s="869" t="s">
        <v>332</v>
      </c>
      <c r="V22" s="870" t="s">
        <v>333</v>
      </c>
      <c r="W22" s="870" t="s">
        <v>1</v>
      </c>
      <c r="X22" s="871" t="s">
        <v>340</v>
      </c>
      <c r="AE22" s="664" t="s">
        <v>517</v>
      </c>
      <c r="AG22" s="64"/>
      <c r="AH22" s="190" t="s">
        <v>698</v>
      </c>
      <c r="AI22" s="28" t="s">
        <v>709</v>
      </c>
      <c r="AJ22" s="63"/>
      <c r="AK22" s="63"/>
      <c r="AL22" s="64"/>
      <c r="BB22" s="123">
        <v>19</v>
      </c>
      <c r="BC22" s="553" t="str">
        <f t="shared" si="1"/>
        <v>Solothurn</v>
      </c>
      <c r="BD22" s="179" t="b">
        <v>1</v>
      </c>
      <c r="BE22" s="123">
        <v>19</v>
      </c>
    </row>
    <row r="23" spans="1:75">
      <c r="A23" s="550" t="str">
        <f t="shared" si="8"/>
        <v/>
      </c>
      <c r="B23" s="38" t="str">
        <f t="shared" si="8"/>
        <v/>
      </c>
      <c r="C23" s="38" t="str">
        <f t="shared" si="8"/>
        <v/>
      </c>
      <c r="D23" s="38" t="str">
        <f t="shared" si="8"/>
        <v/>
      </c>
      <c r="E23" s="38" t="str">
        <f t="shared" si="8"/>
        <v/>
      </c>
      <c r="F23" s="38" t="str">
        <f t="shared" si="8"/>
        <v/>
      </c>
      <c r="G23" s="592">
        <v>17</v>
      </c>
      <c r="I23" s="28" t="s">
        <v>153</v>
      </c>
      <c r="J23" s="75"/>
      <c r="K23" s="174" t="s">
        <v>717</v>
      </c>
      <c r="L23" s="63" t="s">
        <v>718</v>
      </c>
      <c r="M23" s="175"/>
      <c r="N23" s="258">
        <f>IF(Kategorie1&gt;0,INDEX($O$9:$O$21,Kategorie1,1),)</f>
        <v>0</v>
      </c>
      <c r="O23" s="174" t="s">
        <v>207</v>
      </c>
      <c r="P23" s="63" t="s">
        <v>718</v>
      </c>
      <c r="Q23" s="75"/>
      <c r="R23" s="258">
        <f>IF(Kategorie2&gt;0,INDEX($O$9:$O$21,Kategorie2,1),)</f>
        <v>0</v>
      </c>
      <c r="U23" s="2316" t="s">
        <v>823</v>
      </c>
      <c r="V23" s="2317"/>
      <c r="W23" s="2317"/>
      <c r="X23" s="2318"/>
      <c r="AE23" s="89" t="str">
        <f>""</f>
        <v/>
      </c>
      <c r="AF23" s="592">
        <v>1</v>
      </c>
      <c r="AG23" s="515">
        <f>IF(Eingaben!$F$22="",1,VLOOKUP(Eingaben!$F$22,$AE$23:$AF$29,2,FALSE))</f>
        <v>1</v>
      </c>
      <c r="AH23" s="661" t="s">
        <v>555</v>
      </c>
      <c r="AI23" s="36" t="str">
        <f>Q40</f>
        <v xml:space="preserve"> </v>
      </c>
      <c r="AJ23" s="35"/>
      <c r="AK23" s="35"/>
      <c r="AL23" s="118"/>
      <c r="AM23" s="27">
        <v>1</v>
      </c>
      <c r="BB23" s="123">
        <v>20</v>
      </c>
      <c r="BC23" s="553" t="str">
        <f t="shared" si="1"/>
        <v>Schwyz</v>
      </c>
      <c r="BD23" s="179" t="b">
        <v>1</v>
      </c>
      <c r="BE23" s="123">
        <v>20</v>
      </c>
    </row>
    <row r="24" spans="1:75">
      <c r="A24" s="550" t="str">
        <f t="shared" ref="A24:F33" si="9">IF(Kanton=29,A71,"")</f>
        <v/>
      </c>
      <c r="B24" s="38" t="str">
        <f t="shared" si="9"/>
        <v/>
      </c>
      <c r="C24" s="38" t="str">
        <f t="shared" si="9"/>
        <v/>
      </c>
      <c r="D24" s="38" t="str">
        <f t="shared" si="9"/>
        <v/>
      </c>
      <c r="E24" s="38" t="str">
        <f t="shared" si="9"/>
        <v/>
      </c>
      <c r="F24" s="38" t="str">
        <f t="shared" si="9"/>
        <v/>
      </c>
      <c r="G24" s="592">
        <v>18</v>
      </c>
      <c r="I24" s="113">
        <v>1</v>
      </c>
      <c r="J24" s="278"/>
      <c r="K24" s="283" t="s">
        <v>633</v>
      </c>
      <c r="L24" s="514">
        <f>IF(N24=0,1,N24)</f>
        <v>1</v>
      </c>
      <c r="M24" s="284"/>
      <c r="N24" s="512">
        <f>IF(Eingaben!F16="",1,VLOOKUP(Eingaben!F16,Standardwerte!I9:T21,12,FALSE))</f>
        <v>1</v>
      </c>
      <c r="O24" s="283" t="s">
        <v>633</v>
      </c>
      <c r="P24" s="514">
        <f>IF(R24=0,1,R24)</f>
        <v>1</v>
      </c>
      <c r="Q24" s="284" t="str">
        <f>M4</f>
        <v/>
      </c>
      <c r="R24" s="513">
        <f>IF(Eingaben!G16="",1,VLOOKUP(Eingaben!G16,Standardwerte!I9:T21,12,FALSE))</f>
        <v>1</v>
      </c>
      <c r="T24" s="264" t="str">
        <f>""</f>
        <v/>
      </c>
      <c r="U24" s="890"/>
      <c r="V24" s="891"/>
      <c r="W24" s="891"/>
      <c r="X24" s="892"/>
      <c r="AE24" s="123" t="s">
        <v>518</v>
      </c>
      <c r="AF24" s="592">
        <v>2</v>
      </c>
      <c r="AG24" s="516">
        <f>IF(Eingaben!G22="",1,VLOOKUP(Eingaben!G22,$AE$23:$AF$29,2,FALSE))</f>
        <v>1</v>
      </c>
      <c r="AH24" s="662" t="s">
        <v>556</v>
      </c>
      <c r="AI24" s="43" t="str">
        <f>Q41</f>
        <v>Ja</v>
      </c>
      <c r="AJ24" s="42"/>
      <c r="AK24" s="42"/>
      <c r="AL24" s="53"/>
      <c r="AM24" s="27">
        <v>2</v>
      </c>
      <c r="BB24" s="123">
        <v>21</v>
      </c>
      <c r="BC24" s="553" t="str">
        <f t="shared" si="1"/>
        <v>Thurgau</v>
      </c>
      <c r="BD24" s="179" t="b">
        <v>1</v>
      </c>
      <c r="BE24" s="123">
        <v>21</v>
      </c>
    </row>
    <row r="25" spans="1:75" ht="14.25" customHeight="1">
      <c r="A25" s="550" t="str">
        <f t="shared" si="9"/>
        <v/>
      </c>
      <c r="B25" s="38" t="str">
        <f t="shared" si="9"/>
        <v/>
      </c>
      <c r="C25" s="38" t="str">
        <f t="shared" si="9"/>
        <v/>
      </c>
      <c r="D25" s="38" t="str">
        <f t="shared" si="9"/>
        <v/>
      </c>
      <c r="E25" s="38" t="str">
        <f t="shared" si="9"/>
        <v/>
      </c>
      <c r="F25" s="38" t="str">
        <f t="shared" si="9"/>
        <v/>
      </c>
      <c r="G25" s="592">
        <v>19</v>
      </c>
      <c r="I25" s="56">
        <v>2</v>
      </c>
      <c r="J25" s="85" t="str">
        <f>AA48</f>
        <v>Nein</v>
      </c>
      <c r="K25" s="275" t="s">
        <v>478</v>
      </c>
      <c r="L25" s="282" t="str">
        <f>INDEX($O$35:$O$46,Lüftung1,1)</f>
        <v/>
      </c>
      <c r="M25" s="882" t="s">
        <v>824</v>
      </c>
      <c r="N25" s="895">
        <f>IF(Eingaben!F35="",1,VLOOKUP(Eingaben!F35,$AB$47:$AC$48,2,FALSE))</f>
        <v>1</v>
      </c>
      <c r="O25" s="275" t="s">
        <v>478</v>
      </c>
      <c r="P25" s="282" t="str">
        <f>INDEX($O$35:$O$46,Lüftung2,1)</f>
        <v/>
      </c>
      <c r="Q25" s="882" t="s">
        <v>824</v>
      </c>
      <c r="R25" s="895">
        <f>IF(Eingaben!G35="",1,VLOOKUP(Eingaben!G35,$AB$47:$AC$48,2,FALSE))</f>
        <v>1</v>
      </c>
      <c r="T25" s="882" t="str">
        <f>O36</f>
        <v>keine Lüftung</v>
      </c>
      <c r="U25" s="883">
        <v>0</v>
      </c>
      <c r="V25" s="889">
        <v>0</v>
      </c>
      <c r="W25" s="889">
        <v>0</v>
      </c>
      <c r="X25" s="893">
        <v>0</v>
      </c>
      <c r="AE25" s="123" t="s">
        <v>519</v>
      </c>
      <c r="AF25" s="592">
        <v>3</v>
      </c>
      <c r="AG25" s="516">
        <f>IF(Eingaben!$H$22="",1,VLOOKUP(Eingaben!$H$22,$AE$23:$AF$29,2,FALSE))</f>
        <v>1</v>
      </c>
      <c r="AH25" s="662" t="s">
        <v>234</v>
      </c>
      <c r="AI25" s="43" t="str">
        <f>Q42</f>
        <v>Nein</v>
      </c>
      <c r="AJ25" s="42"/>
      <c r="AK25" s="42"/>
      <c r="AL25" s="53"/>
      <c r="AM25" s="27">
        <v>3</v>
      </c>
      <c r="BB25" s="123">
        <v>22</v>
      </c>
      <c r="BC25" s="553" t="str">
        <f t="shared" si="1"/>
        <v>Tessin</v>
      </c>
      <c r="BD25" s="179" t="b">
        <v>1</v>
      </c>
      <c r="BE25" s="123">
        <v>22</v>
      </c>
      <c r="BM25" s="274"/>
    </row>
    <row r="26" spans="1:75">
      <c r="A26" s="550" t="str">
        <f t="shared" si="9"/>
        <v/>
      </c>
      <c r="B26" s="38" t="str">
        <f t="shared" si="9"/>
        <v/>
      </c>
      <c r="C26" s="38" t="str">
        <f t="shared" si="9"/>
        <v/>
      </c>
      <c r="D26" s="38" t="str">
        <f t="shared" si="9"/>
        <v/>
      </c>
      <c r="E26" s="38" t="str">
        <f t="shared" si="9"/>
        <v/>
      </c>
      <c r="F26" s="38" t="str">
        <f t="shared" si="9"/>
        <v/>
      </c>
      <c r="G26" s="592">
        <v>20</v>
      </c>
      <c r="I26" s="111">
        <v>3</v>
      </c>
      <c r="J26" s="138" t="str">
        <f>AA47</f>
        <v>Ja</v>
      </c>
      <c r="K26" s="276" t="s">
        <v>363</v>
      </c>
      <c r="L26" s="277" t="b">
        <f>IF(_WW1=3,INDEX($R$9:$R$21,Kategorie1,1),FALSE)</f>
        <v>0</v>
      </c>
      <c r="M26" s="300" t="s">
        <v>468</v>
      </c>
      <c r="N26" s="285" t="b">
        <f>IF(Kategorie1&gt;0,INDEX($S$9:$S$21,Kategorie1,1),TRUE)</f>
        <v>1</v>
      </c>
      <c r="O26" s="276" t="s">
        <v>363</v>
      </c>
      <c r="P26" s="277" t="b">
        <f>IF(Zonen&gt;1,IF(_WW2=3,INDEX($R$9:$R$21,Kategorie2,1),FALSE),FALSE)</f>
        <v>0</v>
      </c>
      <c r="Q26" s="285" t="s">
        <v>468</v>
      </c>
      <c r="R26" s="299" t="b">
        <f>IF(Kategorie2&gt;0,INDEX($S$9:$S$21,Kategorie2,1),TRUE)</f>
        <v>1</v>
      </c>
      <c r="T26" s="882" t="str">
        <f t="shared" ref="T26:T32" si="10">O37</f>
        <v>Zu- / Abluft</v>
      </c>
      <c r="U26" s="884">
        <f>0.24+0.7</f>
        <v>0.94</v>
      </c>
      <c r="V26" s="885">
        <f>0.24+0.7</f>
        <v>0.94</v>
      </c>
      <c r="W26" s="885">
        <f>0.18+0.7</f>
        <v>0.87999999999999989</v>
      </c>
      <c r="X26" s="894">
        <f>0.18+0.7</f>
        <v>0.87999999999999989</v>
      </c>
      <c r="AE26" s="123" t="s">
        <v>349</v>
      </c>
      <c r="AF26" s="592">
        <v>4</v>
      </c>
      <c r="AG26" s="517">
        <f>IF(Eingaben!$I$22="",1,VLOOKUP(Eingaben!$I$22,$AE$23:$AF$29,2,FALSE))</f>
        <v>1</v>
      </c>
      <c r="AH26" s="663" t="s">
        <v>235</v>
      </c>
      <c r="AI26" s="43"/>
      <c r="AJ26" s="42"/>
      <c r="AK26" s="42"/>
      <c r="AL26" s="53"/>
      <c r="BB26" s="123">
        <v>23</v>
      </c>
      <c r="BC26" s="553" t="str">
        <f t="shared" si="1"/>
        <v>Uri</v>
      </c>
      <c r="BD26" s="179" t="b">
        <v>1</v>
      </c>
      <c r="BE26" s="123">
        <v>23</v>
      </c>
      <c r="BL26" s="333" t="s">
        <v>662</v>
      </c>
      <c r="BM26" s="333"/>
      <c r="BN26" s="333"/>
    </row>
    <row r="27" spans="1:75" ht="15.6" customHeight="1">
      <c r="A27" s="550" t="str">
        <f t="shared" si="9"/>
        <v/>
      </c>
      <c r="B27" s="38" t="str">
        <f t="shared" si="9"/>
        <v/>
      </c>
      <c r="C27" s="38" t="str">
        <f t="shared" si="9"/>
        <v/>
      </c>
      <c r="D27" s="38" t="str">
        <f t="shared" si="9"/>
        <v/>
      </c>
      <c r="E27" s="38" t="str">
        <f t="shared" si="9"/>
        <v/>
      </c>
      <c r="F27" s="38" t="str">
        <f t="shared" si="9"/>
        <v/>
      </c>
      <c r="G27" s="592">
        <v>21</v>
      </c>
      <c r="I27" s="109" t="s">
        <v>52</v>
      </c>
      <c r="J27" s="665">
        <f>IF(Eingaben!$F$30="",1,VLOOKUP(Eingaben!$F$30,AG39:AO41,9,FALSE))</f>
        <v>1</v>
      </c>
      <c r="K27" s="174" t="s">
        <v>208</v>
      </c>
      <c r="L27" s="63" t="s">
        <v>718</v>
      </c>
      <c r="M27" s="172"/>
      <c r="N27" s="258">
        <f>IF(Kategorie3&gt;0,INDEX($O$9:$O$21,Kategorie3,1),)</f>
        <v>0</v>
      </c>
      <c r="O27" s="279" t="s">
        <v>209</v>
      </c>
      <c r="P27" s="170" t="s">
        <v>718</v>
      </c>
      <c r="Q27" s="280"/>
      <c r="R27" s="281">
        <f>IF(Kategorie4&gt;0,INDEX($O$9:$O$21,Kategorie4,1),)</f>
        <v>0</v>
      </c>
      <c r="T27" s="882" t="str">
        <f t="shared" si="10"/>
        <v>Lüftung+WRG</v>
      </c>
      <c r="U27" s="884">
        <f>0.24+0.7</f>
        <v>0.94</v>
      </c>
      <c r="V27" s="885">
        <f>0.24+0.7</f>
        <v>0.94</v>
      </c>
      <c r="W27" s="885">
        <f>0.18+0.7</f>
        <v>0.87999999999999989</v>
      </c>
      <c r="X27" s="894">
        <f>0.18+0.7</f>
        <v>0.87999999999999989</v>
      </c>
      <c r="AE27" s="123" t="s">
        <v>515</v>
      </c>
      <c r="AF27" s="592">
        <v>5</v>
      </c>
      <c r="AI27" s="43"/>
      <c r="AJ27" s="42"/>
      <c r="AK27" s="42"/>
      <c r="AL27" s="53"/>
      <c r="BB27" s="123">
        <v>24</v>
      </c>
      <c r="BC27" s="553" t="str">
        <f t="shared" si="1"/>
        <v>Waadt</v>
      </c>
      <c r="BD27" s="179" t="b">
        <v>1</v>
      </c>
      <c r="BE27" s="123">
        <v>24</v>
      </c>
      <c r="BW27" s="273" t="s">
        <v>368</v>
      </c>
    </row>
    <row r="28" spans="1:75">
      <c r="A28" s="550" t="str">
        <f t="shared" si="9"/>
        <v/>
      </c>
      <c r="B28" s="38" t="str">
        <f t="shared" si="9"/>
        <v/>
      </c>
      <c r="C28" s="38" t="str">
        <f t="shared" si="9"/>
        <v/>
      </c>
      <c r="D28" s="38" t="str">
        <f t="shared" si="9"/>
        <v/>
      </c>
      <c r="E28" s="38" t="str">
        <f t="shared" si="9"/>
        <v/>
      </c>
      <c r="F28" s="38" t="str">
        <f t="shared" si="9"/>
        <v/>
      </c>
      <c r="G28" s="592">
        <v>22</v>
      </c>
      <c r="I28" s="109" t="s">
        <v>443</v>
      </c>
      <c r="J28" s="665">
        <f>IF(Zonen&gt;1,IF(Eingaben!$G$30="",1,VLOOKUP(Eingaben!$G$30,AI39:AO41,7,FALSE)),1)</f>
        <v>1</v>
      </c>
      <c r="K28" s="283" t="s">
        <v>633</v>
      </c>
      <c r="L28" s="514">
        <f>IF(N28=0,1,N28)</f>
        <v>1</v>
      </c>
      <c r="M28" s="284" t="str">
        <f>O4</f>
        <v/>
      </c>
      <c r="N28" s="512">
        <f>IF(Eingaben!H16="",1,VLOOKUP(Eingaben!H16,Standardwerte!I9:T21,12,FALSE))</f>
        <v>1</v>
      </c>
      <c r="O28" s="283" t="s">
        <v>633</v>
      </c>
      <c r="P28" s="514">
        <f>IF(R28=0,1,R28)</f>
        <v>1</v>
      </c>
      <c r="Q28" s="284" t="str">
        <f>Q4</f>
        <v/>
      </c>
      <c r="R28" s="513">
        <f>IF(Eingaben!I16="",1,VLOOKUP(Eingaben!I16,Standardwerte!I9:T21,12,FALSE))</f>
        <v>1</v>
      </c>
      <c r="T28" s="882" t="str">
        <f t="shared" si="10"/>
        <v>Lüftung+WP</v>
      </c>
      <c r="U28" s="884">
        <f>0.24+0.9</f>
        <v>1.1400000000000001</v>
      </c>
      <c r="V28" s="885">
        <f>0.24+0.9</f>
        <v>1.1400000000000001</v>
      </c>
      <c r="W28" s="885">
        <f>0.18+0.8</f>
        <v>0.98</v>
      </c>
      <c r="X28" s="894">
        <f>0.18+0.7</f>
        <v>0.87999999999999989</v>
      </c>
      <c r="AE28" s="123" t="s">
        <v>350</v>
      </c>
      <c r="AF28" s="592">
        <v>6</v>
      </c>
      <c r="AI28" s="43"/>
      <c r="AJ28" s="42"/>
      <c r="AK28" s="42"/>
      <c r="AL28" s="53"/>
      <c r="BB28" s="123">
        <v>25</v>
      </c>
      <c r="BC28" s="553" t="str">
        <f t="shared" si="1"/>
        <v>Wallis</v>
      </c>
      <c r="BD28" s="179" t="b">
        <v>1</v>
      </c>
      <c r="BE28" s="123">
        <v>25</v>
      </c>
      <c r="BI28" s="2327" t="s">
        <v>180</v>
      </c>
      <c r="BJ28" s="2328"/>
      <c r="BK28" s="558">
        <f>BN28</f>
        <v>2</v>
      </c>
      <c r="BL28" s="130" t="s">
        <v>661</v>
      </c>
      <c r="BM28" s="1272" t="b">
        <f>IF(BN28=3,TRUE,FALSE)</f>
        <v>0</v>
      </c>
      <c r="BN28" s="670">
        <f>AK63</f>
        <v>2</v>
      </c>
      <c r="BV28" s="27" t="s">
        <v>199</v>
      </c>
      <c r="BW28" s="146" t="b">
        <f>OR(abgabe1=6,abgabe2=6,abgabe3=6,abgabe4=6)</f>
        <v>0</v>
      </c>
    </row>
    <row r="29" spans="1:75">
      <c r="A29" s="550" t="str">
        <f t="shared" si="9"/>
        <v/>
      </c>
      <c r="B29" s="38" t="str">
        <f t="shared" si="9"/>
        <v/>
      </c>
      <c r="C29" s="38" t="str">
        <f t="shared" si="9"/>
        <v/>
      </c>
      <c r="D29" s="38" t="str">
        <f t="shared" si="9"/>
        <v/>
      </c>
      <c r="E29" s="38" t="str">
        <f t="shared" si="9"/>
        <v/>
      </c>
      <c r="F29" s="38" t="str">
        <f t="shared" si="9"/>
        <v/>
      </c>
      <c r="G29" s="592">
        <v>23</v>
      </c>
      <c r="I29" s="109" t="s">
        <v>444</v>
      </c>
      <c r="J29" s="665">
        <f>IF(Zonen&gt;2,IF(Eingaben!$H$30="",1,VLOOKUP(Eingaben!$H$30,AK39:AO41,5,FALSE)),1)</f>
        <v>1</v>
      </c>
      <c r="K29" s="275" t="s">
        <v>478</v>
      </c>
      <c r="L29" s="282" t="str">
        <f>INDEX($O$35:$O$46,Lüftung3,1)</f>
        <v/>
      </c>
      <c r="M29" s="882" t="s">
        <v>824</v>
      </c>
      <c r="N29" s="895">
        <f>IF(Eingaben!H35="",1,VLOOKUP(Eingaben!H35,$AB$47:$AC$48,2,FALSE))</f>
        <v>1</v>
      </c>
      <c r="O29" s="275" t="s">
        <v>478</v>
      </c>
      <c r="P29" s="282" t="str">
        <f>INDEX($O$35:$O$46,Lüftung4,1)</f>
        <v/>
      </c>
      <c r="Q29" s="882" t="s">
        <v>824</v>
      </c>
      <c r="R29" s="895">
        <f>IF(Eingaben!I35="",1,VLOOKUP(Eingaben!I35,$AB$47:$AC$48,2,FALSE))</f>
        <v>1</v>
      </c>
      <c r="T29" s="882" t="str">
        <f t="shared" si="10"/>
        <v>nur Abluft</v>
      </c>
      <c r="U29" s="884">
        <f>0.18+0.4</f>
        <v>0.58000000000000007</v>
      </c>
      <c r="V29" s="885">
        <f>0.18+0.4</f>
        <v>0.58000000000000007</v>
      </c>
      <c r="W29" s="885">
        <f>0.18+0.4</f>
        <v>0.58000000000000007</v>
      </c>
      <c r="X29" s="894">
        <f>0.18+0.4</f>
        <v>0.58000000000000007</v>
      </c>
      <c r="AE29" s="146" t="s">
        <v>516</v>
      </c>
      <c r="AF29" s="592">
        <v>7</v>
      </c>
      <c r="AI29" s="95"/>
      <c r="AJ29" s="60"/>
      <c r="AK29" s="60"/>
      <c r="AL29" s="119"/>
      <c r="BB29" s="123">
        <v>26</v>
      </c>
      <c r="BC29" s="553" t="str">
        <f t="shared" si="1"/>
        <v>Zug</v>
      </c>
      <c r="BD29" s="179" t="b">
        <v>1</v>
      </c>
      <c r="BE29" s="123">
        <v>26</v>
      </c>
      <c r="BI29" s="406"/>
      <c r="BJ29" s="42"/>
      <c r="BL29" s="589" t="s">
        <v>183</v>
      </c>
      <c r="BM29" s="35"/>
      <c r="BN29" s="118"/>
      <c r="BV29" s="27" t="s">
        <v>199</v>
      </c>
    </row>
    <row r="30" spans="1:75">
      <c r="A30" s="550" t="str">
        <f t="shared" si="9"/>
        <v/>
      </c>
      <c r="B30" s="38" t="str">
        <f t="shared" si="9"/>
        <v/>
      </c>
      <c r="C30" s="38" t="str">
        <f t="shared" si="9"/>
        <v/>
      </c>
      <c r="D30" s="38" t="str">
        <f t="shared" si="9"/>
        <v/>
      </c>
      <c r="E30" s="38" t="str">
        <f t="shared" si="9"/>
        <v/>
      </c>
      <c r="F30" s="38" t="str">
        <f t="shared" si="9"/>
        <v/>
      </c>
      <c r="G30" s="592">
        <v>24</v>
      </c>
      <c r="I30" s="110" t="s">
        <v>445</v>
      </c>
      <c r="J30" s="666">
        <f>IF(Zonen&gt;3,IF(Eingaben!$I$30="",1,VLOOKUP(Eingaben!$I$30,AM39:AO41,3,FALSE)),1)</f>
        <v>1</v>
      </c>
      <c r="K30" s="276" t="s">
        <v>363</v>
      </c>
      <c r="L30" s="277" t="b">
        <f>IF(Zonen&gt;2,IF(_WW3=3,INDEX($R$9:$R$21,Kategorie3,1),FALSE),FALSE)</f>
        <v>0</v>
      </c>
      <c r="M30" s="300" t="s">
        <v>468</v>
      </c>
      <c r="N30" s="285" t="b">
        <f>IF(Kategorie3&gt;0,INDEX($S$9:$S$21,Kategorie3,1),TRUE)</f>
        <v>1</v>
      </c>
      <c r="O30" s="276" t="s">
        <v>363</v>
      </c>
      <c r="P30" s="277" t="b">
        <f>IF(Zonen&gt;3,IF(_WW4=3,INDEX($R$9:$R$21,Kategorie4,1),FALSE),FALSE)</f>
        <v>0</v>
      </c>
      <c r="Q30" s="285" t="s">
        <v>468</v>
      </c>
      <c r="R30" s="299" t="b">
        <f>IF(Kategorie4&gt;0,INDEX($S$9:$S$21,Kategorie4,1),TRUE)</f>
        <v>1</v>
      </c>
      <c r="T30" s="882" t="str">
        <f t="shared" si="10"/>
        <v>Abluft - WP</v>
      </c>
      <c r="U30" s="884">
        <f>0.18+0.5</f>
        <v>0.67999999999999994</v>
      </c>
      <c r="V30" s="885">
        <f>0.18+0.5</f>
        <v>0.67999999999999994</v>
      </c>
      <c r="W30" s="885">
        <f>0.18+0.5</f>
        <v>0.67999999999999994</v>
      </c>
      <c r="X30" s="894">
        <f>0.18+0.5</f>
        <v>0.67999999999999994</v>
      </c>
      <c r="BB30" s="123">
        <v>27</v>
      </c>
      <c r="BC30" s="553" t="str">
        <f t="shared" si="1"/>
        <v>Zürich</v>
      </c>
      <c r="BD30" s="179" t="b">
        <v>1</v>
      </c>
      <c r="BE30" s="123">
        <v>27</v>
      </c>
      <c r="BI30" s="406"/>
      <c r="BJ30" s="42"/>
      <c r="BL30" s="590" t="s">
        <v>184</v>
      </c>
      <c r="BM30" s="42"/>
      <c r="BN30" s="53"/>
      <c r="BV30" s="27" t="s">
        <v>199</v>
      </c>
    </row>
    <row r="31" spans="1:75" ht="15.75">
      <c r="A31" s="550" t="str">
        <f t="shared" si="9"/>
        <v/>
      </c>
      <c r="B31" s="38" t="str">
        <f t="shared" si="9"/>
        <v/>
      </c>
      <c r="C31" s="38" t="str">
        <f t="shared" si="9"/>
        <v/>
      </c>
      <c r="D31" s="38" t="str">
        <f t="shared" si="9"/>
        <v/>
      </c>
      <c r="E31" s="38" t="str">
        <f t="shared" si="9"/>
        <v/>
      </c>
      <c r="F31" s="38" t="str">
        <f t="shared" si="9"/>
        <v/>
      </c>
      <c r="G31" s="592">
        <v>25</v>
      </c>
      <c r="T31" s="882" t="str">
        <f t="shared" si="10"/>
        <v>Einzelraumlüft.</v>
      </c>
      <c r="U31" s="884">
        <f>0.7</f>
        <v>0.7</v>
      </c>
      <c r="V31" s="885">
        <f>0.7</f>
        <v>0.7</v>
      </c>
      <c r="W31" s="885">
        <f>0.7</f>
        <v>0.7</v>
      </c>
      <c r="X31" s="894">
        <f>0.7</f>
        <v>0.7</v>
      </c>
      <c r="AE31" s="274" t="s">
        <v>680</v>
      </c>
      <c r="BB31" s="123">
        <v>28</v>
      </c>
      <c r="BC31" s="553" t="str">
        <f t="shared" si="1"/>
        <v>Fürstentum Liechtenstein</v>
      </c>
      <c r="BD31" s="179" t="b">
        <v>1</v>
      </c>
      <c r="BE31" s="123">
        <v>28</v>
      </c>
      <c r="BI31" s="406"/>
      <c r="BJ31" s="42"/>
      <c r="BL31" s="590" t="s">
        <v>185</v>
      </c>
      <c r="BM31" s="42"/>
      <c r="BN31" s="53"/>
      <c r="BV31" s="27" t="s">
        <v>199</v>
      </c>
    </row>
    <row r="32" spans="1:75" ht="15.75">
      <c r="A32" s="550" t="str">
        <f t="shared" si="9"/>
        <v/>
      </c>
      <c r="B32" s="38" t="str">
        <f t="shared" si="9"/>
        <v/>
      </c>
      <c r="C32" s="38" t="str">
        <f t="shared" si="9"/>
        <v/>
      </c>
      <c r="D32" s="38" t="str">
        <f t="shared" si="9"/>
        <v/>
      </c>
      <c r="E32" s="38" t="str">
        <f t="shared" si="9"/>
        <v/>
      </c>
      <c r="F32" s="38" t="str">
        <f t="shared" si="9"/>
        <v/>
      </c>
      <c r="G32" s="592">
        <v>26</v>
      </c>
      <c r="I32" s="274" t="s">
        <v>536</v>
      </c>
      <c r="L32" s="274" t="s">
        <v>681</v>
      </c>
      <c r="T32" s="882" t="str">
        <f t="shared" si="10"/>
        <v>Auto Fensterl.</v>
      </c>
      <c r="U32" s="898">
        <f>0.012</f>
        <v>1.2E-2</v>
      </c>
      <c r="V32" s="899">
        <f>0.012</f>
        <v>1.2E-2</v>
      </c>
      <c r="W32" s="899">
        <f>0.032</f>
        <v>3.2000000000000001E-2</v>
      </c>
      <c r="X32" s="900">
        <f>0.032</f>
        <v>3.2000000000000001E-2</v>
      </c>
      <c r="AV32" s="274"/>
      <c r="BB32" s="146">
        <v>29</v>
      </c>
      <c r="BC32" s="554" t="str">
        <f t="shared" si="1"/>
        <v>Spezial</v>
      </c>
      <c r="BD32" s="178" t="b">
        <v>1</v>
      </c>
      <c r="BE32" s="146">
        <v>29</v>
      </c>
      <c r="BI32" s="407"/>
      <c r="BJ32" s="42"/>
      <c r="BL32" s="337" t="str">
        <f>IF(BN28&gt;0,INDEX(BL29:BL31,BN28,1),BL29)</f>
        <v>Nachweisformular zum MINERGIE-P-Antrag</v>
      </c>
      <c r="BM32" s="559"/>
      <c r="BN32" s="338"/>
    </row>
    <row r="33" spans="1:74">
      <c r="A33" s="550" t="str">
        <f t="shared" si="9"/>
        <v/>
      </c>
      <c r="B33" s="38" t="str">
        <f t="shared" si="9"/>
        <v/>
      </c>
      <c r="C33" s="38" t="str">
        <f t="shared" si="9"/>
        <v/>
      </c>
      <c r="D33" s="38" t="str">
        <f t="shared" si="9"/>
        <v/>
      </c>
      <c r="E33" s="38" t="str">
        <f t="shared" si="9"/>
        <v/>
      </c>
      <c r="F33" s="38" t="str">
        <f t="shared" si="9"/>
        <v/>
      </c>
      <c r="G33" s="592">
        <v>27</v>
      </c>
      <c r="R33" s="27"/>
      <c r="S33" s="27"/>
      <c r="U33" s="886" t="s">
        <v>332</v>
      </c>
      <c r="V33" s="887" t="s">
        <v>333</v>
      </c>
      <c r="W33" s="887" t="s">
        <v>1</v>
      </c>
      <c r="X33" s="888" t="s">
        <v>340</v>
      </c>
      <c r="Y33" s="870"/>
      <c r="Z33" s="870" t="s">
        <v>333</v>
      </c>
      <c r="AA33" s="872" t="s">
        <v>332</v>
      </c>
      <c r="AB33" s="872" t="s">
        <v>1</v>
      </c>
      <c r="AC33" s="871" t="s">
        <v>340</v>
      </c>
      <c r="AE33" s="63"/>
      <c r="AF33" s="314" t="s">
        <v>201</v>
      </c>
      <c r="AG33" s="2319" t="s">
        <v>162</v>
      </c>
      <c r="AH33" s="2320"/>
      <c r="AI33" s="2319" t="s">
        <v>163</v>
      </c>
      <c r="AJ33" s="2320"/>
      <c r="AK33" s="2319" t="s">
        <v>164</v>
      </c>
      <c r="AL33" s="2320"/>
      <c r="AM33" s="2319" t="s">
        <v>165</v>
      </c>
      <c r="AN33" s="2320"/>
      <c r="BB33" s="547">
        <f>IF(Eingaben!I13="",1,VLOOKUP(Eingaben!I13,Standardwerte!BC4:BE32,3,FALSE))</f>
        <v>1</v>
      </c>
      <c r="BC33" s="331">
        <f>IF(Kanton&gt;0,INDEX(BC4:BC32,Kanton,1),"")</f>
        <v>0</v>
      </c>
      <c r="BD33" s="542">
        <f>IF(Kanton&gt;0,INDEX(BD4:BD32,Kanton,1),TRUE)</f>
        <v>0</v>
      </c>
      <c r="BI33" s="42"/>
      <c r="BJ33" s="42"/>
      <c r="BL33" s="130" t="s">
        <v>379</v>
      </c>
      <c r="BM33" s="1272" t="b">
        <f>IF(BN28=4,TRUE,FALSE)</f>
        <v>0</v>
      </c>
      <c r="BN33" s="342"/>
    </row>
    <row r="34" spans="1:74">
      <c r="A34" s="550" t="str">
        <f t="shared" ref="A34:F43" si="11">IF(Kanton=29,A81,"")</f>
        <v/>
      </c>
      <c r="B34" s="38" t="str">
        <f t="shared" si="11"/>
        <v/>
      </c>
      <c r="C34" s="38" t="str">
        <f t="shared" si="11"/>
        <v/>
      </c>
      <c r="D34" s="38" t="str">
        <f t="shared" si="11"/>
        <v/>
      </c>
      <c r="E34" s="38" t="str">
        <f t="shared" si="11"/>
        <v/>
      </c>
      <c r="F34" s="38" t="str">
        <f t="shared" si="11"/>
        <v/>
      </c>
      <c r="G34" s="592">
        <v>28</v>
      </c>
      <c r="I34" s="518" t="s">
        <v>1918</v>
      </c>
      <c r="J34" s="519"/>
      <c r="L34" s="29" t="s">
        <v>361</v>
      </c>
      <c r="M34" s="30"/>
      <c r="N34" s="30"/>
      <c r="O34" s="31"/>
      <c r="P34" s="29" t="s">
        <v>639</v>
      </c>
      <c r="Q34" s="32"/>
      <c r="R34" s="865" t="s">
        <v>818</v>
      </c>
      <c r="S34" s="273" t="s">
        <v>818</v>
      </c>
      <c r="T34" s="861" t="s">
        <v>773</v>
      </c>
      <c r="U34" s="2313" t="s">
        <v>817</v>
      </c>
      <c r="V34" s="2314"/>
      <c r="W34" s="2314"/>
      <c r="X34" s="2315"/>
      <c r="Y34" s="873"/>
      <c r="Z34" s="874"/>
      <c r="AA34" s="2314" t="s">
        <v>820</v>
      </c>
      <c r="AB34" s="2314"/>
      <c r="AC34" s="2315"/>
      <c r="AE34" s="315"/>
      <c r="AF34" s="315"/>
      <c r="AG34" s="308"/>
      <c r="AH34" s="316"/>
      <c r="AI34" s="308"/>
      <c r="AJ34" s="316"/>
      <c r="AK34" s="308"/>
      <c r="AL34" s="316"/>
      <c r="AM34" s="308"/>
      <c r="AN34" s="316"/>
      <c r="BB34" s="366"/>
      <c r="BC34" s="367" t="s">
        <v>684</v>
      </c>
      <c r="BD34" s="368" t="s">
        <v>189</v>
      </c>
      <c r="BE34" s="107" t="s">
        <v>378</v>
      </c>
      <c r="BF34" s="107"/>
    </row>
    <row r="35" spans="1:74">
      <c r="A35" s="550" t="str">
        <f t="shared" si="11"/>
        <v/>
      </c>
      <c r="B35" s="38" t="str">
        <f t="shared" si="11"/>
        <v/>
      </c>
      <c r="C35" s="38" t="str">
        <f t="shared" si="11"/>
        <v/>
      </c>
      <c r="D35" s="38" t="str">
        <f t="shared" si="11"/>
        <v/>
      </c>
      <c r="E35" s="38" t="str">
        <f t="shared" si="11"/>
        <v/>
      </c>
      <c r="F35" s="38" t="str">
        <f t="shared" si="11"/>
        <v/>
      </c>
      <c r="G35" s="592">
        <v>29</v>
      </c>
      <c r="I35" s="520" t="s">
        <v>52</v>
      </c>
      <c r="J35" s="521">
        <f>IF(AND(Klima&gt;1,Kategorie1&gt;0),INDEX($AL$71:$AL$83,Kategorie1,1),)</f>
        <v>0</v>
      </c>
      <c r="K35" s="27">
        <v>1</v>
      </c>
      <c r="L35" s="34" t="s">
        <v>47</v>
      </c>
      <c r="M35" s="35"/>
      <c r="N35" s="118"/>
      <c r="O35" s="35" t="str">
        <f>""</f>
        <v/>
      </c>
      <c r="P35" s="36" t="s">
        <v>640</v>
      </c>
      <c r="Q35" s="778">
        <f>IF(Eingaben!F$31="",1,VLOOKUP(Eingaben!F$31,$O$35:$T$43,6,FALSE))</f>
        <v>1</v>
      </c>
      <c r="R35" s="856" t="str">
        <f>IF(AND(Kategorie1&gt;1,Kategorie1&lt;6,Lüftung1&gt;2),MAX(Raum1,ROUNDUP(EBFo1/INDEX($V$9:$V$21,Kategorie1,1),0))*INDEX($Y$35:$AC$43,Lüftung1,Kategorie1),IF(AND(Kategorie1&gt;1,Lüftung1&gt;1),EBFo1*INDEX($O$9:$O$21,Kategorie1,1),""))</f>
        <v/>
      </c>
      <c r="S35" s="866" t="str">
        <f>IF(EBFo1&gt;0,MAX(IF(WRGtyp1&lt;3,INDEX($O$9:$O$21,Kategorie1,1),0),IF(AND(Lüftung1&gt;2,Kategorie1&lt;6),INDEX($U$35:$X$43,Lüftung1,Kategorie1-1)*VSup1/(INDEX($Z$35:$AC$43,Lüftung1,Kategorie1-1))/EBFo1*(1-INDEX($Q$54:$Q$59,WRGtyp1,1))+vo,INDEX($O$9:$O$21,Kategorie1,1))),"")</f>
        <v/>
      </c>
      <c r="T35" s="113">
        <v>1</v>
      </c>
      <c r="U35" s="839"/>
      <c r="V35" s="85"/>
      <c r="W35" s="85"/>
      <c r="X35" s="840"/>
      <c r="Y35" s="85"/>
      <c r="Z35" s="42"/>
      <c r="AA35" s="42"/>
      <c r="AB35" s="42"/>
      <c r="AC35" s="840"/>
      <c r="AE35" s="42"/>
      <c r="AF35" s="312" t="s">
        <v>679</v>
      </c>
      <c r="AG35" s="2193" t="b">
        <f>AND(Kategorie1&lt;=5,EBFo1&lt;=INDEX($U$9:$U$21,Kategorie1,1))</f>
        <v>1</v>
      </c>
      <c r="AH35" s="2194"/>
      <c r="AI35" s="2193" t="b">
        <f>AND(Kategorie2&lt;=5,EBFo2&lt;=INDEX($U$9:$U$21,Kategorie2,1))</f>
        <v>1</v>
      </c>
      <c r="AJ35" s="2194"/>
      <c r="AK35" s="2193" t="b">
        <f>AND(Kategorie3&lt;=5,EBFo3&lt;=INDEX($U$9:$U$21,Kategorie3,1))</f>
        <v>1</v>
      </c>
      <c r="AL35" s="2194"/>
      <c r="AM35" s="2193" t="b">
        <f>AND(Kategorie4&lt;=5,EBFo4&lt;=INDEX($U$9:$U$21,Kategorie4,1))</f>
        <v>1</v>
      </c>
      <c r="AN35" s="2194"/>
      <c r="BB35" s="36">
        <v>0</v>
      </c>
      <c r="BC35" s="118" t="s">
        <v>199</v>
      </c>
      <c r="BD35" s="36" t="s">
        <v>199</v>
      </c>
      <c r="BE35" s="36"/>
      <c r="BF35" s="118"/>
    </row>
    <row r="36" spans="1:74">
      <c r="A36" s="550" t="str">
        <f t="shared" si="11"/>
        <v/>
      </c>
      <c r="B36" s="38" t="str">
        <f t="shared" si="11"/>
        <v/>
      </c>
      <c r="C36" s="38" t="str">
        <f t="shared" si="11"/>
        <v/>
      </c>
      <c r="D36" s="38" t="str">
        <f t="shared" si="11"/>
        <v/>
      </c>
      <c r="E36" s="38" t="str">
        <f t="shared" si="11"/>
        <v/>
      </c>
      <c r="F36" s="38" t="str">
        <f t="shared" si="11"/>
        <v/>
      </c>
      <c r="G36" s="592">
        <v>30</v>
      </c>
      <c r="I36" s="520" t="s">
        <v>443</v>
      </c>
      <c r="J36" s="521">
        <f>IF(AND(Klima&gt;1,Kategorie2&gt;0),INDEX($AL$71:$AL$83,Kategorie2,1),)</f>
        <v>0</v>
      </c>
      <c r="K36" s="27">
        <v>2</v>
      </c>
      <c r="L36" s="590" t="s">
        <v>811</v>
      </c>
      <c r="M36" s="42"/>
      <c r="N36" s="53"/>
      <c r="O36" s="849" t="str">
        <f>Uebersetzung!D94</f>
        <v>keine Lüftung</v>
      </c>
      <c r="P36" s="43" t="s">
        <v>335</v>
      </c>
      <c r="Q36" s="778">
        <f>IF(Eingaben!G$31="",1,VLOOKUP(Eingaben!G$31,$O$35:$T$43,6,FALSE))</f>
        <v>1</v>
      </c>
      <c r="R36" s="856" t="str">
        <f>IF(AND(Kategorie2&gt;1,Kategorie2&lt;6,Lüftung2&gt;2),MAX(Raum2,ROUNDUP(EBFo2/INDEX($V$9:$V$21,Kategorie2,1),0))*INDEX($Y$35:$AC$43,Lüftung2,Kategorie2),IF(AND(Kategorie2&gt;1,Lüftung2&gt;1),EBFo2*INDEX($O$9:$O$21,Kategorie2,1),""))</f>
        <v/>
      </c>
      <c r="S36" s="867" t="str">
        <f>IF(EBFo2&gt;0,MAX(IF(WRGtyp2&lt;3,INDEX($O$9:$O$21,Kategorie2,1),0),IF(AND(Lüftung2&gt;2,Kategorie2&lt;6),INDEX($U$35:$X$43,Lüftung2,Kategorie2-1)*VSup2/(INDEX($Z$35:$AC$43,Lüftung2,Kategorie2-1))/EBFo2*(1-INDEX($Q$54:$Q$59,WRGtyp2,1))+vo,INDEX($O$9:$O$21,Kategorie2,1))),"")</f>
        <v/>
      </c>
      <c r="T36" s="839">
        <v>2</v>
      </c>
      <c r="U36" s="780"/>
      <c r="V36" s="862"/>
      <c r="W36" s="862"/>
      <c r="X36" s="784"/>
      <c r="Y36" s="85"/>
      <c r="Z36" s="85"/>
      <c r="AA36" s="85"/>
      <c r="AB36" s="85"/>
      <c r="AC36" s="840"/>
      <c r="AE36" s="42"/>
      <c r="AF36" s="312" t="s">
        <v>441</v>
      </c>
      <c r="AG36" s="2193" t="b">
        <f>Kategorie1&gt;1</f>
        <v>0</v>
      </c>
      <c r="AH36" s="2194"/>
      <c r="AI36" s="2193" t="b">
        <f>Kategorie2&gt;1</f>
        <v>0</v>
      </c>
      <c r="AJ36" s="2194"/>
      <c r="AK36" s="2193" t="b">
        <f>Kategorie3&gt;1</f>
        <v>0</v>
      </c>
      <c r="AL36" s="2194"/>
      <c r="AM36" s="2193" t="b">
        <f>Kategorie4&gt;1</f>
        <v>0</v>
      </c>
      <c r="AN36" s="2194"/>
      <c r="BB36" s="43">
        <v>1</v>
      </c>
      <c r="BC36" s="53" t="s">
        <v>199</v>
      </c>
      <c r="BD36" s="43" t="s">
        <v>199</v>
      </c>
      <c r="BE36" s="43"/>
      <c r="BF36" s="53"/>
    </row>
    <row r="37" spans="1:74">
      <c r="A37" s="550" t="str">
        <f t="shared" si="11"/>
        <v/>
      </c>
      <c r="B37" s="38" t="str">
        <f t="shared" si="11"/>
        <v/>
      </c>
      <c r="C37" s="38" t="str">
        <f t="shared" si="11"/>
        <v/>
      </c>
      <c r="D37" s="38" t="str">
        <f t="shared" si="11"/>
        <v/>
      </c>
      <c r="E37" s="38" t="str">
        <f t="shared" si="11"/>
        <v/>
      </c>
      <c r="F37" s="38" t="str">
        <f t="shared" si="11"/>
        <v/>
      </c>
      <c r="G37" s="592">
        <v>31</v>
      </c>
      <c r="I37" s="520" t="s">
        <v>444</v>
      </c>
      <c r="J37" s="521">
        <f>IF(AND(Klima&gt;1,Kategorie3&gt;0),INDEX($AL$71:$AL$83,Kategorie3,1),)</f>
        <v>0</v>
      </c>
      <c r="K37" s="27">
        <v>3</v>
      </c>
      <c r="L37" s="590" t="s">
        <v>812</v>
      </c>
      <c r="M37" s="42"/>
      <c r="N37" s="53"/>
      <c r="O37" s="849" t="str">
        <f>Uebersetzung!D95</f>
        <v>Zu- / Abluft</v>
      </c>
      <c r="P37" s="43" t="s">
        <v>724</v>
      </c>
      <c r="Q37" s="778">
        <f>IF(Eingaben!H$31="",1,VLOOKUP(Eingaben!H$31,$O$35:$T$43,6,FALSE))</f>
        <v>1</v>
      </c>
      <c r="R37" s="856" t="str">
        <f>IF(AND(Kategorie3&gt;1,Kategorie3&lt;6,Lüftung3&gt;2),MAX(Raum3,ROUNDUP(EBFo3/INDEX($V$9:$V$21,Kategorie3,1),0))*INDEX($Y$35:$AC$43,Lüftung3,Kategorie3),IF(AND(Kategorie3&gt;1,Lüftung3&gt;1),EBFo3*INDEX($O$9:$O$21,Kategorie3,1),""))</f>
        <v/>
      </c>
      <c r="S37" s="867" t="str">
        <f>IF(EBFo3&gt;0,MAX(IF(WRGtyp3&lt;3,INDEX($O$9:$O$21,Kategorie3,1),0),IF(AND(Lüftung3&gt;2,Kategorie3&lt;6),INDEX($U$35:$X$43,Lüftung3,Kategorie3-1)*VSup3/(INDEX($Z$35:$AC$43,Lüftung3,Kategorie3-1))/EBFo3*(1-INDEX($Q$54:$Q$59,WRGtyp3,1))+vo,INDEX($O$9:$O$21,Kategorie3,1))),"")</f>
        <v/>
      </c>
      <c r="T37" s="839">
        <v>3</v>
      </c>
      <c r="U37" s="780">
        <f>(20*4368+30*3640+45*728)/8760</f>
        <v>26.17808219178082</v>
      </c>
      <c r="V37" s="862">
        <f>(20*4368+30*3640+45*728)/8760</f>
        <v>26.17808219178082</v>
      </c>
      <c r="W37" s="862">
        <f>(20*750+30*2000)/8760</f>
        <v>8.5616438356164384</v>
      </c>
      <c r="X37" s="784">
        <f>(17*1200+25*800)/8760</f>
        <v>4.6118721461187215</v>
      </c>
      <c r="Y37" s="85"/>
      <c r="Z37" s="85">
        <v>30</v>
      </c>
      <c r="AA37" s="85">
        <v>30</v>
      </c>
      <c r="AB37" s="85">
        <v>30</v>
      </c>
      <c r="AC37" s="840">
        <v>25</v>
      </c>
      <c r="AE37" s="42"/>
      <c r="AF37" s="312" t="s">
        <v>439</v>
      </c>
      <c r="AG37" s="2193" t="b">
        <f>Kategorie1&lt;=5</f>
        <v>1</v>
      </c>
      <c r="AH37" s="2194"/>
      <c r="AI37" s="2193" t="b">
        <f>Kategorie2&lt;=5</f>
        <v>1</v>
      </c>
      <c r="AJ37" s="2194"/>
      <c r="AK37" s="2193" t="b">
        <f>Kategorie3&lt;=5</f>
        <v>1</v>
      </c>
      <c r="AL37" s="2194"/>
      <c r="AM37" s="2193" t="b">
        <f>Kategorie4&lt;=5</f>
        <v>1</v>
      </c>
      <c r="AN37" s="2194"/>
      <c r="BB37" s="43">
        <v>2</v>
      </c>
      <c r="BC37" s="53" t="str">
        <f>Uebersetzung!D82</f>
        <v>MFH</v>
      </c>
      <c r="BD37" s="43" t="str">
        <f>BC37</f>
        <v>MFH</v>
      </c>
      <c r="BE37" s="43" t="str">
        <f>BD37</f>
        <v>MFH</v>
      </c>
      <c r="BF37" s="53"/>
    </row>
    <row r="38" spans="1:74">
      <c r="A38" s="550" t="str">
        <f t="shared" si="11"/>
        <v/>
      </c>
      <c r="B38" s="38" t="str">
        <f t="shared" si="11"/>
        <v/>
      </c>
      <c r="C38" s="38" t="str">
        <f t="shared" si="11"/>
        <v/>
      </c>
      <c r="D38" s="38" t="str">
        <f t="shared" si="11"/>
        <v/>
      </c>
      <c r="E38" s="38" t="str">
        <f t="shared" si="11"/>
        <v/>
      </c>
      <c r="F38" s="38" t="str">
        <f t="shared" si="11"/>
        <v/>
      </c>
      <c r="G38" s="592">
        <v>32</v>
      </c>
      <c r="I38" s="522" t="s">
        <v>445</v>
      </c>
      <c r="J38" s="523">
        <f>IF(AND(Klima&gt;1,Kategorie4&gt;0),INDEX($AL$71:$AL$83,Kategorie4,1),)</f>
        <v>0</v>
      </c>
      <c r="K38" s="27">
        <v>4</v>
      </c>
      <c r="L38" s="41" t="s">
        <v>359</v>
      </c>
      <c r="M38" s="42"/>
      <c r="N38" s="53"/>
      <c r="O38" s="849" t="str">
        <f>Uebersetzung!D96</f>
        <v>Lüftung+WRG</v>
      </c>
      <c r="P38" s="43" t="s">
        <v>197</v>
      </c>
      <c r="Q38" s="669">
        <f>IF(Eingaben!I$31="",1,VLOOKUP(Eingaben!I$31,$O$35:$T$43,6,FALSE))</f>
        <v>1</v>
      </c>
      <c r="R38" s="856" t="str">
        <f>IF(AND(Kategorie4&gt;1,Kategorie4&lt;6,Lüftung4&gt;2),MAX(Raum4,ROUNDUP(EBFo4/INDEX($V$9:$V$21,Kategorie4,1),0))*INDEX($Y$35:$AC$43,Lüftung4,Kategorie4),IF(AND(Kategorie4&gt;1,Lüftung4&gt;1),EBFo4*INDEX($O$9:$O$21,Kategorie4,1),""))</f>
        <v/>
      </c>
      <c r="S38" s="868" t="str">
        <f>IF(EBFo4&gt;0,MAX(IF(WRGtyp4&lt;3,INDEX($O$9:$O$21,Kategorie4,1),0),IF(AND(Lüftung4&gt;2,Kategorie4&lt;6),INDEX($U$35:$X$43,Lüftung4,Kategorie4-1)*VSup4/(INDEX($Z$35:$AC$43,Lüftung4,Kategorie4-1))/EBFo4*(1-INDEX($Q$54:$Q$59,WRGtyp4,1))+vo,INDEX($O$9:$O$21,Kategorie4,1))),"")</f>
        <v/>
      </c>
      <c r="T38" s="839">
        <v>4</v>
      </c>
      <c r="U38" s="780">
        <f>(20*4368+30*3640+45*728)/8760</f>
        <v>26.17808219178082</v>
      </c>
      <c r="V38" s="862">
        <f>(20*4368+30*3640+45*728)/8760</f>
        <v>26.17808219178082</v>
      </c>
      <c r="W38" s="862">
        <f>(20*750+30*2000)/8760</f>
        <v>8.5616438356164384</v>
      </c>
      <c r="X38" s="784">
        <f>(17*1200+25*800)/8760</f>
        <v>4.6118721461187215</v>
      </c>
      <c r="Y38" s="85"/>
      <c r="Z38" s="85">
        <v>30</v>
      </c>
      <c r="AA38" s="85">
        <v>30</v>
      </c>
      <c r="AB38" s="85">
        <v>30</v>
      </c>
      <c r="AC38" s="840">
        <v>25</v>
      </c>
      <c r="AE38" s="60"/>
      <c r="AF38" s="313" t="s">
        <v>442</v>
      </c>
      <c r="AG38" s="2324" t="b">
        <f>AND(AG36,AG35)</f>
        <v>0</v>
      </c>
      <c r="AH38" s="2325"/>
      <c r="AI38" s="2193" t="b">
        <f>AND(AI36,AI35,Zonen&gt;1)</f>
        <v>0</v>
      </c>
      <c r="AJ38" s="2194"/>
      <c r="AK38" s="2193" t="b">
        <f>AND(AK36,AK35,Zonen&gt;2)</f>
        <v>0</v>
      </c>
      <c r="AL38" s="2194"/>
      <c r="AM38" s="2193" t="b">
        <f>AND(AM36,AM35,Zonen&gt;3)</f>
        <v>0</v>
      </c>
      <c r="AN38" s="2194"/>
      <c r="BB38" s="43">
        <v>3</v>
      </c>
      <c r="BC38" s="53" t="str">
        <f>Uebersetzung!D83</f>
        <v>EFH</v>
      </c>
      <c r="BD38" s="43" t="str">
        <f>BC38</f>
        <v>EFH</v>
      </c>
      <c r="BE38" s="43" t="str">
        <f>BD38</f>
        <v>EFH</v>
      </c>
      <c r="BF38" s="53"/>
    </row>
    <row r="39" spans="1:74">
      <c r="A39" s="550" t="str">
        <f t="shared" si="11"/>
        <v/>
      </c>
      <c r="B39" s="38" t="str">
        <f t="shared" si="11"/>
        <v/>
      </c>
      <c r="C39" s="38" t="str">
        <f t="shared" si="11"/>
        <v/>
      </c>
      <c r="D39" s="38" t="str">
        <f t="shared" si="11"/>
        <v/>
      </c>
      <c r="E39" s="38" t="str">
        <f t="shared" si="11"/>
        <v/>
      </c>
      <c r="F39" s="38" t="str">
        <f t="shared" si="11"/>
        <v/>
      </c>
      <c r="G39" s="592">
        <v>33</v>
      </c>
      <c r="I39" s="524"/>
      <c r="J39" s="525"/>
      <c r="K39" s="27">
        <v>5</v>
      </c>
      <c r="L39" s="41" t="s">
        <v>196</v>
      </c>
      <c r="M39" s="42"/>
      <c r="N39" s="53"/>
      <c r="O39" s="849" t="str">
        <f>Uebersetzung!D97</f>
        <v>Lüftung+WP</v>
      </c>
      <c r="P39" s="28" t="s">
        <v>119</v>
      </c>
      <c r="Q39" s="851">
        <f>IF(AND(Zonen=4,Neubau4=2,Neubau3=2,Neubau2=2,Neubau1=2),2,IF(AND(Zonen=3,Neubau3=2,Neubau2=2,Neubau1=2),2,IF(AND(Zonen=2,Neubau2=2,Neubau1=2),2,IF(AND(Zonen=1,Neubau1=2),2,R39))))</f>
        <v>1</v>
      </c>
      <c r="R39" s="503">
        <f>IF(AND(Zonen=4,Neubau4=3,Neubau3=3,Neubau2=3,Neubau1=3),3,IF(AND(Zonen=3,Neubau3=3,Neubau2=3,Neubau1=3),3,IF(AND(Zonen=2,Neubau2=3,Neubau1=3),3,IF(AND(Zonen=1,Neubau1=3),3,1))))</f>
        <v>1</v>
      </c>
      <c r="S39" s="27"/>
      <c r="T39" s="839">
        <v>5</v>
      </c>
      <c r="U39" s="1492">
        <f t="shared" ref="U39:V41" si="12">(27*4368+40*3640+60*728)/8760</f>
        <v>35.070319634703196</v>
      </c>
      <c r="V39" s="1493">
        <f t="shared" si="12"/>
        <v>35.070319634703196</v>
      </c>
      <c r="W39" s="1493">
        <f>(27*750+40*2000)/8760</f>
        <v>11.44406392694064</v>
      </c>
      <c r="X39" s="1494">
        <f>(22*1200+33*800)/8760</f>
        <v>6.0273972602739727</v>
      </c>
      <c r="Y39" s="85"/>
      <c r="Z39" s="1495">
        <v>40</v>
      </c>
      <c r="AA39" s="1495">
        <v>40</v>
      </c>
      <c r="AB39" s="1495">
        <v>40</v>
      </c>
      <c r="AC39" s="1496">
        <v>33</v>
      </c>
      <c r="AE39" s="190"/>
      <c r="AF39" s="487" t="s">
        <v>440</v>
      </c>
      <c r="AG39" s="1024"/>
      <c r="AH39" s="1023"/>
      <c r="AI39" s="1024"/>
      <c r="AJ39" s="1022"/>
      <c r="AK39" s="1024"/>
      <c r="AL39" s="1022"/>
      <c r="AM39" s="1024"/>
      <c r="AN39" s="1022"/>
      <c r="AO39" s="27">
        <v>1</v>
      </c>
      <c r="BB39" s="43">
        <v>4</v>
      </c>
      <c r="BC39" s="53" t="str">
        <f>Uebersetzung!D84</f>
        <v>Verwaltung</v>
      </c>
      <c r="BD39" s="43" t="str">
        <f>BC39</f>
        <v>Verwaltung</v>
      </c>
      <c r="BE39" s="43" t="str">
        <f t="shared" ref="BE39:BE47" si="13">BD39</f>
        <v>Verwaltung</v>
      </c>
      <c r="BF39" s="53"/>
    </row>
    <row r="40" spans="1:74" ht="14.25">
      <c r="A40" s="550" t="str">
        <f t="shared" si="11"/>
        <v/>
      </c>
      <c r="B40" s="38" t="str">
        <f t="shared" si="11"/>
        <v/>
      </c>
      <c r="C40" s="38" t="str">
        <f t="shared" si="11"/>
        <v/>
      </c>
      <c r="D40" s="38" t="str">
        <f t="shared" si="11"/>
        <v/>
      </c>
      <c r="E40" s="38" t="str">
        <f t="shared" si="11"/>
        <v/>
      </c>
      <c r="F40" s="38" t="str">
        <f t="shared" si="11"/>
        <v/>
      </c>
      <c r="G40" s="592">
        <v>34</v>
      </c>
      <c r="I40" s="526" t="s">
        <v>1919</v>
      </c>
      <c r="J40" s="519"/>
      <c r="K40" s="27">
        <v>6</v>
      </c>
      <c r="L40" s="41" t="s">
        <v>462</v>
      </c>
      <c r="M40" s="42"/>
      <c r="N40" s="53"/>
      <c r="O40" s="849" t="str">
        <f>Uebersetzung!D98</f>
        <v>nur Abluft</v>
      </c>
      <c r="P40" s="36"/>
      <c r="Q40" s="118" t="s">
        <v>199</v>
      </c>
      <c r="R40" s="114"/>
      <c r="S40" s="27"/>
      <c r="T40" s="839">
        <v>6</v>
      </c>
      <c r="U40" s="1492">
        <f t="shared" si="12"/>
        <v>35.070319634703196</v>
      </c>
      <c r="V40" s="1493">
        <f t="shared" si="12"/>
        <v>35.070319634703196</v>
      </c>
      <c r="W40" s="1493">
        <f>(27*750+40*2000)/8760</f>
        <v>11.44406392694064</v>
      </c>
      <c r="X40" s="1494">
        <f>(22*1200+33*800)/8760</f>
        <v>6.0273972602739727</v>
      </c>
      <c r="Y40" s="85"/>
      <c r="Z40" s="1495">
        <v>40</v>
      </c>
      <c r="AA40" s="1495">
        <v>40</v>
      </c>
      <c r="AB40" s="1495">
        <v>40</v>
      </c>
      <c r="AC40" s="1496">
        <v>33</v>
      </c>
      <c r="AE40" s="42"/>
      <c r="AF40" s="911" t="str">
        <f>Uebersetzung!D72</f>
        <v>fehlende Eingabe</v>
      </c>
      <c r="AG40" s="1020" t="str">
        <f>AA48</f>
        <v>Nein</v>
      </c>
      <c r="AH40" s="1019"/>
      <c r="AI40" s="1020" t="str">
        <f>AA48</f>
        <v>Nein</v>
      </c>
      <c r="AJ40" s="1019"/>
      <c r="AK40" s="1020" t="str">
        <f>AA48</f>
        <v>Nein</v>
      </c>
      <c r="AL40" s="1019"/>
      <c r="AM40" s="1020" t="str">
        <f>AA48</f>
        <v>Nein</v>
      </c>
      <c r="AN40" s="1019"/>
      <c r="AO40" s="27">
        <v>2</v>
      </c>
      <c r="BB40" s="43">
        <v>5</v>
      </c>
      <c r="BC40" s="53" t="str">
        <f>Uebersetzung!D85</f>
        <v>Schule</v>
      </c>
      <c r="BD40" s="43" t="str">
        <f>BC40</f>
        <v>Schule</v>
      </c>
      <c r="BE40" s="43" t="str">
        <f t="shared" si="13"/>
        <v>Schule</v>
      </c>
      <c r="BF40" s="53"/>
      <c r="BL40" s="28"/>
      <c r="BM40" s="63"/>
      <c r="BN40" s="63"/>
      <c r="BO40" s="334" t="s">
        <v>663</v>
      </c>
      <c r="BP40" s="332" t="s">
        <v>114</v>
      </c>
      <c r="BQ40" s="2321" t="s">
        <v>1711</v>
      </c>
      <c r="BR40" s="2322"/>
      <c r="BS40" s="334" t="s">
        <v>659</v>
      </c>
      <c r="BT40" s="332" t="s">
        <v>660</v>
      </c>
      <c r="BU40" s="332" t="s">
        <v>126</v>
      </c>
      <c r="BV40" s="355" t="s">
        <v>128</v>
      </c>
    </row>
    <row r="41" spans="1:74" ht="14.25">
      <c r="A41" s="550" t="str">
        <f t="shared" si="11"/>
        <v/>
      </c>
      <c r="B41" s="38" t="str">
        <f t="shared" si="11"/>
        <v/>
      </c>
      <c r="C41" s="38" t="str">
        <f t="shared" si="11"/>
        <v/>
      </c>
      <c r="D41" s="38" t="str">
        <f t="shared" si="11"/>
        <v/>
      </c>
      <c r="E41" s="38" t="str">
        <f t="shared" si="11"/>
        <v/>
      </c>
      <c r="F41" s="38" t="str">
        <f t="shared" si="11"/>
        <v/>
      </c>
      <c r="G41" s="592">
        <v>35</v>
      </c>
      <c r="I41" s="520" t="s">
        <v>52</v>
      </c>
      <c r="J41" s="521">
        <f>IF(AND(Klima&gt;1,Kategorie1&gt;0),INDEX($AM$71:$AM$83,Kategorie1,1),)</f>
        <v>0</v>
      </c>
      <c r="K41" s="27">
        <v>7</v>
      </c>
      <c r="L41" s="41" t="s">
        <v>482</v>
      </c>
      <c r="M41" s="42"/>
      <c r="N41" s="53"/>
      <c r="O41" s="849" t="str">
        <f>Uebersetzung!D99</f>
        <v>Abluft - WP</v>
      </c>
      <c r="P41" s="56"/>
      <c r="Q41" s="44" t="str">
        <f>AA47</f>
        <v>Ja</v>
      </c>
      <c r="R41" s="44" t="str">
        <f>AA47</f>
        <v>Ja</v>
      </c>
      <c r="S41" s="27"/>
      <c r="T41" s="839">
        <v>7</v>
      </c>
      <c r="U41" s="1492">
        <f t="shared" si="12"/>
        <v>35.070319634703196</v>
      </c>
      <c r="V41" s="1493">
        <f t="shared" si="12"/>
        <v>35.070319634703196</v>
      </c>
      <c r="W41" s="1493">
        <f>(27*750+40*2000)/8760</f>
        <v>11.44406392694064</v>
      </c>
      <c r="X41" s="1494">
        <f>(22*1200+33*800)/8760</f>
        <v>6.0273972602739727</v>
      </c>
      <c r="Y41" s="85"/>
      <c r="Z41" s="1495">
        <v>40</v>
      </c>
      <c r="AA41" s="1495">
        <v>40</v>
      </c>
      <c r="AB41" s="1495">
        <v>40</v>
      </c>
      <c r="AC41" s="1496">
        <v>33</v>
      </c>
      <c r="AE41" s="42"/>
      <c r="AF41" s="911" t="str">
        <f>Uebersetzung!D73</f>
        <v>falsche Eingabe</v>
      </c>
      <c r="AG41" s="1025" t="str">
        <f>IF(Standardwerte!AG38,IF(Standardwerte!AG37,AA47,AA48),AA48)</f>
        <v>Nein</v>
      </c>
      <c r="AH41" s="1021"/>
      <c r="AI41" s="49" t="str">
        <f>IF(Standardwerte!AI38,IF(Standardwerte!AI37,AA47,AA48),AA48)</f>
        <v>Nein</v>
      </c>
      <c r="AJ41" s="1018"/>
      <c r="AK41" s="1025" t="str">
        <f>IF(Standardwerte!AK38,IF(Standardwerte!AK37,AA47,AA48),AA48)</f>
        <v>Nein</v>
      </c>
      <c r="AL41" s="1019"/>
      <c r="AM41" s="1025" t="str">
        <f>IF(Standardwerte!AM38,IF(Standardwerte!AM37,AA47,AA48),AA48)</f>
        <v>Nein</v>
      </c>
      <c r="AN41" s="1019"/>
      <c r="AO41" s="27">
        <v>3</v>
      </c>
      <c r="BB41" s="43">
        <v>6</v>
      </c>
      <c r="BC41" s="53" t="str">
        <f>Uebersetzung!D86</f>
        <v>Verkauf</v>
      </c>
      <c r="BD41" s="43" t="str">
        <f>BC41</f>
        <v>Verkauf</v>
      </c>
      <c r="BE41" s="43" t="str">
        <f t="shared" si="13"/>
        <v>Verkauf</v>
      </c>
      <c r="BF41" s="53"/>
      <c r="BL41" s="335"/>
      <c r="BM41" s="66"/>
      <c r="BN41" s="66"/>
      <c r="BO41" s="336" t="s">
        <v>664</v>
      </c>
      <c r="BP41" s="341" t="s">
        <v>115</v>
      </c>
      <c r="BQ41" s="341" t="s">
        <v>650</v>
      </c>
      <c r="BR41" s="341" t="s">
        <v>1712</v>
      </c>
      <c r="BS41" s="336" t="s">
        <v>658</v>
      </c>
      <c r="BT41" s="341" t="s">
        <v>125</v>
      </c>
      <c r="BU41" s="341" t="s">
        <v>127</v>
      </c>
      <c r="BV41" s="356" t="s">
        <v>129</v>
      </c>
    </row>
    <row r="42" spans="1:74">
      <c r="A42" s="550" t="str">
        <f t="shared" si="11"/>
        <v/>
      </c>
      <c r="B42" s="38" t="str">
        <f t="shared" si="11"/>
        <v/>
      </c>
      <c r="C42" s="38" t="str">
        <f t="shared" si="11"/>
        <v/>
      </c>
      <c r="D42" s="38" t="str">
        <f t="shared" si="11"/>
        <v/>
      </c>
      <c r="E42" s="38" t="str">
        <f t="shared" si="11"/>
        <v/>
      </c>
      <c r="F42" s="38" t="str">
        <f t="shared" si="11"/>
        <v/>
      </c>
      <c r="G42" s="592">
        <v>36</v>
      </c>
      <c r="I42" s="520" t="s">
        <v>443</v>
      </c>
      <c r="J42" s="521">
        <f>IF(AND(Klima&gt;1,Kategorie2&gt;0),INDEX($AM$71:$AM$83,Kategorie2,1),)</f>
        <v>0</v>
      </c>
      <c r="K42" s="27">
        <v>8</v>
      </c>
      <c r="L42" s="41" t="s">
        <v>198</v>
      </c>
      <c r="M42" s="42"/>
      <c r="N42" s="53"/>
      <c r="O42" s="849" t="str">
        <f>Uebersetzung!D100</f>
        <v>Einzelraumlüft.</v>
      </c>
      <c r="P42" s="111" t="s">
        <v>199</v>
      </c>
      <c r="Q42" s="112" t="str">
        <f>AA48</f>
        <v>Nein</v>
      </c>
      <c r="R42" s="112" t="str">
        <f>AA48</f>
        <v>Nein</v>
      </c>
      <c r="S42" s="27"/>
      <c r="T42" s="839">
        <v>8</v>
      </c>
      <c r="U42" s="780">
        <f>(20*4368+30*3640+45*728)/8760</f>
        <v>26.17808219178082</v>
      </c>
      <c r="V42" s="862">
        <f>(20*4368+30*3640+45*728)/8760</f>
        <v>26.17808219178082</v>
      </c>
      <c r="W42" s="862">
        <f>(20*750+30*2000)/8760</f>
        <v>8.5616438356164384</v>
      </c>
      <c r="X42" s="784">
        <f>(17*1200+25*800)/8760</f>
        <v>4.6118721461187215</v>
      </c>
      <c r="Y42" s="85"/>
      <c r="Z42" s="85">
        <v>30</v>
      </c>
      <c r="AA42" s="85">
        <v>30</v>
      </c>
      <c r="AB42" s="85">
        <v>30</v>
      </c>
      <c r="AC42" s="840">
        <v>25</v>
      </c>
      <c r="AE42" s="42"/>
      <c r="AF42" s="911" t="str">
        <f>Uebersetzung!D308</f>
        <v>Deckungsgrad &lt;&gt; 100%</v>
      </c>
      <c r="AG42" s="2326"/>
      <c r="AH42" s="2326"/>
      <c r="AI42" s="2329"/>
      <c r="AJ42" s="2330"/>
      <c r="AK42" s="2329"/>
      <c r="AL42" s="2330"/>
      <c r="AM42" s="2329"/>
      <c r="AN42" s="2330"/>
      <c r="AO42" s="27">
        <v>4</v>
      </c>
      <c r="BB42" s="43">
        <v>7</v>
      </c>
      <c r="BC42" s="53" t="str">
        <f>Uebersetzung!D87</f>
        <v>Restaurant</v>
      </c>
      <c r="BD42" s="43" t="str">
        <f t="shared" ref="BD42:BD48" si="14">BC42</f>
        <v>Restaurant</v>
      </c>
      <c r="BE42" s="43" t="str">
        <f t="shared" si="13"/>
        <v>Restaurant</v>
      </c>
      <c r="BF42" s="53"/>
      <c r="BL42" s="43"/>
      <c r="BM42" s="42" t="s">
        <v>199</v>
      </c>
      <c r="BN42" s="42"/>
      <c r="BO42" s="123" t="b">
        <v>1</v>
      </c>
      <c r="BP42" s="40"/>
      <c r="BQ42" s="40"/>
      <c r="BS42" s="40"/>
      <c r="BT42" s="248"/>
      <c r="BU42" s="40"/>
      <c r="BV42" s="114"/>
    </row>
    <row r="43" spans="1:74">
      <c r="A43" s="550" t="str">
        <f t="shared" si="11"/>
        <v/>
      </c>
      <c r="B43" s="38" t="str">
        <f t="shared" si="11"/>
        <v/>
      </c>
      <c r="C43" s="38" t="str">
        <f t="shared" si="11"/>
        <v/>
      </c>
      <c r="D43" s="38" t="str">
        <f t="shared" si="11"/>
        <v/>
      </c>
      <c r="E43" s="38" t="str">
        <f t="shared" si="11"/>
        <v/>
      </c>
      <c r="F43" s="38" t="str">
        <f t="shared" si="11"/>
        <v/>
      </c>
      <c r="G43" s="592">
        <v>37</v>
      </c>
      <c r="I43" s="520" t="s">
        <v>444</v>
      </c>
      <c r="J43" s="521">
        <f>IF(AND(Klima&gt;1,Kategorie3&gt;0),INDEX($AM$71:$AM$83,Kategorie3,1),)</f>
        <v>0</v>
      </c>
      <c r="K43" s="27">
        <v>9</v>
      </c>
      <c r="L43" s="41" t="s">
        <v>121</v>
      </c>
      <c r="M43" s="42"/>
      <c r="N43" s="53"/>
      <c r="O43" s="849" t="str">
        <f>Uebersetzung!D101</f>
        <v>Auto Fensterl.</v>
      </c>
      <c r="P43" s="57" t="s">
        <v>52</v>
      </c>
      <c r="Q43" s="160">
        <f>IF(R43=0,1,R43)</f>
        <v>1</v>
      </c>
      <c r="R43" s="510">
        <f>IF(Eingaben!$F$21="",1,VLOOKUP(Eingaben!$F$21,AI23:AM25,5,FALSE))</f>
        <v>1</v>
      </c>
      <c r="S43" s="89" t="str">
        <f>IF(Neubau1=2,"Neubau",IF(Neubau1=3,"Altbau",""))</f>
        <v/>
      </c>
      <c r="T43" s="138">
        <v>9</v>
      </c>
      <c r="U43" s="1036">
        <v>40</v>
      </c>
      <c r="V43" s="1497">
        <v>40</v>
      </c>
      <c r="W43" s="1497">
        <v>40</v>
      </c>
      <c r="X43" s="1498">
        <v>33</v>
      </c>
      <c r="Y43" s="1497"/>
      <c r="Z43" s="1497">
        <v>40</v>
      </c>
      <c r="AA43" s="1497">
        <v>40</v>
      </c>
      <c r="AB43" s="1497">
        <v>40</v>
      </c>
      <c r="AC43" s="1499">
        <v>33</v>
      </c>
      <c r="AE43" s="42"/>
      <c r="AF43" s="53"/>
      <c r="AG43" s="2326"/>
      <c r="AH43" s="2326"/>
      <c r="AI43" s="2329"/>
      <c r="AJ43" s="2330"/>
      <c r="AK43" s="2329"/>
      <c r="AL43" s="2330"/>
      <c r="AM43" s="2329"/>
      <c r="AN43" s="2330"/>
      <c r="AO43" s="27">
        <v>5</v>
      </c>
      <c r="BB43" s="43">
        <v>8</v>
      </c>
      <c r="BC43" s="53" t="str">
        <f>Uebersetzung!D88</f>
        <v>Vers.-Lokal</v>
      </c>
      <c r="BD43" s="43" t="str">
        <f t="shared" si="14"/>
        <v>Vers.-Lokal</v>
      </c>
      <c r="BE43" s="43" t="str">
        <f t="shared" si="13"/>
        <v>Vers.-Lokal</v>
      </c>
      <c r="BF43" s="53"/>
      <c r="BL43" s="302" t="s">
        <v>49</v>
      </c>
      <c r="BM43" s="303" t="s">
        <v>188</v>
      </c>
      <c r="BN43" s="306"/>
      <c r="BO43" s="123" t="b">
        <v>1</v>
      </c>
      <c r="BP43" s="45">
        <v>0.7</v>
      </c>
      <c r="BQ43" s="1035">
        <v>75</v>
      </c>
      <c r="BR43" s="1035">
        <v>110</v>
      </c>
      <c r="BS43" s="45">
        <v>10</v>
      </c>
      <c r="BT43" s="248">
        <v>1</v>
      </c>
      <c r="BU43" s="45">
        <v>0.6</v>
      </c>
      <c r="BV43" s="44">
        <v>0.7</v>
      </c>
    </row>
    <row r="44" spans="1:74">
      <c r="A44" s="550" t="str">
        <f t="shared" ref="A44:F47" si="15">IF(Kanton=29,A91,"")</f>
        <v/>
      </c>
      <c r="B44" s="38" t="str">
        <f t="shared" si="15"/>
        <v/>
      </c>
      <c r="C44" s="38" t="str">
        <f t="shared" si="15"/>
        <v/>
      </c>
      <c r="D44" s="38" t="str">
        <f t="shared" si="15"/>
        <v/>
      </c>
      <c r="E44" s="38" t="str">
        <f t="shared" si="15"/>
        <v/>
      </c>
      <c r="F44" s="38" t="str">
        <f t="shared" si="15"/>
        <v/>
      </c>
      <c r="G44" s="592">
        <v>38</v>
      </c>
      <c r="I44" s="522" t="s">
        <v>445</v>
      </c>
      <c r="J44" s="523">
        <f>IF(AND(Klima&gt;1,Kategorie4&gt;0),INDEX($AM$71:$AM$83,Kategorie4,1),)</f>
        <v>0</v>
      </c>
      <c r="K44" s="27">
        <v>10</v>
      </c>
      <c r="L44" s="41" t="str">
        <f>""</f>
        <v/>
      </c>
      <c r="M44" s="42"/>
      <c r="N44" s="53"/>
      <c r="O44" s="42" t="str">
        <f>IF(minergiep,"","")</f>
        <v/>
      </c>
      <c r="P44" s="57" t="s">
        <v>443</v>
      </c>
      <c r="Q44" s="160">
        <f>IF(R44=0,1,R44)</f>
        <v>1</v>
      </c>
      <c r="R44" s="510">
        <f>IF(Eingaben!$G$21="",1,VLOOKUP(Eingaben!$G$21,AI23:AM25,5,FALSE))</f>
        <v>1</v>
      </c>
      <c r="S44" s="123" t="str">
        <f>IF(Neubau2=2,"Neubau",IF(Neubau2=3,"Altbau",""))</f>
        <v/>
      </c>
      <c r="AE44" s="42"/>
      <c r="AF44" s="53"/>
      <c r="AG44" s="2326"/>
      <c r="AH44" s="2326"/>
      <c r="AI44" s="2329"/>
      <c r="AJ44" s="2330"/>
      <c r="AK44" s="2329"/>
      <c r="AL44" s="2330"/>
      <c r="AM44" s="2329"/>
      <c r="AN44" s="2330"/>
      <c r="AO44" s="27">
        <v>6</v>
      </c>
      <c r="BB44" s="43">
        <v>9</v>
      </c>
      <c r="BC44" s="53" t="str">
        <f>Uebersetzung!D89</f>
        <v>Spitäler</v>
      </c>
      <c r="BD44" s="43" t="str">
        <f t="shared" si="14"/>
        <v>Spitäler</v>
      </c>
      <c r="BE44" s="43" t="str">
        <f t="shared" si="13"/>
        <v>Spitäler</v>
      </c>
      <c r="BF44" s="53"/>
      <c r="BL44" s="302" t="s">
        <v>50</v>
      </c>
      <c r="BM44" s="303" t="s">
        <v>0</v>
      </c>
      <c r="BN44" s="306"/>
      <c r="BO44" s="123" t="b">
        <v>1</v>
      </c>
      <c r="BP44" s="45">
        <v>0.7</v>
      </c>
      <c r="BQ44" s="1035">
        <v>70</v>
      </c>
      <c r="BR44" s="1035">
        <v>105</v>
      </c>
      <c r="BS44" s="45">
        <v>10</v>
      </c>
      <c r="BT44" s="248">
        <v>1</v>
      </c>
      <c r="BU44" s="45">
        <v>0.6</v>
      </c>
      <c r="BV44" s="44">
        <v>0.7</v>
      </c>
    </row>
    <row r="45" spans="1:74">
      <c r="A45" s="550" t="str">
        <f t="shared" si="15"/>
        <v/>
      </c>
      <c r="B45" s="38" t="str">
        <f t="shared" si="15"/>
        <v/>
      </c>
      <c r="C45" s="38" t="str">
        <f t="shared" si="15"/>
        <v/>
      </c>
      <c r="D45" s="38" t="str">
        <f t="shared" si="15"/>
        <v/>
      </c>
      <c r="E45" s="38" t="str">
        <f t="shared" si="15"/>
        <v/>
      </c>
      <c r="F45" s="38" t="str">
        <f t="shared" si="15"/>
        <v/>
      </c>
      <c r="G45" s="592">
        <v>39</v>
      </c>
      <c r="I45" s="1315" t="s">
        <v>3693</v>
      </c>
      <c r="J45" s="1891">
        <f>IF(_SIA2009,8.5,9.4)</f>
        <v>9.4</v>
      </c>
      <c r="K45" s="27">
        <v>11</v>
      </c>
      <c r="L45" s="41" t="str">
        <f>""</f>
        <v/>
      </c>
      <c r="M45" s="42"/>
      <c r="N45" s="53"/>
      <c r="O45" s="42" t="str">
        <f>IF(minergiep,"","")</f>
        <v/>
      </c>
      <c r="P45" s="57" t="s">
        <v>444</v>
      </c>
      <c r="Q45" s="160">
        <f>IF(R45=0,1,R45)</f>
        <v>1</v>
      </c>
      <c r="R45" s="510">
        <f>IF(Eingaben!$H$21="",1,VLOOKUP(Eingaben!$H$21,AI23:AM25,5,FALSE))</f>
        <v>1</v>
      </c>
      <c r="S45" s="123" t="str">
        <f>IF(Neubau3=2,"Neubau",IF(Neubau3=3,"Altbau",""))</f>
        <v/>
      </c>
      <c r="AA45" s="27" t="b">
        <f>(AJ58=AJ53)</f>
        <v>0</v>
      </c>
      <c r="AB45" s="875" t="s">
        <v>822</v>
      </c>
      <c r="AE45" s="60"/>
      <c r="AF45" s="119"/>
      <c r="AG45" s="2324"/>
      <c r="AH45" s="2325"/>
      <c r="AI45" s="2331"/>
      <c r="AJ45" s="2332"/>
      <c r="AK45" s="2331"/>
      <c r="AL45" s="2332"/>
      <c r="AM45" s="2331"/>
      <c r="AN45" s="2332"/>
      <c r="AO45" s="27">
        <v>7</v>
      </c>
      <c r="BB45" s="43">
        <v>10</v>
      </c>
      <c r="BC45" s="53" t="str">
        <f>Uebersetzung!D90</f>
        <v>Industrie</v>
      </c>
      <c r="BD45" s="43" t="str">
        <f>BC45</f>
        <v>Industrie</v>
      </c>
      <c r="BE45" s="43" t="str">
        <f t="shared" si="13"/>
        <v>Industrie</v>
      </c>
      <c r="BF45" s="53"/>
      <c r="BL45" s="302" t="s">
        <v>5</v>
      </c>
      <c r="BM45" s="303" t="s">
        <v>1</v>
      </c>
      <c r="BN45" s="306"/>
      <c r="BO45" s="123" t="b">
        <v>1</v>
      </c>
      <c r="BP45" s="45">
        <v>0.7</v>
      </c>
      <c r="BQ45" s="1035">
        <v>170</v>
      </c>
      <c r="BR45" s="1035">
        <v>205</v>
      </c>
      <c r="BS45" s="45">
        <v>10</v>
      </c>
      <c r="BT45" s="248">
        <v>0.32</v>
      </c>
      <c r="BU45" s="45">
        <v>0.6</v>
      </c>
      <c r="BV45" s="44">
        <v>0.7</v>
      </c>
    </row>
    <row r="46" spans="1:74">
      <c r="A46" s="550" t="str">
        <f t="shared" si="15"/>
        <v/>
      </c>
      <c r="B46" s="38" t="str">
        <f t="shared" si="15"/>
        <v/>
      </c>
      <c r="C46" s="38" t="str">
        <f t="shared" si="15"/>
        <v/>
      </c>
      <c r="D46" s="38" t="str">
        <f t="shared" si="15"/>
        <v/>
      </c>
      <c r="E46" s="38" t="str">
        <f t="shared" si="15"/>
        <v/>
      </c>
      <c r="F46" s="38" t="str">
        <f t="shared" si="15"/>
        <v/>
      </c>
      <c r="G46" s="592">
        <v>40</v>
      </c>
      <c r="I46" s="518" t="s">
        <v>82</v>
      </c>
      <c r="J46" s="519"/>
      <c r="K46" s="27">
        <v>12</v>
      </c>
      <c r="L46" s="59" t="str">
        <f>""</f>
        <v/>
      </c>
      <c r="M46" s="60"/>
      <c r="N46" s="119"/>
      <c r="O46" s="60" t="str">
        <f>IF(minergiep,"","")</f>
        <v/>
      </c>
      <c r="P46" s="61" t="s">
        <v>445</v>
      </c>
      <c r="Q46" s="138">
        <f>IF(R46=0,1,R46)</f>
        <v>1</v>
      </c>
      <c r="R46" s="511">
        <f>IF(Eingaben!$I$21="",1,VLOOKUP(Eingaben!$I$21,AI23:AM25,5,FALSE))</f>
        <v>1</v>
      </c>
      <c r="S46" s="95" t="str">
        <f>IF(Neubau4=2,"Neubau",IF(Neubau4=3,"Altbau",""))</f>
        <v/>
      </c>
      <c r="T46" s="113"/>
      <c r="U46" s="850"/>
      <c r="V46" s="860"/>
      <c r="W46" s="118"/>
      <c r="X46" s="118"/>
      <c r="Z46" s="845" t="s">
        <v>805</v>
      </c>
      <c r="AA46" s="846" t="s">
        <v>808</v>
      </c>
      <c r="AB46" s="875"/>
      <c r="AD46" s="27">
        <v>1</v>
      </c>
      <c r="BB46" s="43">
        <v>11</v>
      </c>
      <c r="BC46" s="53" t="str">
        <f>Uebersetzung!D91</f>
        <v>Lager</v>
      </c>
      <c r="BD46" s="43" t="str">
        <f>BC46</f>
        <v>Lager</v>
      </c>
      <c r="BE46" s="43" t="str">
        <f t="shared" si="13"/>
        <v>Lager</v>
      </c>
      <c r="BF46" s="53"/>
      <c r="BL46" s="302" t="s">
        <v>7</v>
      </c>
      <c r="BM46" s="303" t="s">
        <v>2</v>
      </c>
      <c r="BN46" s="306"/>
      <c r="BO46" s="123" t="b">
        <v>1</v>
      </c>
      <c r="BP46" s="45">
        <v>0.7</v>
      </c>
      <c r="BQ46" s="1035">
        <v>85</v>
      </c>
      <c r="BR46" s="1035">
        <v>115</v>
      </c>
      <c r="BS46" s="45">
        <v>10</v>
      </c>
      <c r="BT46" s="248">
        <v>0.14000000000000001</v>
      </c>
      <c r="BU46" s="45">
        <v>0.6</v>
      </c>
      <c r="BV46" s="44">
        <v>0.7</v>
      </c>
    </row>
    <row r="47" spans="1:74">
      <c r="A47" s="555" t="str">
        <f t="shared" si="15"/>
        <v/>
      </c>
      <c r="B47" s="48" t="str">
        <f t="shared" si="15"/>
        <v/>
      </c>
      <c r="C47" s="48" t="str">
        <f t="shared" si="15"/>
        <v/>
      </c>
      <c r="D47" s="48" t="str">
        <f t="shared" si="15"/>
        <v/>
      </c>
      <c r="E47" s="48" t="str">
        <f t="shared" si="15"/>
        <v/>
      </c>
      <c r="F47" s="48" t="str">
        <f t="shared" si="15"/>
        <v/>
      </c>
      <c r="G47" s="592">
        <v>41</v>
      </c>
      <c r="I47" s="520" t="s">
        <v>52</v>
      </c>
      <c r="J47" s="527">
        <f>IF(Klima&gt;1,(J35+AEBF1*Standardwerte!J41)*(1+($J$45-Thetaea)*$J$52),)</f>
        <v>0</v>
      </c>
      <c r="K47" s="62"/>
      <c r="L47" s="62"/>
      <c r="M47" s="62"/>
      <c r="N47" s="62"/>
      <c r="O47" s="62"/>
      <c r="P47" s="62"/>
      <c r="Q47" s="62"/>
      <c r="R47" s="27"/>
      <c r="S47" s="27"/>
      <c r="T47" s="109" t="str">
        <f>IF(Lüftung1=1,"",IF(Lüftung1=4,N56,IF(Lüftung1=8,N56,N55)))</f>
        <v/>
      </c>
      <c r="U47" s="140" t="str">
        <f>IF(Lüftung2=1,"",IF(Lüftung2=4,N56,IF(Lüftung2=8,N56,N55)))</f>
        <v/>
      </c>
      <c r="V47" s="42" t="str">
        <f>IF(Lüftung3=1,"",IF(Lüftung3=4,N56,IF(Lüftung3=8,N56,N55)))</f>
        <v/>
      </c>
      <c r="W47" s="53" t="str">
        <f>IF(Lüftung4=1,"",IF(Lüftung4=4,N56,IF(Lüftung4=8,N56,N55)))</f>
        <v/>
      </c>
      <c r="X47" s="44">
        <v>1</v>
      </c>
      <c r="Z47" s="45" t="s">
        <v>191</v>
      </c>
      <c r="AA47" s="847" t="str">
        <f>Uebersetzung!D25</f>
        <v>Ja</v>
      </c>
      <c r="AB47" s="123" t="str">
        <f>Uebersetzung!D254</f>
        <v>AC-Motor</v>
      </c>
      <c r="AC47" s="592">
        <v>1</v>
      </c>
      <c r="AD47" s="27">
        <v>2</v>
      </c>
      <c r="AE47" s="488"/>
      <c r="AF47" s="77" t="s">
        <v>266</v>
      </c>
      <c r="AG47" s="317"/>
      <c r="AH47" s="55"/>
      <c r="AI47" s="317"/>
      <c r="AJ47" s="55"/>
      <c r="AK47" s="317"/>
      <c r="AL47" s="55"/>
      <c r="AM47" s="317"/>
      <c r="AN47" s="55"/>
      <c r="BB47" s="43">
        <v>12</v>
      </c>
      <c r="BC47" s="53" t="str">
        <f>Uebersetzung!D92</f>
        <v>Sportbau</v>
      </c>
      <c r="BD47" s="43" t="str">
        <f t="shared" si="14"/>
        <v>Sportbau</v>
      </c>
      <c r="BE47" s="43" t="str">
        <f t="shared" si="13"/>
        <v>Sportbau</v>
      </c>
      <c r="BF47" s="53"/>
      <c r="BL47" s="302" t="s">
        <v>9</v>
      </c>
      <c r="BM47" s="303" t="s">
        <v>237</v>
      </c>
      <c r="BN47" s="306"/>
      <c r="BO47" s="123" t="b">
        <v>1</v>
      </c>
      <c r="BP47" s="45">
        <v>0.7</v>
      </c>
      <c r="BQ47" s="1035">
        <v>200</v>
      </c>
      <c r="BR47" s="1035">
        <v>240</v>
      </c>
      <c r="BS47" s="45">
        <v>10</v>
      </c>
      <c r="BT47" s="450">
        <v>1</v>
      </c>
      <c r="BU47" s="45">
        <v>0.6</v>
      </c>
      <c r="BV47" s="44">
        <v>0.7</v>
      </c>
    </row>
    <row r="48" spans="1:74">
      <c r="I48" s="520" t="s">
        <v>443</v>
      </c>
      <c r="J48" s="527">
        <f>IF(Klima&gt;1,(J36+AEBF2*Standardwerte!J42)*(1+($J$45-Thetaea)*$J$52),)</f>
        <v>0</v>
      </c>
      <c r="K48" s="62"/>
      <c r="L48" s="28" t="s">
        <v>342</v>
      </c>
      <c r="M48" s="63"/>
      <c r="N48" s="63"/>
      <c r="O48" s="63"/>
      <c r="P48" s="63"/>
      <c r="Q48" s="64"/>
      <c r="R48" s="27"/>
      <c r="S48" s="27"/>
      <c r="T48" s="109" t="str">
        <f>IF(Lüftung1=1,"",IF(Lüftung1=4,N57,IF(Lüftung1=8,N57,N55)))</f>
        <v/>
      </c>
      <c r="U48" s="140" t="str">
        <f>IF(Lüftung2=1,"",IF(Lüftung2=4,N57,IF(Lüftung2=8,N57,N55)))</f>
        <v/>
      </c>
      <c r="V48" s="42" t="str">
        <f>IF(Lüftung3=1,"",IF(Lüftung3=4,N57,IF(Lüftung3=8,N57,N55)))</f>
        <v/>
      </c>
      <c r="W48" s="53" t="str">
        <f>IF(Lüftung4=1,"",IF(Lüftung4=4,N57,IF(Lüftung4=8,N57,N55)))</f>
        <v/>
      </c>
      <c r="X48" s="44">
        <v>2</v>
      </c>
      <c r="Z48" s="49" t="s">
        <v>524</v>
      </c>
      <c r="AA48" s="848" t="str">
        <f>Uebersetzung!D26</f>
        <v>Nein</v>
      </c>
      <c r="AB48" s="146" t="str">
        <f>Uebersetzung!D255</f>
        <v>DC/EC-Motor</v>
      </c>
      <c r="AC48" s="592">
        <v>2</v>
      </c>
      <c r="AD48" s="27">
        <v>3</v>
      </c>
      <c r="AE48" s="36"/>
      <c r="AF48" s="35"/>
      <c r="AG48" s="36"/>
      <c r="AH48" s="118"/>
      <c r="AI48" s="36"/>
      <c r="AJ48" s="118"/>
      <c r="AK48" s="36"/>
      <c r="AL48" s="118"/>
      <c r="AM48" s="36"/>
      <c r="AN48" s="118"/>
      <c r="BB48" s="95">
        <v>13</v>
      </c>
      <c r="BC48" s="119" t="str">
        <f>Uebersetzung!D93</f>
        <v>Hallenbad</v>
      </c>
      <c r="BD48" s="146" t="str">
        <f t="shared" si="14"/>
        <v>Hallenbad</v>
      </c>
      <c r="BE48" s="95" t="s">
        <v>199</v>
      </c>
      <c r="BF48" s="119"/>
      <c r="BL48" s="302" t="s">
        <v>10</v>
      </c>
      <c r="BM48" s="303" t="s">
        <v>3</v>
      </c>
      <c r="BN48" s="306"/>
      <c r="BO48" s="123" t="b">
        <v>1</v>
      </c>
      <c r="BP48" s="52">
        <v>1.2</v>
      </c>
      <c r="BQ48" s="1035">
        <v>125</v>
      </c>
      <c r="BR48" s="1035">
        <v>150</v>
      </c>
      <c r="BS48" s="45">
        <v>10</v>
      </c>
      <c r="BT48" s="450">
        <v>1</v>
      </c>
      <c r="BU48" s="45">
        <v>0.6</v>
      </c>
      <c r="BV48" s="44">
        <v>0.7</v>
      </c>
    </row>
    <row r="49" spans="1:74" ht="15.75">
      <c r="A49" s="274" t="s">
        <v>591</v>
      </c>
      <c r="I49" s="520" t="s">
        <v>444</v>
      </c>
      <c r="J49" s="527">
        <f>IF(Klima&gt;1,(J37+AEBF3*Standardwerte!J43)*(1+($J$45-Thetaea)*$J$52),)</f>
        <v>0</v>
      </c>
      <c r="K49" s="62"/>
      <c r="L49" s="65" t="s">
        <v>649</v>
      </c>
      <c r="M49" s="66"/>
      <c r="N49" s="66"/>
      <c r="O49" s="66"/>
      <c r="P49" s="66"/>
      <c r="Q49" s="67"/>
      <c r="R49" s="27"/>
      <c r="S49" s="27"/>
      <c r="T49" s="110" t="str">
        <f>IF(Lüftung1=1,"",IF(Lüftung1=4,N58,IF(Lüftung1=8,N55,N55)))</f>
        <v/>
      </c>
      <c r="U49" s="177" t="str">
        <f>IF(Lüftung2=1,"",IF(Lüftung2=4,N58,IF(Lüftung2=8,N55,N55)))</f>
        <v/>
      </c>
      <c r="V49" s="60" t="str">
        <f>IF(Lüftung3=1,"",IF(Lüftung3=4,N58,IF(Lüftung3=8,N55,N55)))</f>
        <v/>
      </c>
      <c r="W49" s="119" t="str">
        <f>IF(Lüftung4=1,"",IF(Lüftung4=4,N58,IF(Lüftung4=8,N55,N55)))</f>
        <v/>
      </c>
      <c r="X49" s="112">
        <v>3</v>
      </c>
      <c r="Z49" s="844">
        <f>IF(Eingaben!E46=Standardwerte!Z48,2,1)</f>
        <v>2</v>
      </c>
      <c r="AA49" s="27">
        <v>1</v>
      </c>
      <c r="AB49" s="876" t="b">
        <f>IF(Eingaben!F35=Standardwerte!AB48,TRUE,FALSE)</f>
        <v>0</v>
      </c>
      <c r="AC49" s="592">
        <v>3</v>
      </c>
      <c r="AE49" s="43"/>
      <c r="AF49" s="312" t="s">
        <v>268</v>
      </c>
      <c r="AG49" s="2193" t="b">
        <f>AND(IF(Kategorie1=13,FALSE,AND(OR(Standardlüftung1=2,NOT(Standardwerte!AG37)),Standardwerte!AG38)),NOT(AG50))</f>
        <v>0</v>
      </c>
      <c r="AH49" s="2194"/>
      <c r="AI49" s="2193" t="b">
        <f>AND(IF(Kategorie2=13,FALSE,AND(OR(Standardlüftung2=2,NOT(Standardwerte!AI37)),Standardwerte!AI38)),NOT(AI50))</f>
        <v>0</v>
      </c>
      <c r="AJ49" s="2194"/>
      <c r="AK49" s="2193" t="b">
        <f>AND(IF(Kategorie3=13,FALSE,AND(OR(Standardlüftung3=2,NOT(Standardwerte!AK37)),Standardwerte!AK38)),NOT(AK50))</f>
        <v>0</v>
      </c>
      <c r="AL49" s="2194"/>
      <c r="AM49" s="2193" t="b">
        <f>AND(IF(Kategorie4=13,FALSE,AND(OR(Standardlüftung4=2,NOT(Standardwerte!AM37)),Standardwerte!AM38)),NOT(AM50))</f>
        <v>0</v>
      </c>
      <c r="AN49" s="2194"/>
      <c r="AO49" s="2193" t="b">
        <f>OR(AG49:AM49)</f>
        <v>0</v>
      </c>
      <c r="AP49" s="2326"/>
      <c r="BL49" s="302" t="s">
        <v>227</v>
      </c>
      <c r="BM49" s="303" t="s">
        <v>4</v>
      </c>
      <c r="BN49" s="306"/>
      <c r="BO49" s="123" t="b">
        <v>1</v>
      </c>
      <c r="BP49" s="58">
        <v>1</v>
      </c>
      <c r="BQ49" s="1035">
        <v>80</v>
      </c>
      <c r="BR49" s="1035">
        <v>110</v>
      </c>
      <c r="BS49" s="45">
        <v>10</v>
      </c>
      <c r="BT49" s="450">
        <v>1</v>
      </c>
      <c r="BU49" s="45">
        <v>0.6</v>
      </c>
      <c r="BV49" s="44">
        <v>0.7</v>
      </c>
    </row>
    <row r="50" spans="1:74">
      <c r="B50" s="160"/>
      <c r="I50" s="522" t="s">
        <v>445</v>
      </c>
      <c r="J50" s="528">
        <f>IF(Klima&gt;1,(J38+AEBF4*Standardwerte!J44)*(1+($J$45-Thetaea)*$J$52),)</f>
        <v>0</v>
      </c>
      <c r="K50" s="62"/>
      <c r="L50" s="69" t="s">
        <v>715</v>
      </c>
      <c r="M50" s="26"/>
      <c r="N50" s="26"/>
      <c r="O50" s="70" t="s">
        <v>245</v>
      </c>
      <c r="P50" s="71">
        <f>P51</f>
        <v>0.15</v>
      </c>
      <c r="Q50" s="72" t="s">
        <v>246</v>
      </c>
      <c r="R50" s="27"/>
      <c r="S50" s="27"/>
      <c r="T50" s="1026"/>
      <c r="U50" s="1027"/>
      <c r="V50" s="129"/>
      <c r="W50" s="129"/>
      <c r="X50" s="455"/>
      <c r="AA50" s="27">
        <v>2</v>
      </c>
      <c r="AB50" s="877" t="b">
        <f>IF(Eingaben!G35=Standardwerte!AB48,TRUE,FALSE)</f>
        <v>0</v>
      </c>
      <c r="AC50" s="592">
        <v>4</v>
      </c>
      <c r="AE50" s="95"/>
      <c r="AF50" s="313" t="s">
        <v>267</v>
      </c>
      <c r="AG50" s="2324" t="b">
        <f>OR(AND(J118&gt;1,J118&lt;5),IF(Kategorie1=13,FALSE,NOT(Standardwerte!AG35)))</f>
        <v>0</v>
      </c>
      <c r="AH50" s="2325"/>
      <c r="AI50" s="2324" t="b">
        <f>OR(AND(K118&gt;1,K118&lt;5),IF(Kategorie2=13,FALSE,NOT(Standardwerte!AI35)))</f>
        <v>0</v>
      </c>
      <c r="AJ50" s="2325"/>
      <c r="AK50" s="2324" t="b">
        <f>OR(AND(L118&gt;1,L118&lt;5),IF(Kategorie3=13,FALSE,NOT(Standardwerte!AK35)))</f>
        <v>0</v>
      </c>
      <c r="AL50" s="2325"/>
      <c r="AM50" s="2324" t="b">
        <f>OR(AND(M118&gt;1,M118&lt;5),IF(Kategorie4=13,FALSE,NOT(Standardwerte!AM35)))</f>
        <v>0</v>
      </c>
      <c r="AN50" s="2325"/>
      <c r="AO50" s="2193" t="b">
        <f>AND(OR(AG50:AM50))</f>
        <v>0</v>
      </c>
      <c r="AP50" s="2338"/>
      <c r="BL50" s="302" t="s">
        <v>228</v>
      </c>
      <c r="BM50" s="303" t="s">
        <v>238</v>
      </c>
      <c r="BN50" s="306"/>
      <c r="BO50" s="123" t="b">
        <v>1</v>
      </c>
      <c r="BP50" s="58">
        <v>1</v>
      </c>
      <c r="BQ50" s="1035">
        <v>160</v>
      </c>
      <c r="BR50" s="1035">
        <v>190</v>
      </c>
      <c r="BS50" s="45">
        <v>10</v>
      </c>
      <c r="BT50" s="450">
        <v>1</v>
      </c>
      <c r="BU50" s="45">
        <v>0.6</v>
      </c>
      <c r="BV50" s="44">
        <v>0.7</v>
      </c>
    </row>
    <row r="51" spans="1:74">
      <c r="A51" s="54" t="s">
        <v>719</v>
      </c>
      <c r="B51" s="509">
        <f>IF(Eingaben!I14="",0,VLOOKUP(Eingaben!I14,$A$54:$G$94,7,FALSE))</f>
        <v>1</v>
      </c>
      <c r="C51" s="77" t="str">
        <f>IF(Klima&gt;0,INDEX(B54:B157,Klima,1),)</f>
        <v xml:space="preserve"> </v>
      </c>
      <c r="D51" s="78">
        <f>IF(Klima&gt;0,INDEX(F54:F157,Klima,1),)</f>
        <v>0</v>
      </c>
      <c r="E51" s="79" t="s">
        <v>251</v>
      </c>
      <c r="F51" s="80">
        <f>IF(Klima&gt;0,INDEX(G54:G157,Klima,1),)</f>
        <v>1</v>
      </c>
      <c r="I51" s="529" t="s">
        <v>686</v>
      </c>
      <c r="J51" s="530">
        <f>IF(EBF&gt;0,(J47*_EBF1+J48*_EBF2+J49*_EBF3+J50*_EBF4)/EBF,0)</f>
        <v>0</v>
      </c>
      <c r="L51" s="24" t="s">
        <v>716</v>
      </c>
      <c r="M51" s="14"/>
      <c r="N51" s="14"/>
      <c r="O51" s="15" t="s">
        <v>309</v>
      </c>
      <c r="P51" s="73">
        <f>IF(OR(minergiea,minergiep),0.1,0.15)</f>
        <v>0.15</v>
      </c>
      <c r="Q51" s="74" t="s">
        <v>246</v>
      </c>
      <c r="R51" s="27"/>
      <c r="S51" s="27"/>
      <c r="T51" s="109" t="str">
        <f>IF(AG35,IF(AND(Lüftung1&gt;2,Lüftung1&lt;9),$AB$47,""),"")</f>
        <v/>
      </c>
      <c r="U51" s="109" t="str">
        <f>IF(AI35,IF(AND(Lüftung2&gt;2,Lüftung2&lt;9),$AB$47,""),"")</f>
        <v/>
      </c>
      <c r="V51" s="109" t="str">
        <f>IF(AK35,IF(AND(Lüftung3&gt;2,Lüftung3&lt;9),$AB$47,""),"")</f>
        <v/>
      </c>
      <c r="W51" s="109" t="str">
        <f>IF(AM35,IF(AND(Lüftung4&gt;2,Lüftung4&lt;9),$AB$47,""),"")</f>
        <v/>
      </c>
      <c r="X51" s="44">
        <v>1</v>
      </c>
      <c r="AA51" s="27">
        <v>3</v>
      </c>
      <c r="AB51" s="877" t="b">
        <f>IF(Eingaben!H35=Standardwerte!AB48,TRUE,FALSE)</f>
        <v>0</v>
      </c>
      <c r="AC51" s="592">
        <v>5</v>
      </c>
      <c r="BL51" s="302" t="s">
        <v>229</v>
      </c>
      <c r="BM51" s="303" t="s">
        <v>491</v>
      </c>
      <c r="BN51" s="306"/>
      <c r="BO51" s="123" t="b">
        <v>1</v>
      </c>
      <c r="BP51" s="52">
        <v>0.7</v>
      </c>
      <c r="BQ51" s="1035">
        <v>125</v>
      </c>
      <c r="BR51" s="1035">
        <v>160</v>
      </c>
      <c r="BS51" s="45">
        <v>10</v>
      </c>
      <c r="BT51" s="450">
        <v>1</v>
      </c>
      <c r="BU51" s="45">
        <v>0.6</v>
      </c>
      <c r="BV51" s="44">
        <v>0.7</v>
      </c>
    </row>
    <row r="52" spans="1:74">
      <c r="A52" s="81" t="s">
        <v>232</v>
      </c>
      <c r="B52" s="82" t="s">
        <v>247</v>
      </c>
      <c r="C52" s="82" t="s">
        <v>248</v>
      </c>
      <c r="D52" s="83" t="s">
        <v>477</v>
      </c>
      <c r="E52" s="82" t="s">
        <v>249</v>
      </c>
      <c r="F52" s="84" t="s">
        <v>233</v>
      </c>
      <c r="I52" s="1315" t="s">
        <v>3694</v>
      </c>
      <c r="J52" s="1891">
        <f>IF(_SIA2009,0.08,0.06)</f>
        <v>0.06</v>
      </c>
      <c r="R52" s="27"/>
      <c r="S52" s="27"/>
      <c r="T52" s="110" t="str">
        <f>IF(AG35,IF(AND(Lüftung1&gt;2,Lüftung1&lt;9),$AB$48,""),"")</f>
        <v/>
      </c>
      <c r="U52" s="110" t="str">
        <f>IF(AI35,IF(AND(Lüftung2&gt;2,Lüftung2&lt;9),$AB$48,""),"")</f>
        <v/>
      </c>
      <c r="V52" s="110" t="str">
        <f>IF(AK35,IF(AND(Lüftung3&gt;2,Lüftung3&lt;9),$AB$48,""),"")</f>
        <v/>
      </c>
      <c r="W52" s="110" t="str">
        <f>IF(AM35,IF(AND(Lüftung4&gt;2,Lüftung4&lt;9),$AB$48,""),"")</f>
        <v/>
      </c>
      <c r="X52" s="112">
        <v>2</v>
      </c>
      <c r="AA52" s="27">
        <v>4</v>
      </c>
      <c r="AB52" s="878" t="b">
        <f>IF(Eingaben!I35=Standardwerte!AB48,TRUE,FALSE)</f>
        <v>0</v>
      </c>
      <c r="AD52" s="42"/>
      <c r="BL52" s="302" t="s">
        <v>230</v>
      </c>
      <c r="BM52" s="303" t="s">
        <v>239</v>
      </c>
      <c r="BN52" s="306"/>
      <c r="BO52" s="123" t="b">
        <v>1</v>
      </c>
      <c r="BP52" s="52">
        <v>0.3</v>
      </c>
      <c r="BQ52" s="1035">
        <v>35</v>
      </c>
      <c r="BR52" s="1035">
        <v>60</v>
      </c>
      <c r="BS52" s="45">
        <v>10</v>
      </c>
      <c r="BT52" s="450">
        <v>1</v>
      </c>
      <c r="BU52" s="45">
        <v>0.6</v>
      </c>
      <c r="BV52" s="44">
        <v>0.7</v>
      </c>
    </row>
    <row r="53" spans="1:74">
      <c r="A53" s="86"/>
      <c r="B53" s="82"/>
      <c r="C53" s="82" t="s">
        <v>250</v>
      </c>
      <c r="D53" s="83" t="s">
        <v>213</v>
      </c>
      <c r="E53" s="82" t="s">
        <v>251</v>
      </c>
      <c r="F53" s="87" t="s">
        <v>206</v>
      </c>
      <c r="I53" s="518" t="s">
        <v>687</v>
      </c>
      <c r="J53" s="519"/>
      <c r="Q53" s="774" t="s">
        <v>210</v>
      </c>
      <c r="R53" s="27"/>
      <c r="S53" s="27"/>
      <c r="T53" s="27"/>
      <c r="AD53" s="42"/>
      <c r="AJ53" s="27" t="str">
        <f>Eingaben!E14</f>
        <v>Minergie mit SIA 380/1:2016</v>
      </c>
      <c r="BL53" s="302" t="s">
        <v>231</v>
      </c>
      <c r="BM53" s="303" t="s">
        <v>6</v>
      </c>
      <c r="BN53" s="306"/>
      <c r="BO53" s="123" t="b">
        <v>1</v>
      </c>
      <c r="BP53" s="52">
        <v>0.7</v>
      </c>
      <c r="BQ53" s="1035">
        <v>65</v>
      </c>
      <c r="BR53" s="1035">
        <v>90</v>
      </c>
      <c r="BS53" s="45">
        <v>10</v>
      </c>
      <c r="BT53" s="450">
        <v>1</v>
      </c>
      <c r="BU53" s="45">
        <v>0.6</v>
      </c>
      <c r="BV53" s="44">
        <v>0.7</v>
      </c>
    </row>
    <row r="54" spans="1:74">
      <c r="A54" s="88" t="s">
        <v>199</v>
      </c>
      <c r="B54" s="51" t="s">
        <v>199</v>
      </c>
      <c r="C54" s="51" t="s">
        <v>199</v>
      </c>
      <c r="D54" s="51" t="s">
        <v>199</v>
      </c>
      <c r="E54" s="89"/>
      <c r="F54" s="90"/>
      <c r="G54" s="592">
        <v>1</v>
      </c>
      <c r="I54" s="520" t="s">
        <v>52</v>
      </c>
      <c r="J54" s="521">
        <f>IF(Klima&gt;0,INDEX($D$7:$D$47,Klima,1)*IF(Neubau1=2,1,IF(Neubau1=3,2,0)),)</f>
        <v>0</v>
      </c>
      <c r="L54" s="28" t="s">
        <v>199</v>
      </c>
      <c r="M54" s="976" t="s">
        <v>828</v>
      </c>
      <c r="N54" s="977"/>
      <c r="O54" s="978">
        <v>1</v>
      </c>
      <c r="P54" s="978"/>
      <c r="Q54" s="355"/>
      <c r="R54" s="176"/>
      <c r="S54" s="176"/>
      <c r="T54" s="191" t="s">
        <v>341</v>
      </c>
      <c r="U54" s="2341" t="s">
        <v>470</v>
      </c>
      <c r="V54" s="2342"/>
      <c r="W54" s="496" t="s">
        <v>367</v>
      </c>
      <c r="X54" s="496" t="s">
        <v>500</v>
      </c>
      <c r="Y54" s="496" t="s">
        <v>508</v>
      </c>
      <c r="Z54" s="496" t="s">
        <v>509</v>
      </c>
      <c r="AA54" s="571" t="s">
        <v>510</v>
      </c>
      <c r="AB54" s="561" t="s">
        <v>502</v>
      </c>
      <c r="AC54" s="496" t="s">
        <v>503</v>
      </c>
      <c r="AD54" s="496" t="s">
        <v>504</v>
      </c>
      <c r="AE54" s="571" t="s">
        <v>511</v>
      </c>
      <c r="AF54" s="496" t="s">
        <v>99</v>
      </c>
      <c r="AG54" s="575" t="s">
        <v>524</v>
      </c>
      <c r="AH54" s="576"/>
      <c r="AJ54" s="1882" t="s">
        <v>784</v>
      </c>
      <c r="BL54" s="304" t="s">
        <v>720</v>
      </c>
      <c r="BM54" s="305" t="s">
        <v>8</v>
      </c>
      <c r="BN54" s="307"/>
      <c r="BO54" s="146" t="b">
        <v>0</v>
      </c>
      <c r="BP54" s="68">
        <v>0.7</v>
      </c>
      <c r="BQ54" s="49"/>
      <c r="BS54" s="49"/>
      <c r="BT54" s="248"/>
      <c r="BU54" s="49"/>
      <c r="BV54" s="112"/>
    </row>
    <row r="55" spans="1:74">
      <c r="A55" s="91" t="s">
        <v>592</v>
      </c>
      <c r="B55" s="92" t="s">
        <v>271</v>
      </c>
      <c r="C55" s="92">
        <v>8</v>
      </c>
      <c r="D55" s="92">
        <v>0</v>
      </c>
      <c r="E55" s="92">
        <v>1320</v>
      </c>
      <c r="F55" s="93">
        <v>6.1</v>
      </c>
      <c r="G55" s="592">
        <v>2</v>
      </c>
      <c r="I55" s="520" t="s">
        <v>443</v>
      </c>
      <c r="J55" s="521">
        <f>IF(Klima&gt;0,INDEX($D$7:$D$47,Klima,1)*IF(Neubau2=2,1,IF(Neubau2=3,2,0)),)</f>
        <v>0</v>
      </c>
      <c r="K55" s="27">
        <v>1</v>
      </c>
      <c r="L55" s="180" t="str">
        <f>N55</f>
        <v>keine WRG</v>
      </c>
      <c r="M55" s="857"/>
      <c r="N55" s="857" t="str">
        <f>Uebersetzung!D102</f>
        <v>keine WRG</v>
      </c>
      <c r="O55" s="850">
        <v>2</v>
      </c>
      <c r="P55" s="858"/>
      <c r="Q55" s="859">
        <v>0</v>
      </c>
      <c r="R55" s="85"/>
      <c r="S55" s="264" t="s">
        <v>354</v>
      </c>
      <c r="T55" s="667">
        <f>IF(Eingaben!F34="",1,VLOOKUP(Eingaben!F34,N54:O59,2,FALSE))</f>
        <v>1</v>
      </c>
      <c r="U55" s="113" t="s">
        <v>480</v>
      </c>
      <c r="V55" s="497">
        <f>W55</f>
        <v>1</v>
      </c>
      <c r="W55" s="631">
        <f>Nachweis!M8</f>
        <v>1</v>
      </c>
      <c r="X55" s="100" t="b">
        <f>INDEX($AH$108:$AH$155,$V55,1)</f>
        <v>0</v>
      </c>
      <c r="Y55" s="40">
        <f>IF(AND(DeckungsgradHeizung&gt;99,X55),#REF!/100,0)</f>
        <v>0</v>
      </c>
      <c r="Z55" s="40">
        <f>IF(AND(DeckungsgradWW&gt;99,X55),#REF!/100,0)</f>
        <v>0</v>
      </c>
      <c r="AA55" s="564">
        <f>IF(Nachweis!$L$54&gt;0,(Nachweis!$L$34*Y55+qw*Z55)/Nachweis!$L$54,0)</f>
        <v>0</v>
      </c>
      <c r="AB55" s="562" t="b">
        <f>INDEX($AI$108:$AI$155,$V55,1)</f>
        <v>0</v>
      </c>
      <c r="AC55" s="563">
        <f>IF(AND(DeckungsgradHeizung&gt;99,AB55),#REF!/100,0)</f>
        <v>0</v>
      </c>
      <c r="AD55" s="564">
        <f>IF(AND(DeckungsgradWW&gt;99,AB55),#REF!/100,0)</f>
        <v>0</v>
      </c>
      <c r="AE55" s="564">
        <f>IF(Nachweis!$L$54&gt;0,(Nachweis!$L$34*AC55+qw*AD55)/Nachweis!$L$54,0)</f>
        <v>0</v>
      </c>
      <c r="AF55" s="361" t="b">
        <f>INDEX($AJ$108:$AJ$155,$V55,1)</f>
        <v>0</v>
      </c>
      <c r="AG55" s="577">
        <f>IF(AF55,IF(#REF!&lt;&gt;"",-#REF!,0),0)</f>
        <v>0</v>
      </c>
      <c r="AH55" s="118"/>
      <c r="AJ55" s="1763" t="str">
        <f>Uebersetzung!D19</f>
        <v>behördlicher Nachweis</v>
      </c>
      <c r="AK55" s="1883">
        <v>1</v>
      </c>
      <c r="BK55" s="108" t="s">
        <v>110</v>
      </c>
      <c r="BL55" s="337"/>
      <c r="BM55" s="339" t="str">
        <f>IF(Kategorie1&gt;0,INDEX(BM42:BM54,Kategorie1,1),)</f>
        <v xml:space="preserve"> </v>
      </c>
      <c r="BN55" s="338"/>
      <c r="BO55" s="340" t="b">
        <f>IF(Kategorie1&gt;0,INDEX(BO42:BO54,Kategorie1,1),TRUE)</f>
        <v>1</v>
      </c>
      <c r="BP55" s="340">
        <f>IF(Kategorie1&gt;0,INDEX($BP$42:$BP$54,Kategorie1,1),)</f>
        <v>0</v>
      </c>
      <c r="BQ55" s="340">
        <f>IF(Kategorie1&gt;0,INDEX($BQ$42:$BQ$54,Kategorie1,1),)</f>
        <v>0</v>
      </c>
      <c r="BR55" s="340">
        <f>IF(Kategorie1&gt;0,INDEX($BR$42:$BR$54,Kategorie1,1),)</f>
        <v>0</v>
      </c>
      <c r="BS55" s="340">
        <f>IF(Kategorie1&gt;0,INDEX($BS$42:$BS$54,Kategorie1,1),)</f>
        <v>0</v>
      </c>
      <c r="BT55" s="354">
        <f>IF(Kategorie1&gt;0,INDEX($BT$42:$BT$54,Kategorie1,1),)</f>
        <v>0</v>
      </c>
      <c r="BU55" s="340">
        <f>IF(Kategorie1&gt;0,INDEX($BU$42:$BU$54,Kategorie1,1),)</f>
        <v>0</v>
      </c>
      <c r="BV55" s="340">
        <f>IF(Kategorie1&gt;0,INDEX($BV$42:$BV$54,Kategorie1,1),)</f>
        <v>0</v>
      </c>
    </row>
    <row r="56" spans="1:74">
      <c r="A56" s="91" t="s">
        <v>593</v>
      </c>
      <c r="B56" s="92" t="s">
        <v>286</v>
      </c>
      <c r="C56" s="92">
        <v>8</v>
      </c>
      <c r="D56" s="92">
        <v>0</v>
      </c>
      <c r="E56" s="92">
        <v>381</v>
      </c>
      <c r="F56" s="93">
        <v>10.1</v>
      </c>
      <c r="G56" s="592">
        <v>3</v>
      </c>
      <c r="I56" s="520" t="s">
        <v>444</v>
      </c>
      <c r="J56" s="521">
        <f>IF(Klima&gt;0,INDEX($D$7:$D$47,Klima,1)*IF(Neubau3=2,1,IF(Neubau3=3,2,0)),)</f>
        <v>0</v>
      </c>
      <c r="K56" s="27">
        <v>2</v>
      </c>
      <c r="L56" s="109" t="str">
        <f>N56</f>
        <v>Kreuzstrom</v>
      </c>
      <c r="M56" s="182"/>
      <c r="N56" s="140" t="str">
        <f>Uebersetzung!D103</f>
        <v>Kreuzstrom</v>
      </c>
      <c r="O56" s="85">
        <v>3</v>
      </c>
      <c r="P56" s="357"/>
      <c r="Q56" s="479">
        <v>0.45</v>
      </c>
      <c r="R56" s="85"/>
      <c r="S56" s="264" t="s">
        <v>355</v>
      </c>
      <c r="T56" s="667">
        <f>IF(Eingaben!G34="",1,VLOOKUP(Eingaben!G34,N54:O59,2,FALSE))</f>
        <v>1</v>
      </c>
      <c r="U56" s="56" t="s">
        <v>481</v>
      </c>
      <c r="V56" s="498">
        <f>W56</f>
        <v>1</v>
      </c>
      <c r="W56" s="631">
        <f>Nachweis!M12</f>
        <v>1</v>
      </c>
      <c r="X56" s="100" t="b">
        <f>INDEX($AH$108:$AH$155,$V56,1)</f>
        <v>0</v>
      </c>
      <c r="Y56" s="45">
        <f>IF(AND(DeckungsgradHeizung&gt;99,X56),#REF!/100,0)</f>
        <v>0</v>
      </c>
      <c r="Z56" s="45">
        <f>IF(AND(DeckungsgradWW&gt;99,X56),#REF!/100,0)</f>
        <v>0</v>
      </c>
      <c r="AA56" s="566">
        <f>IF(Nachweis!$L$54&gt;0,(Nachweis!$L$34*Y56+qw*Z56)/Nachweis!$L$54,0)</f>
        <v>0</v>
      </c>
      <c r="AB56" s="562" t="b">
        <f>INDEX($AI$108:$AI$155,$V56,1)</f>
        <v>0</v>
      </c>
      <c r="AC56" s="565">
        <f>IF(AND(DeckungsgradHeizung&gt;99,AB56),#REF!/100,0)</f>
        <v>0</v>
      </c>
      <c r="AD56" s="566">
        <f>IF(AND(DeckungsgradWW&gt;99,AB56),#REF!/100,0)</f>
        <v>0</v>
      </c>
      <c r="AE56" s="566">
        <f>IF(Nachweis!$L$54&gt;0,(Nachweis!$L$34*AC56+qw*AD56)/Nachweis!$L$54,0)</f>
        <v>0</v>
      </c>
      <c r="AF56" s="361" t="b">
        <f>INDEX($AJ$108:$AJ$155,$V56,1)</f>
        <v>0</v>
      </c>
      <c r="AG56" s="578">
        <f>IF(AF56,IF(#REF!&lt;&gt;"",-#REF!,0),0)</f>
        <v>0</v>
      </c>
      <c r="AH56" s="53"/>
      <c r="AJ56" s="847" t="str">
        <f>Uebersetzung!D559</f>
        <v>Minergie mit SIA 380/1:2016</v>
      </c>
      <c r="AK56" s="1878">
        <v>2</v>
      </c>
      <c r="BK56" s="108" t="s">
        <v>111</v>
      </c>
      <c r="BL56" s="337"/>
      <c r="BM56" s="339" t="str">
        <f>IF(Kategorie2&gt;0,INDEX(BM42:BM54,Kategorie2,1),)</f>
        <v xml:space="preserve"> </v>
      </c>
      <c r="BN56" s="338"/>
      <c r="BO56" s="340" t="b">
        <f>IF(Kategorie2&gt;0,INDEX(BO42:BO54,Kategorie2,1),TRUE)</f>
        <v>1</v>
      </c>
      <c r="BP56" s="340">
        <f>IF(Kategorie2&gt;0,INDEX($BP$42:$BP$54,Kategorie2,1),)</f>
        <v>0</v>
      </c>
      <c r="BQ56" s="340">
        <f>IF(Kategorie2&gt;0,INDEX($BQ$42:$BQ$54,Kategorie2,1),)</f>
        <v>0</v>
      </c>
      <c r="BR56" s="340">
        <f>IF(Kategorie2&gt;0,INDEX($BR$42:$BR$54,Kategorie2,1),)</f>
        <v>0</v>
      </c>
      <c r="BS56" s="340">
        <f>IF(Kategorie2&gt;0,INDEX($BS$42:$BS$54,Kategorie2,1),)</f>
        <v>0</v>
      </c>
      <c r="BT56" s="354">
        <f>IF(Kategorie2&gt;0,INDEX($BT$42:$BT$54,Kategorie2,1),)</f>
        <v>0</v>
      </c>
      <c r="BU56" s="340">
        <f>IF(Kategorie2&gt;0,INDEX($BU$42:$BU$54,Kategorie2,1),)</f>
        <v>0</v>
      </c>
      <c r="BV56" s="340">
        <f>IF(Kategorie2&gt;0,INDEX($BV$42:$BV$54,Kategorie2,1),)</f>
        <v>0</v>
      </c>
    </row>
    <row r="57" spans="1:74">
      <c r="A57" s="91" t="s">
        <v>290</v>
      </c>
      <c r="B57" s="92" t="s">
        <v>291</v>
      </c>
      <c r="C57" s="92">
        <v>7</v>
      </c>
      <c r="D57" s="92">
        <v>0</v>
      </c>
      <c r="E57" s="92">
        <v>449</v>
      </c>
      <c r="F57" s="93">
        <v>9.9</v>
      </c>
      <c r="G57" s="592">
        <v>4</v>
      </c>
      <c r="I57" s="522" t="s">
        <v>445</v>
      </c>
      <c r="J57" s="523">
        <f>IF(Klima&gt;0,INDEX($D$7:$D$47,Klima,1)*IF(Neubau4=2,1,IF(Neubau4=3,2,0)),)</f>
        <v>0</v>
      </c>
      <c r="K57" s="27">
        <v>3</v>
      </c>
      <c r="L57" s="109" t="str">
        <f>N57</f>
        <v>Gegenstrom</v>
      </c>
      <c r="M57" s="182"/>
      <c r="N57" s="140" t="str">
        <f>Uebersetzung!D104</f>
        <v>Gegenstrom</v>
      </c>
      <c r="O57" s="85">
        <v>4</v>
      </c>
      <c r="P57" s="357"/>
      <c r="Q57" s="479">
        <v>0.7</v>
      </c>
      <c r="R57" s="85"/>
      <c r="S57" s="264" t="s">
        <v>356</v>
      </c>
      <c r="T57" s="667">
        <f>IF(Eingaben!H34="",1,VLOOKUP(Eingaben!H34,N54:O59,2,FALSE))</f>
        <v>1</v>
      </c>
      <c r="U57" s="56" t="s">
        <v>31</v>
      </c>
      <c r="V57" s="498">
        <f>W57</f>
        <v>1</v>
      </c>
      <c r="W57" s="631">
        <f>Nachweis!M16</f>
        <v>1</v>
      </c>
      <c r="X57" s="100" t="b">
        <f>INDEX($AH$108:$AH$155,$V57,1)</f>
        <v>0</v>
      </c>
      <c r="Y57" s="45">
        <f>IF(AND(DeckungsgradHeizung&gt;99,X57),#REF!/100,0)</f>
        <v>0</v>
      </c>
      <c r="Z57" s="45">
        <f>IF(AND(DeckungsgradWW&gt;99,X57),#REF!/100,0)</f>
        <v>0</v>
      </c>
      <c r="AA57" s="566">
        <f>IF(Nachweis!$L$54&gt;0,(Nachweis!$L$34*Y57+qw*Z57)/Nachweis!$L$54,0)</f>
        <v>0</v>
      </c>
      <c r="AB57" s="562" t="b">
        <f>INDEX($AI$108:$AI$155,$V57,1)</f>
        <v>0</v>
      </c>
      <c r="AC57" s="565">
        <f>IF(AND(DeckungsgradHeizung&gt;99,AB57),#REF!/100,0)</f>
        <v>0</v>
      </c>
      <c r="AD57" s="566">
        <f>IF(AND(DeckungsgradWW&gt;99,AB57),#REF!/100,0)</f>
        <v>0</v>
      </c>
      <c r="AE57" s="566">
        <f>IF(Nachweis!$L$54&gt;0,(Nachweis!$L$34*AC57+qw*AD57)/Nachweis!$L$54,0)</f>
        <v>0</v>
      </c>
      <c r="AF57" s="361" t="b">
        <f>INDEX($AJ$108:$AJ$155,$V57,1)</f>
        <v>0</v>
      </c>
      <c r="AG57" s="578">
        <f>IF(AF57,IF(#REF!&lt;&gt;"",-#REF!,0),0)</f>
        <v>0</v>
      </c>
      <c r="AH57" s="53"/>
      <c r="AJ57" s="847" t="str">
        <f>Uebersetzung!D560</f>
        <v>Minergie-P mit SIA 380/1:2016</v>
      </c>
      <c r="AK57" s="1878">
        <v>3</v>
      </c>
      <c r="BK57" s="108" t="s">
        <v>112</v>
      </c>
      <c r="BL57" s="337"/>
      <c r="BM57" s="339" t="str">
        <f>IF(Kategorie3&gt;0,INDEX(BM42:BM54,Kategorie3,1),)</f>
        <v xml:space="preserve"> </v>
      </c>
      <c r="BN57" s="338"/>
      <c r="BO57" s="340" t="b">
        <f>IF(Kategorie3&gt;0,INDEX(BO42:BO54,Kategorie3,1),TRUE)</f>
        <v>1</v>
      </c>
      <c r="BP57" s="340">
        <f>IF(Kategorie3&gt;0,INDEX($BP$42:$BP$54,Kategorie3,1),)</f>
        <v>0</v>
      </c>
      <c r="BQ57" s="340">
        <f>IF(Kategorie3&gt;0,INDEX($BQ$42:$BQ$54,Kategorie3,1),)</f>
        <v>0</v>
      </c>
      <c r="BR57" s="340">
        <f>IF(Kategorie3&gt;0,INDEX($BR$42:$BR$54,Kategorie3,1),)</f>
        <v>0</v>
      </c>
      <c r="BS57" s="340">
        <f>IF(Kategorie3&gt;0,INDEX($BS$42:$BS$54,Kategorie3,1),)</f>
        <v>0</v>
      </c>
      <c r="BT57" s="354">
        <f>IF(Kategorie3&gt;0,INDEX($BT$42:$BT$54,Kategorie3,1),)</f>
        <v>0</v>
      </c>
      <c r="BU57" s="340">
        <f>IF(Kategorie3&gt;0,INDEX($BU$42:$BU$54,Kategorie3,1),)</f>
        <v>0</v>
      </c>
      <c r="BV57" s="340">
        <f>IF(Kategorie3&gt;0,INDEX($BV$42:$BV$54,Kategorie3,1),)</f>
        <v>0</v>
      </c>
    </row>
    <row r="58" spans="1:74">
      <c r="A58" s="91" t="s">
        <v>252</v>
      </c>
      <c r="B58" s="92" t="s">
        <v>253</v>
      </c>
      <c r="C58" s="92">
        <v>1</v>
      </c>
      <c r="D58" s="92">
        <v>0</v>
      </c>
      <c r="E58" s="92">
        <v>316</v>
      </c>
      <c r="F58" s="93">
        <v>10.5</v>
      </c>
      <c r="G58" s="592">
        <v>5</v>
      </c>
      <c r="I58" s="525"/>
      <c r="J58" s="525"/>
      <c r="K58" s="27">
        <v>4</v>
      </c>
      <c r="L58" s="109" t="str">
        <f>N58</f>
        <v>Rotations-WT</v>
      </c>
      <c r="M58" s="140"/>
      <c r="N58" s="140" t="str">
        <f>Uebersetzung!D105</f>
        <v>Rotations-WT</v>
      </c>
      <c r="O58" s="85">
        <v>5</v>
      </c>
      <c r="P58" s="357"/>
      <c r="Q58" s="479">
        <v>0.7</v>
      </c>
      <c r="R58" s="138"/>
      <c r="S58" s="265" t="s">
        <v>124</v>
      </c>
      <c r="T58" s="668">
        <f>IF(Eingaben!I34="",1,VLOOKUP(Eingaben!I34,N54:O59,2,FALSE))</f>
        <v>1</v>
      </c>
      <c r="U58" s="111" t="s">
        <v>32</v>
      </c>
      <c r="V58" s="499">
        <f>W58</f>
        <v>1</v>
      </c>
      <c r="W58" s="632">
        <f>Nachweis!M20</f>
        <v>1</v>
      </c>
      <c r="X58" s="560" t="b">
        <f>INDEX($AH$108:$AH$155,$V58,1)</f>
        <v>0</v>
      </c>
      <c r="Y58" s="49">
        <f>IF(AND(DeckungsgradHeizung&gt;99,X58),#REF!/100,0)</f>
        <v>0</v>
      </c>
      <c r="Z58" s="49">
        <f>IF(AND(DeckungsgradWW&gt;99,X58),#REF!/100,0)</f>
        <v>0</v>
      </c>
      <c r="AA58" s="569">
        <f>IF(Nachweis!$L$54&gt;0,(Nachweis!$L$34*Y58+qw*Z58)/Nachweis!$L$54,0)</f>
        <v>0</v>
      </c>
      <c r="AB58" s="567" t="b">
        <f>INDEX($AI$108:$AI$155,$V58,1)</f>
        <v>0</v>
      </c>
      <c r="AC58" s="568">
        <f>IF(AND(DeckungsgradHeizung&gt;99,AB58),#REF!/100,0)</f>
        <v>0</v>
      </c>
      <c r="AD58" s="569">
        <f>IF(AND(DeckungsgradWW&gt;99,AB58),#REF!/100,0)</f>
        <v>0</v>
      </c>
      <c r="AE58" s="569">
        <f>IF(Nachweis!$L$54&gt;0,(Nachweis!$L$34*AC58+qw*AD58)/Nachweis!$L$54,0)</f>
        <v>0</v>
      </c>
      <c r="AF58" s="362" t="b">
        <f>INDEX($AJ$108:$AJ$155,$V58,1)</f>
        <v>0</v>
      </c>
      <c r="AG58" s="579">
        <f>IF(AF58,IF(#REF!&lt;&gt;"",-#REF!,0),0)</f>
        <v>0</v>
      </c>
      <c r="AH58" s="119"/>
      <c r="AJ58" s="847" t="str">
        <f>Uebersetzung!D561</f>
        <v>Minergie-A mit SIA 380/1:2016</v>
      </c>
      <c r="AK58" s="1878">
        <v>4</v>
      </c>
      <c r="BK58" s="108" t="s">
        <v>113</v>
      </c>
      <c r="BL58" s="337"/>
      <c r="BM58" s="339" t="str">
        <f>IF(Kategorie4&gt;0,INDEX(BM42:BM54,Kategorie4,1),)</f>
        <v xml:space="preserve"> </v>
      </c>
      <c r="BN58" s="338"/>
      <c r="BO58" s="340" t="b">
        <f>IF(Kategorie4&gt;0,INDEX(BO42:BO54,Kategorie4,1),TRUE)</f>
        <v>1</v>
      </c>
      <c r="BP58" s="340">
        <f>IF(Kategorie4&gt;0,INDEX($BP$42:$BP$54,Kategorie3,1),)</f>
        <v>0</v>
      </c>
      <c r="BQ58" s="340">
        <f>IF(Kategorie4&gt;0,INDEX($BQ$42:$BQ$54,Kategorie4,1),)</f>
        <v>0</v>
      </c>
      <c r="BR58" s="340">
        <f>IF(Kategorie4&gt;0,INDEX($BR$42:$BR$54,Kategorie4,1),)</f>
        <v>0</v>
      </c>
      <c r="BS58" s="340">
        <f>IF(Kategorie4&gt;0,INDEX($BS$42:$BS$54,Kategorie4,1),)</f>
        <v>0</v>
      </c>
      <c r="BT58" s="354">
        <f>IF(Kategorie4&gt;0,INDEX($BT$42:$BT$54,Kategorie4,1),)</f>
        <v>0</v>
      </c>
      <c r="BU58" s="340">
        <f>IF(Kategorie4&gt;0,INDEX($BU$42:$BU$54,Kategorie4,1),)</f>
        <v>0</v>
      </c>
      <c r="BV58" s="340">
        <f>IF(Kategorie4&gt;0,INDEX($BV$42:$BV$54,Kategorie4,1),)</f>
        <v>0</v>
      </c>
    </row>
    <row r="59" spans="1:74">
      <c r="A59" s="91" t="s">
        <v>594</v>
      </c>
      <c r="B59" s="92" t="s">
        <v>271</v>
      </c>
      <c r="C59" s="92">
        <v>4</v>
      </c>
      <c r="D59" s="92">
        <v>0</v>
      </c>
      <c r="E59" s="92">
        <v>565</v>
      </c>
      <c r="F59" s="93">
        <v>9.1</v>
      </c>
      <c r="G59" s="592">
        <v>6</v>
      </c>
      <c r="K59" s="27">
        <v>5</v>
      </c>
      <c r="L59" s="110" t="str">
        <f>N59</f>
        <v>Kreislauf-KVS</v>
      </c>
      <c r="M59" s="177"/>
      <c r="N59" s="177" t="str">
        <f>Uebersetzung!D106</f>
        <v>Kreislauf-KVS</v>
      </c>
      <c r="O59" s="138">
        <v>6</v>
      </c>
      <c r="P59" s="358"/>
      <c r="Q59" s="480">
        <v>0.6</v>
      </c>
      <c r="R59" s="332" t="s">
        <v>132</v>
      </c>
      <c r="S59" s="160" t="s">
        <v>199</v>
      </c>
      <c r="T59" s="160" t="s">
        <v>199</v>
      </c>
      <c r="U59" s="160" t="s">
        <v>199</v>
      </c>
      <c r="X59" s="27" t="b">
        <f>OR(X55:X58)</f>
        <v>0</v>
      </c>
      <c r="Z59" s="570" t="s">
        <v>505</v>
      </c>
      <c r="AA59" s="572">
        <f>SUM(AA55:AA58)</f>
        <v>0</v>
      </c>
      <c r="AD59" s="570" t="s">
        <v>505</v>
      </c>
      <c r="AE59" s="572">
        <f>SUM(AE55:AE58)</f>
        <v>0</v>
      </c>
      <c r="AF59" s="570" t="s">
        <v>100</v>
      </c>
      <c r="AG59" s="580">
        <f>SUM(AG55:AG58)</f>
        <v>0</v>
      </c>
      <c r="AH59" s="338"/>
      <c r="AJ59" s="847" t="str">
        <f>Uebersetzung!D562</f>
        <v>Minergie mit SIA 380/1:2009</v>
      </c>
      <c r="AK59" s="1878">
        <v>5</v>
      </c>
      <c r="BK59" s="108" t="s">
        <v>346</v>
      </c>
      <c r="BL59" s="130"/>
      <c r="BM59" s="129"/>
      <c r="BN59" s="342"/>
      <c r="BO59" s="122"/>
      <c r="BP59" s="1061" t="str">
        <f>IF(AND(Zonen=2,BP55=BP56),BP55&amp;" m/h",IF(AND(Zonen=3,BP55=BP56,BP55=BP57),BP55&amp;" m/h",IF(AND(Zonen=4,BP55=BP56,BP55=BP57,BP55=BP58),BP55&amp;" m/h","Min-P-Stand")))</f>
        <v>Min-P-Stand</v>
      </c>
      <c r="BQ59" s="359">
        <f t="shared" ref="BQ59:BV59" si="16">IF(EBF&gt;0,(BQ55*_EBF1+BQ56*_EBF2+BQ57*_EBF3+BQ58*_EBF4)/EBF,0)</f>
        <v>0</v>
      </c>
      <c r="BR59" s="359">
        <f t="shared" si="16"/>
        <v>0</v>
      </c>
      <c r="BS59" s="139">
        <f t="shared" si="16"/>
        <v>0</v>
      </c>
      <c r="BT59" s="359">
        <f t="shared" si="16"/>
        <v>0</v>
      </c>
      <c r="BU59" s="360">
        <f t="shared" si="16"/>
        <v>0</v>
      </c>
      <c r="BV59" s="360">
        <f t="shared" si="16"/>
        <v>0</v>
      </c>
    </row>
    <row r="60" spans="1:74">
      <c r="A60" s="91" t="s">
        <v>595</v>
      </c>
      <c r="B60" s="92" t="s">
        <v>272</v>
      </c>
      <c r="C60" s="92">
        <v>4</v>
      </c>
      <c r="D60" s="92">
        <v>0</v>
      </c>
      <c r="E60" s="92">
        <v>387</v>
      </c>
      <c r="F60" s="93">
        <v>9.6999999999999993</v>
      </c>
      <c r="G60" s="592">
        <v>7</v>
      </c>
      <c r="L60" s="267" t="s">
        <v>625</v>
      </c>
      <c r="M60" s="43">
        <f>INDEX($L$54:$N$59,WRGtyp1,3)</f>
        <v>0</v>
      </c>
      <c r="N60" s="357">
        <f>INDEX($Q$54:$Q$59,WRGtyp1,1)</f>
        <v>0</v>
      </c>
      <c r="O60" s="42"/>
      <c r="P60" s="42"/>
      <c r="Q60" s="53"/>
      <c r="R60" s="40" t="str">
        <f>IF(minergiep,IF(OR(WRGtyp1=2,WRGtyp1=3,_EBF1=0),,1),"")</f>
        <v/>
      </c>
      <c r="T60" s="863"/>
      <c r="Z60" s="570" t="s">
        <v>506</v>
      </c>
      <c r="AA60" s="573">
        <f>0.95-AE59</f>
        <v>0.95</v>
      </c>
      <c r="AD60" s="570" t="s">
        <v>506</v>
      </c>
      <c r="AE60" s="340">
        <v>0.5</v>
      </c>
      <c r="AJ60" s="847" t="str">
        <f>Uebersetzung!D563</f>
        <v>Minergie-P mit SIA 380/1:2009</v>
      </c>
      <c r="AK60" s="1878">
        <v>6</v>
      </c>
    </row>
    <row r="61" spans="1:74">
      <c r="A61" s="91" t="s">
        <v>296</v>
      </c>
      <c r="B61" s="92" t="s">
        <v>295</v>
      </c>
      <c r="C61" s="92">
        <v>9</v>
      </c>
      <c r="D61" s="92">
        <v>0</v>
      </c>
      <c r="E61" s="92">
        <v>555</v>
      </c>
      <c r="F61" s="93">
        <v>9.6</v>
      </c>
      <c r="G61" s="592">
        <v>8</v>
      </c>
      <c r="L61" s="267" t="s">
        <v>626</v>
      </c>
      <c r="M61" s="109">
        <f>INDEX($L$54:$N$59,WRGtyp2,3)</f>
        <v>0</v>
      </c>
      <c r="N61" s="357">
        <f>INDEX($Q$54:$Q$59,WRGtyp2,1)</f>
        <v>0</v>
      </c>
      <c r="O61" s="42"/>
      <c r="P61" s="42"/>
      <c r="Q61" s="53"/>
      <c r="R61" s="45" t="str">
        <f>IF(minergiep,IF(OR(WRGtyp2=2,WRGtyp2=3,_EBF2=0),,1),"")</f>
        <v/>
      </c>
      <c r="T61" s="27"/>
      <c r="U61" s="189" t="s">
        <v>689</v>
      </c>
      <c r="V61" s="190"/>
      <c r="W61" s="253"/>
      <c r="AD61" s="570" t="s">
        <v>507</v>
      </c>
      <c r="AE61" s="574" t="b">
        <f>IF(AND(AE59&gt;=AE60,AA59&gt;=AA60,X59=TRUE),TRUE,FALSE)</f>
        <v>0</v>
      </c>
      <c r="AJ61" s="847" t="str">
        <f>Uebersetzung!D564</f>
        <v>Minergie-A mit SIA 380/1:2009</v>
      </c>
      <c r="AK61" s="1878">
        <v>7</v>
      </c>
    </row>
    <row r="62" spans="1:74">
      <c r="A62" s="91" t="s">
        <v>297</v>
      </c>
      <c r="B62" s="92" t="s">
        <v>295</v>
      </c>
      <c r="C62" s="92">
        <v>9</v>
      </c>
      <c r="D62" s="92">
        <v>4</v>
      </c>
      <c r="E62" s="92">
        <v>1590</v>
      </c>
      <c r="F62" s="93">
        <v>3.6</v>
      </c>
      <c r="G62" s="592">
        <v>9</v>
      </c>
      <c r="L62" s="267" t="s">
        <v>627</v>
      </c>
      <c r="M62" s="109">
        <f>INDEX($L$54:$N$59,WRGtyp3,3)</f>
        <v>0</v>
      </c>
      <c r="N62" s="357">
        <f>INDEX($Q$54:$Q$59,WRGtyp3,1)</f>
        <v>0</v>
      </c>
      <c r="O62" s="42"/>
      <c r="P62" s="42"/>
      <c r="Q62" s="53"/>
      <c r="R62" s="45" t="str">
        <f>IF(minergiep,IF(OR(WRGtyp3=2,WRGtyp3=3,_EBF3=0),,1),"")</f>
        <v/>
      </c>
      <c r="T62" s="42"/>
      <c r="U62" s="171" t="s">
        <v>469</v>
      </c>
      <c r="V62" s="250" t="s">
        <v>177</v>
      </c>
      <c r="W62" s="251"/>
      <c r="AJ62" s="146"/>
      <c r="AK62" s="1879">
        <v>8</v>
      </c>
      <c r="BL62" s="366" t="s">
        <v>269</v>
      </c>
      <c r="BM62" s="419"/>
      <c r="BN62" s="419"/>
      <c r="BO62" s="420"/>
    </row>
    <row r="63" spans="1:74">
      <c r="A63" s="91" t="s">
        <v>298</v>
      </c>
      <c r="B63" s="92" t="s">
        <v>295</v>
      </c>
      <c r="C63" s="92">
        <v>9</v>
      </c>
      <c r="D63" s="92">
        <v>0</v>
      </c>
      <c r="E63" s="92">
        <v>1190</v>
      </c>
      <c r="F63" s="93">
        <v>6.7</v>
      </c>
      <c r="G63" s="592">
        <v>10</v>
      </c>
      <c r="L63" s="268" t="s">
        <v>628</v>
      </c>
      <c r="M63" s="110">
        <f>INDEX($L$54:$N$59,WRGtyp4,3)</f>
        <v>0</v>
      </c>
      <c r="N63" s="358">
        <f>INDEX($Q$54:$Q$59,WRGtyp4,1)</f>
        <v>0</v>
      </c>
      <c r="O63" s="60"/>
      <c r="P63" s="60"/>
      <c r="Q63" s="119"/>
      <c r="R63" s="49" t="str">
        <f>IF(minergiep,IF(OR(WRGtyp4=2,WRGtyp4=3,_EBF4=0),,1),"")</f>
        <v/>
      </c>
      <c r="T63" s="42">
        <v>1</v>
      </c>
      <c r="U63" s="109" t="str">
        <f>INDEX($V$108:$V$155,_typ1,1)</f>
        <v xml:space="preserve">  </v>
      </c>
      <c r="V63" s="286" t="str">
        <f>INDEX($W$108:$W$155,_typ1,1)</f>
        <v xml:space="preserve">  </v>
      </c>
      <c r="W63" s="44"/>
      <c r="AJ63" s="49">
        <f>IF(Eingaben!E14="",0,VLOOKUP(Eingaben!E14,AJ55:AK62,2,FALSE))</f>
        <v>2</v>
      </c>
      <c r="AK63" s="1032">
        <f>IF(AJ63&lt;5,AJ63,AJ63-3)</f>
        <v>2</v>
      </c>
      <c r="BL63" s="122" t="b">
        <v>1</v>
      </c>
    </row>
    <row r="64" spans="1:74">
      <c r="A64" s="91" t="s">
        <v>292</v>
      </c>
      <c r="B64" s="92" t="s">
        <v>293</v>
      </c>
      <c r="C64" s="92">
        <v>7</v>
      </c>
      <c r="D64" s="92">
        <v>2</v>
      </c>
      <c r="E64" s="92">
        <v>1035</v>
      </c>
      <c r="F64" s="93">
        <v>6.4</v>
      </c>
      <c r="G64" s="592">
        <v>11</v>
      </c>
      <c r="R64" s="864">
        <f>IF(SUM(R60:R63)&gt;9,2,IF(SUM(R60:R63)&gt;0,1,))</f>
        <v>0</v>
      </c>
      <c r="T64" s="42">
        <v>2</v>
      </c>
      <c r="U64" s="109" t="str">
        <f>INDEX($V$108:$V$155,_typ2,1)</f>
        <v xml:space="preserve">  </v>
      </c>
      <c r="V64" s="286" t="str">
        <f>INDEX($W$108:$W$155,_typ2,1)</f>
        <v xml:space="preserve">  </v>
      </c>
      <c r="W64" s="44"/>
      <c r="AD64" s="773"/>
      <c r="AJ64" s="139" t="s">
        <v>3691</v>
      </c>
      <c r="AK64" s="1032" t="b">
        <f>IF(AND(AJ63&gt;4,AJ63&lt;8),TRUE,FALSE)</f>
        <v>0</v>
      </c>
    </row>
    <row r="65" spans="1:71">
      <c r="A65" s="91" t="s">
        <v>284</v>
      </c>
      <c r="B65" s="92" t="s">
        <v>285</v>
      </c>
      <c r="C65" s="92">
        <v>5</v>
      </c>
      <c r="D65" s="92">
        <v>0</v>
      </c>
      <c r="E65" s="92">
        <v>420</v>
      </c>
      <c r="F65" s="93">
        <v>10.7</v>
      </c>
      <c r="G65" s="592">
        <v>12</v>
      </c>
      <c r="I65" s="525"/>
      <c r="J65" s="525"/>
      <c r="T65" s="42">
        <v>3</v>
      </c>
      <c r="U65" s="109" t="str">
        <f>INDEX($V$108:$V$155,_typ3,1)</f>
        <v xml:space="preserve">  </v>
      </c>
      <c r="V65" s="286" t="str">
        <f>INDEX($W$108:$W$155,_typ3,1)</f>
        <v xml:space="preserve">  </v>
      </c>
      <c r="W65" s="44"/>
      <c r="X65" s="2316" t="s">
        <v>3237</v>
      </c>
      <c r="Y65" s="2317"/>
      <c r="Z65" s="2317"/>
      <c r="AA65" s="2317"/>
      <c r="AB65" s="2317"/>
      <c r="AC65" s="2317"/>
      <c r="AD65" s="1763" t="s">
        <v>555</v>
      </c>
      <c r="AE65" s="1764">
        <f>IF(minergiea,IF(Neubau1=3,AC$68,AB$68),IF(minergiep,IF(Neubau1=3,AA$68,Z$68),IF(Neubau1=3,Y$68,X$68)))</f>
        <v>15</v>
      </c>
      <c r="AF65" s="773" t="s">
        <v>524</v>
      </c>
    </row>
    <row r="66" spans="1:71">
      <c r="A66" s="91" t="s">
        <v>288</v>
      </c>
      <c r="B66" s="92" t="s">
        <v>289</v>
      </c>
      <c r="C66" s="92">
        <v>6</v>
      </c>
      <c r="D66" s="92">
        <v>0</v>
      </c>
      <c r="E66" s="92">
        <v>515</v>
      </c>
      <c r="F66" s="93">
        <v>8.8000000000000007</v>
      </c>
      <c r="G66" s="592">
        <v>13</v>
      </c>
      <c r="L66" s="28" t="s">
        <v>529</v>
      </c>
      <c r="M66" s="75"/>
      <c r="N66" s="75"/>
      <c r="O66" s="76"/>
      <c r="P66" s="160"/>
      <c r="Q66" s="160"/>
      <c r="T66" s="42">
        <v>4</v>
      </c>
      <c r="U66" s="287" t="str">
        <f>INDEX($V$108:$V$155,_typ4,1)</f>
        <v xml:space="preserve">  </v>
      </c>
      <c r="V66" s="288" t="str">
        <f>INDEX($W$108:$W$155,_typ4,1)</f>
        <v xml:space="preserve">  </v>
      </c>
      <c r="W66" s="112"/>
      <c r="X66" s="2316" t="s">
        <v>546</v>
      </c>
      <c r="Y66" s="2318"/>
      <c r="Z66" s="2316" t="s">
        <v>663</v>
      </c>
      <c r="AA66" s="2318"/>
      <c r="AB66" s="2316" t="s">
        <v>499</v>
      </c>
      <c r="AC66" s="2317"/>
      <c r="AD66" s="847" t="s">
        <v>556</v>
      </c>
      <c r="AE66" s="1765">
        <f>IF(minergiea,IF(Neubau2=3,AC$68,AB$68),IF(minergiep,IF(Neubau2=3,AA$68,Z$68),IF(Neubau2=3,Y$68,X$68)))</f>
        <v>15</v>
      </c>
      <c r="AF66" s="773" t="s">
        <v>524</v>
      </c>
    </row>
    <row r="67" spans="1:71">
      <c r="A67" s="91" t="s">
        <v>300</v>
      </c>
      <c r="B67" s="92" t="s">
        <v>299</v>
      </c>
      <c r="C67" s="92">
        <v>12</v>
      </c>
      <c r="D67" s="92">
        <v>8</v>
      </c>
      <c r="E67" s="92">
        <v>2472</v>
      </c>
      <c r="F67" s="93">
        <v>-0.5</v>
      </c>
      <c r="G67" s="592">
        <v>14</v>
      </c>
      <c r="L67" s="36">
        <v>1</v>
      </c>
      <c r="M67" s="192" t="s">
        <v>629</v>
      </c>
      <c r="N67" s="193" t="s">
        <v>643</v>
      </c>
      <c r="O67" s="194"/>
      <c r="P67" s="160"/>
      <c r="Q67" s="160"/>
      <c r="X67" s="1739" t="s">
        <v>650</v>
      </c>
      <c r="Y67" s="1740" t="s">
        <v>1712</v>
      </c>
      <c r="Z67" s="1739" t="s">
        <v>650</v>
      </c>
      <c r="AA67" s="1740" t="s">
        <v>1712</v>
      </c>
      <c r="AB67" s="1739" t="s">
        <v>650</v>
      </c>
      <c r="AC67" s="1740" t="s">
        <v>1712</v>
      </c>
      <c r="AD67" s="847" t="s">
        <v>234</v>
      </c>
      <c r="AE67" s="1765">
        <f>IF(minergiea,IF(Neubau3=3,AC$68,AB$68),IF(minergiep,IF(Neubau3=3,AA$68,Z$68),IF(Neubau3=3,Y$68,X$68)))</f>
        <v>15</v>
      </c>
      <c r="AF67" s="773" t="s">
        <v>524</v>
      </c>
      <c r="AL67" s="252"/>
      <c r="AM67" s="252"/>
      <c r="AN67" s="252"/>
      <c r="AO67" s="252"/>
    </row>
    <row r="68" spans="1:71" ht="15.75">
      <c r="A68" s="91" t="s">
        <v>596</v>
      </c>
      <c r="B68" s="92" t="s">
        <v>273</v>
      </c>
      <c r="C68" s="92">
        <v>3</v>
      </c>
      <c r="D68" s="92">
        <v>0</v>
      </c>
      <c r="E68" s="92">
        <v>440</v>
      </c>
      <c r="F68" s="93">
        <v>9.1999999999999993</v>
      </c>
      <c r="G68" s="592">
        <v>15</v>
      </c>
      <c r="L68" s="169">
        <v>2</v>
      </c>
      <c r="M68" s="181" t="s">
        <v>630</v>
      </c>
      <c r="N68" s="182" t="s">
        <v>644</v>
      </c>
      <c r="O68" s="183"/>
      <c r="P68" s="160"/>
      <c r="Q68" s="160"/>
      <c r="W68" s="1147" t="s">
        <v>1815</v>
      </c>
      <c r="X68" s="1026">
        <v>15</v>
      </c>
      <c r="Y68" s="455">
        <v>50</v>
      </c>
      <c r="Z68" s="1026">
        <v>10</v>
      </c>
      <c r="AA68" s="455">
        <v>40</v>
      </c>
      <c r="AB68" s="1026">
        <v>-5</v>
      </c>
      <c r="AC68" s="1027">
        <v>-5</v>
      </c>
      <c r="AD68" s="848" t="s">
        <v>235</v>
      </c>
      <c r="AE68" s="1766">
        <f>IF(minergiea,IF(Neubau4=3,AC$68,AB$68),IF(minergiep,IF(Neubau4=3,AA$68,Z$68),IF(Neubau4=3,Y$68,X$68)))</f>
        <v>15</v>
      </c>
      <c r="AF68" s="773" t="s">
        <v>524</v>
      </c>
      <c r="AG68" s="773" t="s">
        <v>3568</v>
      </c>
      <c r="AI68" s="773" t="s">
        <v>546</v>
      </c>
      <c r="AJ68" s="773" t="s">
        <v>3692</v>
      </c>
      <c r="AL68" s="2346" t="s">
        <v>3695</v>
      </c>
      <c r="AM68" s="2346"/>
      <c r="BL68" s="274"/>
    </row>
    <row r="69" spans="1:71" ht="15.75">
      <c r="A69" s="91" t="s">
        <v>294</v>
      </c>
      <c r="B69" s="92" t="s">
        <v>271</v>
      </c>
      <c r="C69" s="92">
        <v>8</v>
      </c>
      <c r="D69" s="92">
        <v>0</v>
      </c>
      <c r="E69" s="92">
        <v>580</v>
      </c>
      <c r="F69" s="93">
        <v>8.6999999999999993</v>
      </c>
      <c r="G69" s="592">
        <v>16</v>
      </c>
      <c r="L69" s="169">
        <v>1</v>
      </c>
      <c r="M69" s="109" t="s">
        <v>645</v>
      </c>
      <c r="N69" s="140" t="s">
        <v>645</v>
      </c>
      <c r="O69" s="179"/>
      <c r="P69" s="160"/>
      <c r="Q69" s="160"/>
      <c r="W69" s="1266" t="s">
        <v>1814</v>
      </c>
      <c r="X69" s="1261" t="s">
        <v>546</v>
      </c>
      <c r="Y69" s="1263"/>
      <c r="Z69" s="1261" t="s">
        <v>663</v>
      </c>
      <c r="AA69" s="1263"/>
      <c r="AB69" s="1271"/>
      <c r="AC69" s="1262" t="s">
        <v>735</v>
      </c>
      <c r="AD69" s="2343" t="s">
        <v>2549</v>
      </c>
      <c r="AE69" s="2344"/>
      <c r="AF69" s="2345"/>
      <c r="AG69" s="1335" t="s">
        <v>80</v>
      </c>
      <c r="AH69" s="1336" t="s">
        <v>1917</v>
      </c>
      <c r="AI69" s="769" t="s">
        <v>499</v>
      </c>
      <c r="AJ69" s="1889" t="s">
        <v>80</v>
      </c>
      <c r="AK69" s="1890" t="s">
        <v>1917</v>
      </c>
      <c r="AL69" s="1889" t="s">
        <v>80</v>
      </c>
      <c r="AM69" s="1890" t="s">
        <v>1917</v>
      </c>
      <c r="BL69" s="274" t="s">
        <v>381</v>
      </c>
    </row>
    <row r="70" spans="1:71" ht="15.75" customHeight="1">
      <c r="A70" s="91" t="s">
        <v>597</v>
      </c>
      <c r="B70" s="92" t="s">
        <v>270</v>
      </c>
      <c r="C70" s="92">
        <v>2</v>
      </c>
      <c r="D70" s="92">
        <v>0</v>
      </c>
      <c r="E70" s="92">
        <v>1019</v>
      </c>
      <c r="F70" s="93">
        <v>6.5</v>
      </c>
      <c r="G70" s="592">
        <v>17</v>
      </c>
      <c r="L70" s="43"/>
      <c r="M70" s="109"/>
      <c r="N70" s="140"/>
      <c r="O70" s="179"/>
      <c r="P70" s="160"/>
      <c r="Q70" s="160"/>
      <c r="W70" s="1267" t="s">
        <v>1804</v>
      </c>
      <c r="X70" s="1256" t="s">
        <v>650</v>
      </c>
      <c r="Y70" s="1257" t="s">
        <v>1712</v>
      </c>
      <c r="Z70" s="1256" t="s">
        <v>650</v>
      </c>
      <c r="AA70" s="1257" t="s">
        <v>1712</v>
      </c>
      <c r="AB70" s="770" t="s">
        <v>632</v>
      </c>
      <c r="AC70" s="1258" t="s">
        <v>493</v>
      </c>
      <c r="AD70" s="1257" t="s">
        <v>696</v>
      </c>
      <c r="AE70" s="1256" t="s">
        <v>1877</v>
      </c>
      <c r="AF70" s="1280" t="s">
        <v>1880</v>
      </c>
      <c r="AG70" s="1280" t="s">
        <v>524</v>
      </c>
      <c r="AH70" s="1281" t="s">
        <v>524</v>
      </c>
      <c r="AI70" s="770" t="s">
        <v>2305</v>
      </c>
      <c r="AJ70" s="1880" t="s">
        <v>524</v>
      </c>
      <c r="AK70" s="1881" t="s">
        <v>524</v>
      </c>
      <c r="AL70" s="1894" t="s">
        <v>524</v>
      </c>
      <c r="AM70" s="1895" t="s">
        <v>524</v>
      </c>
    </row>
    <row r="71" spans="1:71" ht="13.5" thickBot="1">
      <c r="A71" s="91" t="s">
        <v>598</v>
      </c>
      <c r="B71" s="92" t="s">
        <v>286</v>
      </c>
      <c r="C71" s="92">
        <v>2</v>
      </c>
      <c r="D71" s="92">
        <v>0</v>
      </c>
      <c r="E71" s="92">
        <v>1202</v>
      </c>
      <c r="F71" s="93">
        <v>6</v>
      </c>
      <c r="G71" s="592">
        <v>18</v>
      </c>
      <c r="L71" s="173"/>
      <c r="M71" s="184"/>
      <c r="N71" s="185"/>
      <c r="O71" s="186"/>
      <c r="R71" s="27"/>
      <c r="S71" s="27"/>
      <c r="W71" s="1268"/>
      <c r="X71" s="1268"/>
      <c r="Y71" s="1270"/>
      <c r="Z71" s="1268"/>
      <c r="AA71" s="1270"/>
      <c r="AB71" s="1265"/>
      <c r="AC71" s="1269"/>
      <c r="AD71" s="1255"/>
      <c r="AE71" s="1254"/>
      <c r="AF71" s="1279"/>
      <c r="AG71" s="1337"/>
      <c r="AH71" s="1338"/>
      <c r="AI71" s="1265"/>
      <c r="AJ71" s="1337"/>
      <c r="AK71" s="1338"/>
      <c r="AL71" s="1337"/>
      <c r="AM71" s="1338"/>
      <c r="BL71" s="54" t="s">
        <v>382</v>
      </c>
      <c r="BM71" s="77"/>
      <c r="BN71" s="273" t="s">
        <v>717</v>
      </c>
      <c r="BO71" s="273" t="s">
        <v>207</v>
      </c>
      <c r="BP71" s="273" t="s">
        <v>208</v>
      </c>
      <c r="BQ71" s="507" t="s">
        <v>209</v>
      </c>
      <c r="BR71" s="507" t="s">
        <v>691</v>
      </c>
      <c r="BS71" s="507" t="s">
        <v>447</v>
      </c>
    </row>
    <row r="72" spans="1:71">
      <c r="A72" s="91" t="s">
        <v>306</v>
      </c>
      <c r="B72" s="92" t="s">
        <v>305</v>
      </c>
      <c r="C72" s="92">
        <v>12</v>
      </c>
      <c r="D72" s="92">
        <v>0</v>
      </c>
      <c r="E72" s="92">
        <v>366</v>
      </c>
      <c r="F72" s="93">
        <v>12.3</v>
      </c>
      <c r="G72" s="592">
        <v>19</v>
      </c>
      <c r="L72" s="187" t="s">
        <v>625</v>
      </c>
      <c r="M72" s="109" t="str">
        <f>INDEX($M$67:$O$71,ACDC1,2)</f>
        <v>AC-Motor</v>
      </c>
      <c r="N72" s="140"/>
      <c r="O72" s="179"/>
      <c r="R72" s="27"/>
      <c r="S72" s="27"/>
      <c r="W72" s="456" t="s">
        <v>29</v>
      </c>
      <c r="X72" s="85">
        <v>55</v>
      </c>
      <c r="Y72" s="85">
        <v>90</v>
      </c>
      <c r="Z72" s="1259">
        <v>50</v>
      </c>
      <c r="AA72" s="1260">
        <v>80</v>
      </c>
      <c r="AB72" s="85" t="s">
        <v>49</v>
      </c>
      <c r="AC72" s="45">
        <v>99999999</v>
      </c>
      <c r="AD72" s="85">
        <v>0</v>
      </c>
      <c r="AE72" s="45">
        <v>0</v>
      </c>
      <c r="AF72" s="1282">
        <v>0</v>
      </c>
      <c r="AG72" s="1760">
        <v>13</v>
      </c>
      <c r="AH72" s="1761">
        <v>15</v>
      </c>
      <c r="AI72" s="45">
        <v>35</v>
      </c>
      <c r="AJ72" s="1885">
        <v>14</v>
      </c>
      <c r="AK72" s="1886">
        <v>16</v>
      </c>
      <c r="AL72" s="1843">
        <f t="shared" ref="AL72:AL83" si="17">IF(_SIA2009,AJ72,AG72)</f>
        <v>13</v>
      </c>
      <c r="AM72" s="1883">
        <f t="shared" ref="AM72:AM83" si="18">IF(_SIA2009,AK72,AH72)</f>
        <v>15</v>
      </c>
      <c r="BL72" s="130" t="s">
        <v>446</v>
      </c>
      <c r="BM72" s="129"/>
      <c r="BN72" s="139">
        <f>F_s1</f>
        <v>0</v>
      </c>
      <c r="BO72" s="139">
        <f>F_s2</f>
        <v>0</v>
      </c>
      <c r="BP72" s="139">
        <f>F_s3</f>
        <v>0</v>
      </c>
      <c r="BQ72" s="455">
        <f>F_s4</f>
        <v>0</v>
      </c>
      <c r="BR72" s="360">
        <f>IF(EBF&gt;0,(BN72*_EBF1+BO72*_EBF2+BP72*_EBF3+BQ72*_EBF4)/EBF,0)</f>
        <v>0</v>
      </c>
      <c r="BS72" s="89"/>
    </row>
    <row r="73" spans="1:71" ht="15.75" customHeight="1">
      <c r="A73" s="91" t="s">
        <v>307</v>
      </c>
      <c r="B73" s="92" t="s">
        <v>305</v>
      </c>
      <c r="C73" s="92">
        <v>12</v>
      </c>
      <c r="D73" s="92">
        <v>0</v>
      </c>
      <c r="E73" s="92">
        <v>273</v>
      </c>
      <c r="F73" s="93">
        <v>12.4</v>
      </c>
      <c r="G73" s="592">
        <v>20</v>
      </c>
      <c r="L73" s="187" t="s">
        <v>626</v>
      </c>
      <c r="M73" s="109" t="str">
        <f>INDEX($M$67:$O$71,ACDC2,2)</f>
        <v>AC-Motor</v>
      </c>
      <c r="N73" s="140"/>
      <c r="O73" s="179"/>
      <c r="R73" s="27"/>
      <c r="S73" s="27"/>
      <c r="W73" s="456" t="s">
        <v>0</v>
      </c>
      <c r="X73" s="85">
        <v>55</v>
      </c>
      <c r="Y73" s="85">
        <v>90</v>
      </c>
      <c r="Z73" s="1163">
        <v>50</v>
      </c>
      <c r="AA73" s="1164">
        <v>80</v>
      </c>
      <c r="AB73" s="85" t="s">
        <v>50</v>
      </c>
      <c r="AC73" s="45">
        <v>99999999</v>
      </c>
      <c r="AD73" s="85">
        <v>0</v>
      </c>
      <c r="AE73" s="45">
        <v>0</v>
      </c>
      <c r="AF73" s="1282">
        <v>0</v>
      </c>
      <c r="AG73" s="1760">
        <v>16</v>
      </c>
      <c r="AH73" s="1761">
        <v>15</v>
      </c>
      <c r="AI73" s="45">
        <v>35</v>
      </c>
      <c r="AJ73" s="1885">
        <v>16</v>
      </c>
      <c r="AK73" s="1886">
        <v>16</v>
      </c>
      <c r="AL73" s="1892">
        <f t="shared" si="17"/>
        <v>16</v>
      </c>
      <c r="AM73" s="1893">
        <f t="shared" si="18"/>
        <v>15</v>
      </c>
      <c r="BL73" s="130" t="s">
        <v>101</v>
      </c>
      <c r="BM73" s="129"/>
      <c r="BN73" s="360">
        <f>BN72/3.6</f>
        <v>0</v>
      </c>
      <c r="BO73" s="360">
        <f>BO72/3.6</f>
        <v>0</v>
      </c>
      <c r="BP73" s="360">
        <f>BP72/3.6</f>
        <v>0</v>
      </c>
      <c r="BQ73" s="360">
        <f>BQ72/3.6</f>
        <v>0</v>
      </c>
      <c r="BR73" s="581">
        <f>BR72/3.6</f>
        <v>0</v>
      </c>
      <c r="BS73" s="123"/>
    </row>
    <row r="74" spans="1:71">
      <c r="A74" s="91" t="s">
        <v>281</v>
      </c>
      <c r="B74" s="92" t="s">
        <v>282</v>
      </c>
      <c r="C74" s="92">
        <v>7</v>
      </c>
      <c r="D74" s="92">
        <v>0</v>
      </c>
      <c r="E74" s="92">
        <v>456</v>
      </c>
      <c r="F74" s="93">
        <v>9.6999999999999993</v>
      </c>
      <c r="G74" s="592">
        <v>21</v>
      </c>
      <c r="L74" s="187" t="s">
        <v>627</v>
      </c>
      <c r="M74" s="109" t="str">
        <f>INDEX($M$67:$O$71,ACDC3,2)</f>
        <v>AC-Motor</v>
      </c>
      <c r="N74" s="140"/>
      <c r="O74" s="179"/>
      <c r="R74" s="27"/>
      <c r="S74" s="27"/>
      <c r="W74" s="456" t="s">
        <v>1805</v>
      </c>
      <c r="X74" s="1759">
        <v>80</v>
      </c>
      <c r="Y74" s="1759">
        <v>120</v>
      </c>
      <c r="Z74" s="1760">
        <v>75</v>
      </c>
      <c r="AA74" s="1761">
        <v>115</v>
      </c>
      <c r="AB74" s="85" t="s">
        <v>5</v>
      </c>
      <c r="AC74" s="45">
        <v>250</v>
      </c>
      <c r="AD74" s="1759">
        <v>20</v>
      </c>
      <c r="AE74" s="1762">
        <v>33</v>
      </c>
      <c r="AF74" s="1760">
        <v>7</v>
      </c>
      <c r="AG74" s="1760">
        <v>13</v>
      </c>
      <c r="AH74" s="1761">
        <v>15</v>
      </c>
      <c r="AI74" s="45">
        <v>35</v>
      </c>
      <c r="AJ74" s="1885">
        <v>16</v>
      </c>
      <c r="AK74" s="1886">
        <v>21</v>
      </c>
      <c r="AL74" s="1892">
        <f t="shared" si="17"/>
        <v>13</v>
      </c>
      <c r="AM74" s="1893">
        <f t="shared" si="18"/>
        <v>15</v>
      </c>
      <c r="BL74" s="36" t="s">
        <v>102</v>
      </c>
      <c r="BM74" s="118"/>
      <c r="BN74" s="582">
        <f>AG55</f>
        <v>0</v>
      </c>
      <c r="BO74" s="582">
        <f>AG56</f>
        <v>0</v>
      </c>
      <c r="BP74" s="582">
        <f>AG57</f>
        <v>0</v>
      </c>
      <c r="BQ74" s="582">
        <f>AG58</f>
        <v>0</v>
      </c>
      <c r="BR74" s="360">
        <f>SUM(BN74:BQ74)</f>
        <v>0</v>
      </c>
      <c r="BS74" s="123"/>
    </row>
    <row r="75" spans="1:71">
      <c r="A75" s="91" t="s">
        <v>599</v>
      </c>
      <c r="B75" s="92" t="s">
        <v>305</v>
      </c>
      <c r="C75" s="92">
        <v>12</v>
      </c>
      <c r="D75" s="92">
        <v>0</v>
      </c>
      <c r="E75" s="92">
        <v>197</v>
      </c>
      <c r="F75" s="93">
        <v>11.7</v>
      </c>
      <c r="G75" s="592">
        <v>22</v>
      </c>
      <c r="L75" s="188" t="s">
        <v>628</v>
      </c>
      <c r="M75" s="110" t="str">
        <f>INDEX($M$67:$O$71,ACDC4,2)</f>
        <v>AC-Motor</v>
      </c>
      <c r="N75" s="177"/>
      <c r="O75" s="178"/>
      <c r="R75" s="27"/>
      <c r="S75" s="27"/>
      <c r="W75" s="456" t="s">
        <v>1806</v>
      </c>
      <c r="X75" s="85">
        <v>45</v>
      </c>
      <c r="Y75" s="85">
        <v>85</v>
      </c>
      <c r="Z75" s="1163">
        <v>40</v>
      </c>
      <c r="AA75" s="1164">
        <v>75</v>
      </c>
      <c r="AB75" s="85" t="s">
        <v>7</v>
      </c>
      <c r="AC75" s="45">
        <v>250</v>
      </c>
      <c r="AD75" s="1759">
        <v>17</v>
      </c>
      <c r="AE75" s="1762">
        <v>10</v>
      </c>
      <c r="AF75" s="1760">
        <v>6</v>
      </c>
      <c r="AG75" s="1760">
        <v>14</v>
      </c>
      <c r="AH75" s="1761">
        <v>15</v>
      </c>
      <c r="AI75" s="45">
        <v>20</v>
      </c>
      <c r="AJ75" s="1885">
        <v>18</v>
      </c>
      <c r="AK75" s="1886">
        <v>18</v>
      </c>
      <c r="AL75" s="1892">
        <f t="shared" si="17"/>
        <v>14</v>
      </c>
      <c r="AM75" s="1893">
        <f t="shared" si="18"/>
        <v>15</v>
      </c>
      <c r="BL75" s="130" t="s">
        <v>103</v>
      </c>
      <c r="BM75" s="129"/>
      <c r="BN75" s="129"/>
      <c r="BO75" s="129"/>
      <c r="BP75" s="129"/>
      <c r="BQ75" s="342"/>
      <c r="BR75" s="583">
        <f>MAX(Nachweis!G58-MINERGIE_Wert,0)</f>
        <v>0</v>
      </c>
      <c r="BS75" s="123"/>
    </row>
    <row r="76" spans="1:71">
      <c r="A76" s="91" t="s">
        <v>301</v>
      </c>
      <c r="B76" s="92" t="s">
        <v>299</v>
      </c>
      <c r="C76" s="92">
        <v>10</v>
      </c>
      <c r="D76" s="92">
        <v>0</v>
      </c>
      <c r="E76" s="92">
        <v>1508</v>
      </c>
      <c r="F76" s="93">
        <v>5.9</v>
      </c>
      <c r="G76" s="592">
        <v>23</v>
      </c>
      <c r="W76" s="456" t="s">
        <v>1807</v>
      </c>
      <c r="X76" s="1759">
        <v>85</v>
      </c>
      <c r="Y76" s="1759">
        <v>110</v>
      </c>
      <c r="Z76" s="1760">
        <v>75</v>
      </c>
      <c r="AA76" s="1761">
        <v>100</v>
      </c>
      <c r="AB76" s="85" t="s">
        <v>9</v>
      </c>
      <c r="AC76" s="45">
        <v>250</v>
      </c>
      <c r="AD76" s="1759">
        <v>61</v>
      </c>
      <c r="AE76" s="1762">
        <v>10</v>
      </c>
      <c r="AF76" s="1760">
        <v>15</v>
      </c>
      <c r="AG76" s="1760">
        <v>7</v>
      </c>
      <c r="AH76" s="1761">
        <v>14</v>
      </c>
      <c r="AI76" s="45">
        <v>40</v>
      </c>
      <c r="AJ76" s="1885">
        <v>13</v>
      </c>
      <c r="AK76" s="1886">
        <v>16</v>
      </c>
      <c r="AL76" s="1892">
        <f t="shared" si="17"/>
        <v>7</v>
      </c>
      <c r="AM76" s="1893">
        <f t="shared" si="18"/>
        <v>14</v>
      </c>
      <c r="BL76" s="95" t="s">
        <v>104</v>
      </c>
      <c r="BM76" s="60"/>
      <c r="BN76" s="60"/>
      <c r="BO76" s="60"/>
      <c r="BP76" s="60"/>
      <c r="BQ76" s="119"/>
      <c r="BR76" s="583">
        <f>IF(BR73-Grau_Grenz&gt;0,-MIN(BR73-Grau_Grenz,BR75),0)</f>
        <v>0</v>
      </c>
      <c r="BS76" s="146"/>
    </row>
    <row r="77" spans="1:71">
      <c r="A77" s="91" t="s">
        <v>287</v>
      </c>
      <c r="B77" s="92" t="s">
        <v>270</v>
      </c>
      <c r="C77" s="92">
        <v>5</v>
      </c>
      <c r="D77" s="92">
        <v>0</v>
      </c>
      <c r="E77" s="92">
        <v>485</v>
      </c>
      <c r="F77" s="93">
        <v>10.3</v>
      </c>
      <c r="G77" s="592">
        <v>24</v>
      </c>
      <c r="W77" s="456" t="s">
        <v>1808</v>
      </c>
      <c r="X77" s="1759">
        <v>70</v>
      </c>
      <c r="Y77" s="1759">
        <v>100</v>
      </c>
      <c r="Z77" s="1760">
        <v>60</v>
      </c>
      <c r="AA77" s="1761">
        <v>90</v>
      </c>
      <c r="AB77" s="85" t="s">
        <v>10</v>
      </c>
      <c r="AC77" s="45">
        <v>250</v>
      </c>
      <c r="AD77" s="1759">
        <v>21</v>
      </c>
      <c r="AE77" s="1762">
        <v>9</v>
      </c>
      <c r="AF77" s="1760">
        <v>17</v>
      </c>
      <c r="AG77" s="1760">
        <v>16</v>
      </c>
      <c r="AH77" s="1761">
        <v>15</v>
      </c>
      <c r="AI77" s="45">
        <v>40</v>
      </c>
      <c r="AJ77" s="1885">
        <v>24</v>
      </c>
      <c r="AK77" s="1886">
        <v>19</v>
      </c>
      <c r="AL77" s="1892">
        <f t="shared" si="17"/>
        <v>16</v>
      </c>
      <c r="AM77" s="1893">
        <f t="shared" si="18"/>
        <v>15</v>
      </c>
      <c r="BL77" s="130" t="s">
        <v>105</v>
      </c>
      <c r="BM77" s="129"/>
      <c r="BN77" s="129"/>
      <c r="BO77" s="129"/>
      <c r="BP77" s="129"/>
      <c r="BQ77" s="342"/>
      <c r="BR77" s="581">
        <f>BR73+BR76</f>
        <v>0</v>
      </c>
      <c r="BS77" s="340">
        <v>50</v>
      </c>
    </row>
    <row r="78" spans="1:71">
      <c r="A78" s="91" t="s">
        <v>600</v>
      </c>
      <c r="B78" s="92" t="s">
        <v>286</v>
      </c>
      <c r="C78" s="92">
        <v>5</v>
      </c>
      <c r="D78" s="92">
        <v>0</v>
      </c>
      <c r="E78" s="92">
        <v>490</v>
      </c>
      <c r="F78" s="93">
        <v>9.4</v>
      </c>
      <c r="G78" s="592">
        <v>25</v>
      </c>
      <c r="T78" s="94"/>
      <c r="W78" s="1160" t="s">
        <v>1809</v>
      </c>
      <c r="X78" s="1759">
        <v>60</v>
      </c>
      <c r="Y78" s="1759">
        <v>95</v>
      </c>
      <c r="Z78" s="1760">
        <v>50</v>
      </c>
      <c r="AA78" s="1761">
        <v>85</v>
      </c>
      <c r="AB78" s="94" t="s">
        <v>227</v>
      </c>
      <c r="AC78" s="247">
        <v>250</v>
      </c>
      <c r="AD78" s="1759">
        <v>33</v>
      </c>
      <c r="AE78" s="1762">
        <v>8</v>
      </c>
      <c r="AF78" s="1760">
        <v>8</v>
      </c>
      <c r="AG78" s="1760">
        <v>18</v>
      </c>
      <c r="AH78" s="1761">
        <v>15</v>
      </c>
      <c r="AI78" s="45">
        <v>25</v>
      </c>
      <c r="AJ78" s="1885">
        <v>24</v>
      </c>
      <c r="AK78" s="1886">
        <v>19</v>
      </c>
      <c r="AL78" s="1892">
        <f t="shared" si="17"/>
        <v>18</v>
      </c>
      <c r="AM78" s="1893">
        <f t="shared" si="18"/>
        <v>15</v>
      </c>
    </row>
    <row r="79" spans="1:71">
      <c r="A79" s="91" t="s">
        <v>601</v>
      </c>
      <c r="B79" s="92" t="s">
        <v>305</v>
      </c>
      <c r="C79" s="92">
        <v>12</v>
      </c>
      <c r="D79" s="92">
        <v>0</v>
      </c>
      <c r="E79" s="92">
        <v>1007</v>
      </c>
      <c r="F79" s="93">
        <v>7.8</v>
      </c>
      <c r="G79" s="592">
        <v>26</v>
      </c>
      <c r="T79" s="94"/>
      <c r="W79" s="1160" t="s">
        <v>1810</v>
      </c>
      <c r="X79" s="1759">
        <v>100</v>
      </c>
      <c r="Y79" s="1759">
        <v>125</v>
      </c>
      <c r="Z79" s="1760">
        <v>90</v>
      </c>
      <c r="AA79" s="1761">
        <v>120</v>
      </c>
      <c r="AB79" s="94" t="s">
        <v>228</v>
      </c>
      <c r="AC79" s="247">
        <v>250</v>
      </c>
      <c r="AD79" s="1759">
        <v>27</v>
      </c>
      <c r="AE79" s="1762">
        <v>17</v>
      </c>
      <c r="AF79" s="1760">
        <v>16</v>
      </c>
      <c r="AG79" s="1760">
        <v>18</v>
      </c>
      <c r="AH79" s="1761">
        <v>17</v>
      </c>
      <c r="AI79" s="45">
        <v>50</v>
      </c>
      <c r="AJ79" s="1885">
        <v>20</v>
      </c>
      <c r="AK79" s="1886">
        <v>20</v>
      </c>
      <c r="AL79" s="1892">
        <f t="shared" si="17"/>
        <v>18</v>
      </c>
      <c r="AM79" s="1893">
        <f t="shared" si="18"/>
        <v>17</v>
      </c>
    </row>
    <row r="80" spans="1:71">
      <c r="A80" s="91" t="s">
        <v>602</v>
      </c>
      <c r="B80" s="92" t="s">
        <v>286</v>
      </c>
      <c r="C80" s="92">
        <v>5</v>
      </c>
      <c r="D80" s="92">
        <v>0</v>
      </c>
      <c r="E80" s="92">
        <v>461</v>
      </c>
      <c r="F80" s="93">
        <v>10.9</v>
      </c>
      <c r="G80" s="592">
        <v>27</v>
      </c>
      <c r="T80" s="94"/>
      <c r="W80" s="1160" t="s">
        <v>1811</v>
      </c>
      <c r="X80" s="1759">
        <v>55</v>
      </c>
      <c r="Y80" s="1759">
        <v>105</v>
      </c>
      <c r="Z80" s="1760">
        <v>45</v>
      </c>
      <c r="AA80" s="1761">
        <v>95</v>
      </c>
      <c r="AB80" s="94" t="s">
        <v>229</v>
      </c>
      <c r="AC80" s="247">
        <v>250</v>
      </c>
      <c r="AD80" s="1759">
        <v>27</v>
      </c>
      <c r="AE80" s="1762">
        <v>14</v>
      </c>
      <c r="AF80" s="1760">
        <v>13</v>
      </c>
      <c r="AG80" s="1760">
        <v>10</v>
      </c>
      <c r="AH80" s="1761">
        <v>14</v>
      </c>
      <c r="AI80" s="45">
        <v>30</v>
      </c>
      <c r="AJ80" s="1885">
        <v>15</v>
      </c>
      <c r="AK80" s="1886">
        <v>18</v>
      </c>
      <c r="AL80" s="1892">
        <f t="shared" si="17"/>
        <v>10</v>
      </c>
      <c r="AM80" s="1893">
        <f t="shared" si="18"/>
        <v>14</v>
      </c>
    </row>
    <row r="81" spans="1:39" ht="15.75">
      <c r="A81" s="91" t="s">
        <v>308</v>
      </c>
      <c r="B81" s="92" t="s">
        <v>295</v>
      </c>
      <c r="C81" s="92">
        <v>12</v>
      </c>
      <c r="D81" s="92">
        <v>0</v>
      </c>
      <c r="E81" s="92">
        <v>1078</v>
      </c>
      <c r="F81" s="93">
        <v>7</v>
      </c>
      <c r="G81" s="592">
        <v>28</v>
      </c>
      <c r="I81" s="477" t="s">
        <v>665</v>
      </c>
      <c r="N81" s="477" t="s">
        <v>545</v>
      </c>
      <c r="O81" s="94"/>
      <c r="P81" s="274"/>
      <c r="Q81" s="53"/>
      <c r="S81" s="27"/>
      <c r="T81" s="27"/>
      <c r="W81" s="456" t="s">
        <v>1812</v>
      </c>
      <c r="X81" s="1759">
        <v>45</v>
      </c>
      <c r="Y81" s="1759">
        <v>65</v>
      </c>
      <c r="Z81" s="1760">
        <v>35</v>
      </c>
      <c r="AA81" s="1761">
        <v>55</v>
      </c>
      <c r="AB81" s="85" t="s">
        <v>230</v>
      </c>
      <c r="AC81" s="45">
        <v>250</v>
      </c>
      <c r="AD81" s="1759">
        <v>37</v>
      </c>
      <c r="AE81" s="1762">
        <v>8</v>
      </c>
      <c r="AF81" s="1760">
        <v>3</v>
      </c>
      <c r="AG81" s="1760">
        <v>14</v>
      </c>
      <c r="AH81" s="1761">
        <v>14</v>
      </c>
      <c r="AI81" s="45">
        <v>25</v>
      </c>
      <c r="AJ81" s="1885">
        <v>15</v>
      </c>
      <c r="AK81" s="1886">
        <v>18</v>
      </c>
      <c r="AL81" s="1892">
        <f t="shared" si="17"/>
        <v>14</v>
      </c>
      <c r="AM81" s="1893">
        <f t="shared" si="18"/>
        <v>14</v>
      </c>
    </row>
    <row r="82" spans="1:39">
      <c r="A82" s="91" t="s">
        <v>603</v>
      </c>
      <c r="B82" s="92" t="s">
        <v>253</v>
      </c>
      <c r="C82" s="92">
        <v>1</v>
      </c>
      <c r="D82" s="92">
        <v>0</v>
      </c>
      <c r="E82" s="92">
        <v>610</v>
      </c>
      <c r="F82" s="93">
        <v>9.1</v>
      </c>
      <c r="G82" s="592">
        <v>29</v>
      </c>
      <c r="I82" s="95" t="s">
        <v>674</v>
      </c>
      <c r="J82" s="42"/>
      <c r="K82" s="42"/>
      <c r="N82" s="473" t="s">
        <v>650</v>
      </c>
      <c r="O82" s="474"/>
      <c r="P82" s="475" t="s">
        <v>12</v>
      </c>
      <c r="Q82" s="476" t="s">
        <v>651</v>
      </c>
      <c r="S82" s="27"/>
      <c r="T82" s="27"/>
      <c r="W82" s="456" t="s">
        <v>1813</v>
      </c>
      <c r="X82" s="1759">
        <v>45</v>
      </c>
      <c r="Y82" s="1759">
        <v>65</v>
      </c>
      <c r="Z82" s="1760">
        <v>40</v>
      </c>
      <c r="AA82" s="1761">
        <v>55</v>
      </c>
      <c r="AB82" s="85" t="s">
        <v>231</v>
      </c>
      <c r="AC82" s="45">
        <v>250</v>
      </c>
      <c r="AD82" s="1759">
        <v>28</v>
      </c>
      <c r="AE82" s="1762">
        <v>4</v>
      </c>
      <c r="AF82" s="1760">
        <v>6</v>
      </c>
      <c r="AG82" s="1760">
        <v>16</v>
      </c>
      <c r="AH82" s="1761">
        <v>14</v>
      </c>
      <c r="AI82" s="45">
        <v>25</v>
      </c>
      <c r="AJ82" s="1885">
        <v>19</v>
      </c>
      <c r="AK82" s="1886">
        <v>18</v>
      </c>
      <c r="AL82" s="1892">
        <f t="shared" si="17"/>
        <v>16</v>
      </c>
      <c r="AM82" s="1893">
        <f t="shared" si="18"/>
        <v>14</v>
      </c>
    </row>
    <row r="83" spans="1:39">
      <c r="A83" s="91" t="s">
        <v>604</v>
      </c>
      <c r="B83" s="92" t="s">
        <v>295</v>
      </c>
      <c r="C83" s="92">
        <v>11</v>
      </c>
      <c r="D83" s="92">
        <v>8</v>
      </c>
      <c r="E83" s="92">
        <v>1705</v>
      </c>
      <c r="F83" s="93">
        <v>1.8</v>
      </c>
      <c r="G83" s="592">
        <v>30</v>
      </c>
      <c r="I83" s="385"/>
      <c r="J83" s="386" t="s">
        <v>666</v>
      </c>
      <c r="K83" s="387"/>
      <c r="L83" s="28" t="s">
        <v>667</v>
      </c>
      <c r="M83" s="64"/>
      <c r="N83" s="28" t="s">
        <v>546</v>
      </c>
      <c r="O83" s="2336" t="s">
        <v>13</v>
      </c>
      <c r="P83" s="2337"/>
      <c r="Q83" s="334" t="s">
        <v>546</v>
      </c>
      <c r="R83" s="334" t="s">
        <v>663</v>
      </c>
      <c r="S83" s="27"/>
      <c r="T83" s="27"/>
      <c r="U83" s="27"/>
      <c r="V83" s="27"/>
      <c r="W83" s="1234" t="s">
        <v>8</v>
      </c>
      <c r="X83" s="138">
        <v>0</v>
      </c>
      <c r="Y83" s="138">
        <v>0</v>
      </c>
      <c r="Z83" s="1165">
        <v>0</v>
      </c>
      <c r="AA83" s="1166">
        <v>0</v>
      </c>
      <c r="AB83" s="1233" t="s">
        <v>720</v>
      </c>
      <c r="AC83" s="49">
        <v>99999999</v>
      </c>
      <c r="AD83" s="138">
        <v>0</v>
      </c>
      <c r="AE83" s="49">
        <v>0</v>
      </c>
      <c r="AF83" s="1283">
        <v>0</v>
      </c>
      <c r="AG83" s="1865">
        <v>15</v>
      </c>
      <c r="AH83" s="1866">
        <v>18</v>
      </c>
      <c r="AI83" s="49">
        <v>0</v>
      </c>
      <c r="AJ83" s="1887">
        <v>18</v>
      </c>
      <c r="AK83" s="1888">
        <v>23</v>
      </c>
      <c r="AL83" s="1896">
        <f t="shared" si="17"/>
        <v>15</v>
      </c>
      <c r="AM83" s="1897">
        <f t="shared" si="18"/>
        <v>18</v>
      </c>
    </row>
    <row r="84" spans="1:39">
      <c r="A84" s="91" t="s">
        <v>605</v>
      </c>
      <c r="B84" s="92" t="s">
        <v>295</v>
      </c>
      <c r="C84" s="92">
        <v>12</v>
      </c>
      <c r="D84" s="92">
        <v>2</v>
      </c>
      <c r="E84" s="92">
        <v>1639</v>
      </c>
      <c r="F84" s="93">
        <v>3.9</v>
      </c>
      <c r="G84" s="592">
        <v>31</v>
      </c>
      <c r="H84" s="46">
        <v>1</v>
      </c>
      <c r="I84" s="47"/>
      <c r="J84" s="375" t="s">
        <v>199</v>
      </c>
      <c r="K84" s="376" t="s">
        <v>199</v>
      </c>
      <c r="L84" s="95"/>
      <c r="M84" s="119"/>
      <c r="N84" s="95"/>
      <c r="O84" s="470"/>
      <c r="P84" s="119"/>
      <c r="Q84" s="146"/>
      <c r="R84" s="123"/>
      <c r="S84" s="27"/>
      <c r="T84" s="27"/>
      <c r="U84" s="27"/>
      <c r="V84" s="27"/>
      <c r="X84" s="774" t="s">
        <v>524</v>
      </c>
      <c r="Y84" s="774" t="s">
        <v>524</v>
      </c>
      <c r="Z84" s="774" t="s">
        <v>524</v>
      </c>
      <c r="AA84" s="774" t="s">
        <v>524</v>
      </c>
      <c r="AB84" s="774"/>
      <c r="AC84" s="774" t="s">
        <v>321</v>
      </c>
      <c r="AD84" s="774" t="s">
        <v>524</v>
      </c>
      <c r="AE84" s="774" t="s">
        <v>524</v>
      </c>
      <c r="AF84" s="774" t="s">
        <v>524</v>
      </c>
    </row>
    <row r="85" spans="1:39">
      <c r="A85" s="91" t="s">
        <v>276</v>
      </c>
      <c r="B85" s="92" t="s">
        <v>277</v>
      </c>
      <c r="C85" s="92">
        <v>3</v>
      </c>
      <c r="D85" s="92">
        <v>0</v>
      </c>
      <c r="E85" s="92">
        <v>779</v>
      </c>
      <c r="F85" s="93">
        <v>8.1999999999999993</v>
      </c>
      <c r="G85" s="592">
        <v>32</v>
      </c>
      <c r="H85" s="46">
        <v>2</v>
      </c>
      <c r="I85" s="374" t="str">
        <f t="shared" ref="I85:I96" si="19">I10</f>
        <v>MFH</v>
      </c>
      <c r="J85" s="377" t="str">
        <f>AA47</f>
        <v>Ja</v>
      </c>
      <c r="K85" s="378" t="str">
        <f>AA47</f>
        <v>Ja</v>
      </c>
      <c r="L85" s="42" t="b">
        <v>1</v>
      </c>
      <c r="M85" s="53" t="b">
        <v>1</v>
      </c>
      <c r="N85" s="459">
        <v>0.9</v>
      </c>
      <c r="O85" s="471">
        <v>0.6</v>
      </c>
      <c r="P85" s="458">
        <v>15</v>
      </c>
      <c r="Q85" s="467">
        <v>0</v>
      </c>
      <c r="R85" s="467">
        <f>0.8</f>
        <v>0.8</v>
      </c>
      <c r="S85" s="27"/>
      <c r="T85" s="27"/>
      <c r="U85" s="27"/>
      <c r="V85" s="27"/>
    </row>
    <row r="86" spans="1:39">
      <c r="A86" s="91" t="s">
        <v>274</v>
      </c>
      <c r="B86" s="92" t="s">
        <v>275</v>
      </c>
      <c r="C86" s="92">
        <v>3</v>
      </c>
      <c r="D86" s="92">
        <v>0</v>
      </c>
      <c r="E86" s="92">
        <v>437</v>
      </c>
      <c r="F86" s="93">
        <v>9.4</v>
      </c>
      <c r="G86" s="592">
        <v>33</v>
      </c>
      <c r="H86" s="46">
        <v>3</v>
      </c>
      <c r="I86" s="37" t="str">
        <f t="shared" si="19"/>
        <v>EFH</v>
      </c>
      <c r="J86" s="379" t="str">
        <f>AA47</f>
        <v>Ja</v>
      </c>
      <c r="K86" s="380" t="str">
        <f>AA47</f>
        <v>Ja</v>
      </c>
      <c r="L86" s="42" t="b">
        <v>1</v>
      </c>
      <c r="M86" s="53" t="b">
        <v>1</v>
      </c>
      <c r="N86" s="459">
        <v>0.9</v>
      </c>
      <c r="O86" s="471">
        <v>0.6</v>
      </c>
      <c r="P86" s="460">
        <v>15</v>
      </c>
      <c r="Q86" s="468">
        <v>0</v>
      </c>
      <c r="R86" s="468">
        <f t="shared" ref="R86:R95" si="20">0.8</f>
        <v>0.8</v>
      </c>
      <c r="S86" s="27"/>
      <c r="T86" s="27"/>
      <c r="U86" s="27"/>
      <c r="V86" s="27"/>
      <c r="W86" s="27" t="str">
        <f>MINERGIE!B33</f>
        <v>Aufzugsanlage / Lift vorhanden?</v>
      </c>
      <c r="X86" s="774" t="s">
        <v>650</v>
      </c>
      <c r="Y86" s="774" t="s">
        <v>3419</v>
      </c>
    </row>
    <row r="87" spans="1:39">
      <c r="A87" s="91" t="s">
        <v>304</v>
      </c>
      <c r="B87" s="92" t="s">
        <v>295</v>
      </c>
      <c r="C87" s="92">
        <v>11</v>
      </c>
      <c r="D87" s="92">
        <v>2</v>
      </c>
      <c r="E87" s="92">
        <v>1298</v>
      </c>
      <c r="F87" s="93">
        <v>5.5</v>
      </c>
      <c r="G87" s="592">
        <v>34</v>
      </c>
      <c r="H87" s="46">
        <v>4</v>
      </c>
      <c r="I87" s="37" t="str">
        <f t="shared" si="19"/>
        <v>Verwaltung</v>
      </c>
      <c r="J87" s="379" t="str">
        <f>AA47</f>
        <v>Ja</v>
      </c>
      <c r="K87" s="380" t="str">
        <f>AA48</f>
        <v>Nein</v>
      </c>
      <c r="L87" s="42" t="b">
        <v>1</v>
      </c>
      <c r="M87" s="53" t="b">
        <v>0</v>
      </c>
      <c r="N87" s="459">
        <v>0.9</v>
      </c>
      <c r="O87" s="471">
        <v>0.6</v>
      </c>
      <c r="P87" s="460">
        <v>15</v>
      </c>
      <c r="Q87" s="468">
        <v>0</v>
      </c>
      <c r="R87" s="468">
        <f t="shared" si="20"/>
        <v>0.8</v>
      </c>
      <c r="S87" s="27"/>
      <c r="T87" s="27"/>
      <c r="U87" s="27"/>
      <c r="V87" s="108">
        <v>1</v>
      </c>
      <c r="W87" s="89" t="str">
        <f>MINERGIE!B34</f>
        <v>Alle Geschirrspüler Klasse A+++</v>
      </c>
      <c r="X87" s="1471">
        <v>0.01</v>
      </c>
      <c r="Y87" s="1199">
        <v>0.04</v>
      </c>
      <c r="AA87" s="1324" t="s">
        <v>3660</v>
      </c>
      <c r="AB87" s="1325"/>
      <c r="AC87" s="1326"/>
      <c r="AF87" s="1324" t="s">
        <v>3136</v>
      </c>
      <c r="AG87" s="1324" t="s">
        <v>3147</v>
      </c>
      <c r="AH87" s="1715">
        <f>Anteil_WP</f>
        <v>0</v>
      </c>
      <c r="AI87" s="1326"/>
    </row>
    <row r="88" spans="1:39">
      <c r="A88" s="91" t="s">
        <v>302</v>
      </c>
      <c r="B88" s="92" t="s">
        <v>299</v>
      </c>
      <c r="C88" s="92">
        <v>10</v>
      </c>
      <c r="D88" s="92">
        <v>0</v>
      </c>
      <c r="E88" s="92">
        <v>482</v>
      </c>
      <c r="F88" s="93">
        <v>10.1</v>
      </c>
      <c r="G88" s="592">
        <v>35</v>
      </c>
      <c r="H88" s="46">
        <v>5</v>
      </c>
      <c r="I88" s="37" t="str">
        <f t="shared" si="19"/>
        <v>Schule</v>
      </c>
      <c r="J88" s="379" t="str">
        <f>AA47</f>
        <v>Ja</v>
      </c>
      <c r="K88" s="380" t="str">
        <f>AA48</f>
        <v>Nein</v>
      </c>
      <c r="L88" s="42" t="b">
        <v>1</v>
      </c>
      <c r="M88" s="53" t="b">
        <v>0</v>
      </c>
      <c r="N88" s="459">
        <v>0.9</v>
      </c>
      <c r="O88" s="471">
        <v>0.6</v>
      </c>
      <c r="P88" s="460">
        <v>15</v>
      </c>
      <c r="Q88" s="468">
        <v>0</v>
      </c>
      <c r="R88" s="468">
        <f t="shared" si="20"/>
        <v>0.8</v>
      </c>
      <c r="S88" s="27"/>
      <c r="T88" s="27"/>
      <c r="U88" s="27"/>
      <c r="V88" s="108">
        <v>2</v>
      </c>
      <c r="W88" s="123" t="str">
        <f>MINERGIE!B35</f>
        <v>Alle Kühl- und Gefrierschränke A+++</v>
      </c>
      <c r="X88" s="1470">
        <v>0.03</v>
      </c>
      <c r="Y88" s="1200">
        <v>0.05</v>
      </c>
      <c r="AA88" s="89"/>
      <c r="AB88" s="89"/>
      <c r="AC88" s="118"/>
      <c r="AF88" s="1706" t="s">
        <v>3148</v>
      </c>
      <c r="AG88" s="1708" t="s">
        <v>3139</v>
      </c>
      <c r="AH88" s="1708" t="s">
        <v>3140</v>
      </c>
      <c r="AI88" s="1707" t="s">
        <v>3141</v>
      </c>
    </row>
    <row r="89" spans="1:39">
      <c r="A89" s="91" t="s">
        <v>606</v>
      </c>
      <c r="B89" s="92" t="s">
        <v>618</v>
      </c>
      <c r="C89" s="92">
        <v>10</v>
      </c>
      <c r="D89" s="92">
        <v>0</v>
      </c>
      <c r="E89" s="92">
        <v>1345</v>
      </c>
      <c r="F89" s="93">
        <v>3.7</v>
      </c>
      <c r="G89" s="592">
        <v>36</v>
      </c>
      <c r="H89" s="46">
        <v>6</v>
      </c>
      <c r="I89" s="37" t="str">
        <f t="shared" si="19"/>
        <v>Verkauf</v>
      </c>
      <c r="J89" s="379" t="str">
        <f>AA47</f>
        <v>Ja</v>
      </c>
      <c r="K89" s="380" t="str">
        <f>AA48</f>
        <v>Nein</v>
      </c>
      <c r="L89" s="42" t="b">
        <v>1</v>
      </c>
      <c r="M89" s="53" t="b">
        <v>0</v>
      </c>
      <c r="N89" s="459">
        <v>0.9</v>
      </c>
      <c r="O89" s="471">
        <v>0.6</v>
      </c>
      <c r="P89" s="460">
        <v>15</v>
      </c>
      <c r="Q89" s="468">
        <v>0</v>
      </c>
      <c r="R89" s="468">
        <f t="shared" si="20"/>
        <v>0.8</v>
      </c>
      <c r="S89" s="27"/>
      <c r="T89" s="27"/>
      <c r="U89" s="27"/>
      <c r="V89" s="108">
        <v>3</v>
      </c>
      <c r="W89" s="123" t="str">
        <f>MINERGIE!B36</f>
        <v>Alle Waschmaschinen Klasse A+++</v>
      </c>
      <c r="X89" s="1470">
        <v>0.01</v>
      </c>
      <c r="Y89" s="1200">
        <v>0.03</v>
      </c>
      <c r="AA89" s="146"/>
      <c r="AB89" s="848" t="s">
        <v>650</v>
      </c>
      <c r="AC89" s="1329" t="s">
        <v>1712</v>
      </c>
      <c r="AF89" s="1704" t="s">
        <v>3137</v>
      </c>
      <c r="AG89" s="1709"/>
      <c r="AH89" s="1709"/>
      <c r="AI89" s="1439"/>
    </row>
    <row r="90" spans="1:39">
      <c r="A90" s="91" t="s">
        <v>607</v>
      </c>
      <c r="B90" s="92" t="s">
        <v>619</v>
      </c>
      <c r="C90" s="92">
        <v>6</v>
      </c>
      <c r="D90" s="92">
        <v>0</v>
      </c>
      <c r="E90" s="92">
        <v>460</v>
      </c>
      <c r="F90" s="93">
        <v>10</v>
      </c>
      <c r="G90" s="592">
        <v>37</v>
      </c>
      <c r="H90" s="46">
        <v>7</v>
      </c>
      <c r="I90" s="37" t="str">
        <f t="shared" si="19"/>
        <v>Restaurant</v>
      </c>
      <c r="J90" s="379" t="str">
        <f>AA48</f>
        <v>Nein</v>
      </c>
      <c r="K90" s="380" t="str">
        <f>AA48</f>
        <v>Nein</v>
      </c>
      <c r="L90" s="42" t="b">
        <v>0</v>
      </c>
      <c r="M90" s="53" t="b">
        <v>0</v>
      </c>
      <c r="N90" s="459">
        <v>0.9</v>
      </c>
      <c r="O90" s="471">
        <v>0.6</v>
      </c>
      <c r="P90" s="460">
        <v>15</v>
      </c>
      <c r="Q90" s="468">
        <v>0</v>
      </c>
      <c r="R90" s="468">
        <f t="shared" si="20"/>
        <v>0.8</v>
      </c>
      <c r="S90" s="27"/>
      <c r="T90" s="27"/>
      <c r="U90" s="27"/>
      <c r="V90" s="108">
        <v>4</v>
      </c>
      <c r="W90" s="123" t="str">
        <f>MINERGIE!B37</f>
        <v>Alle Wäschetrockner Klasse A+++</v>
      </c>
      <c r="X90" s="1470">
        <v>0.03</v>
      </c>
      <c r="Y90" s="1200">
        <v>7.0000000000000007E-2</v>
      </c>
      <c r="AA90" s="584" t="s">
        <v>313</v>
      </c>
      <c r="AB90" s="1330">
        <v>1</v>
      </c>
      <c r="AC90" s="1327"/>
      <c r="AF90" s="109">
        <v>0</v>
      </c>
      <c r="AG90" s="45">
        <v>-0.5</v>
      </c>
      <c r="AH90" s="45">
        <v>30</v>
      </c>
      <c r="AI90" s="1699">
        <v>-12</v>
      </c>
    </row>
    <row r="91" spans="1:39">
      <c r="A91" s="91" t="s">
        <v>608</v>
      </c>
      <c r="B91" s="92" t="s">
        <v>271</v>
      </c>
      <c r="C91" s="92">
        <v>4</v>
      </c>
      <c r="D91" s="92">
        <v>0</v>
      </c>
      <c r="E91" s="92">
        <v>422</v>
      </c>
      <c r="F91" s="93">
        <v>9</v>
      </c>
      <c r="G91" s="592">
        <v>38</v>
      </c>
      <c r="H91" s="46">
        <v>8</v>
      </c>
      <c r="I91" s="37" t="str">
        <f t="shared" si="19"/>
        <v>Vers.-Lokal</v>
      </c>
      <c r="J91" s="379" t="str">
        <f>AA47</f>
        <v>Ja</v>
      </c>
      <c r="K91" s="380" t="str">
        <f>AA48</f>
        <v>Nein</v>
      </c>
      <c r="L91" s="42" t="b">
        <v>1</v>
      </c>
      <c r="M91" s="53" t="b">
        <v>0</v>
      </c>
      <c r="N91" s="459">
        <v>0.9</v>
      </c>
      <c r="O91" s="471">
        <v>0.6</v>
      </c>
      <c r="P91" s="460">
        <v>15</v>
      </c>
      <c r="Q91" s="468">
        <v>0</v>
      </c>
      <c r="R91" s="468">
        <f t="shared" si="20"/>
        <v>0.8</v>
      </c>
      <c r="S91" s="504" t="s">
        <v>698</v>
      </c>
      <c r="T91" s="454"/>
      <c r="U91" s="94"/>
      <c r="V91" s="1469">
        <v>5</v>
      </c>
      <c r="W91" s="123" t="str">
        <f>MINERGIE!B38</f>
        <v>Alles Induktionskochherde</v>
      </c>
      <c r="X91" s="1470">
        <v>0.01</v>
      </c>
      <c r="Y91" s="1200">
        <v>0.02</v>
      </c>
      <c r="AA91" s="584" t="s">
        <v>652</v>
      </c>
      <c r="AB91" s="1330">
        <v>0.7</v>
      </c>
      <c r="AC91" s="1327">
        <v>0.9</v>
      </c>
      <c r="AF91" s="109">
        <v>5</v>
      </c>
      <c r="AG91" s="45">
        <v>-0.6</v>
      </c>
      <c r="AH91" s="45">
        <v>40</v>
      </c>
      <c r="AI91" s="1699">
        <v>-8</v>
      </c>
    </row>
    <row r="92" spans="1:39">
      <c r="A92" s="91" t="s">
        <v>303</v>
      </c>
      <c r="B92" s="92" t="s">
        <v>299</v>
      </c>
      <c r="C92" s="92">
        <v>10</v>
      </c>
      <c r="D92" s="92">
        <v>2</v>
      </c>
      <c r="E92" s="92">
        <v>1638</v>
      </c>
      <c r="F92" s="93">
        <v>4.3</v>
      </c>
      <c r="G92" s="592">
        <v>39</v>
      </c>
      <c r="H92" s="46">
        <v>9</v>
      </c>
      <c r="I92" s="37" t="str">
        <f t="shared" si="19"/>
        <v>Spitäler</v>
      </c>
      <c r="J92" s="379" t="str">
        <f>AA47</f>
        <v>Ja</v>
      </c>
      <c r="K92" s="380" t="str">
        <f>AA47</f>
        <v>Ja</v>
      </c>
      <c r="L92" s="42" t="b">
        <v>1</v>
      </c>
      <c r="M92" s="53" t="b">
        <v>1</v>
      </c>
      <c r="N92" s="459">
        <v>0.9</v>
      </c>
      <c r="O92" s="471">
        <v>0.6</v>
      </c>
      <c r="P92" s="460">
        <v>15</v>
      </c>
      <c r="Q92" s="468">
        <v>0</v>
      </c>
      <c r="R92" s="468">
        <f t="shared" si="20"/>
        <v>0.8</v>
      </c>
      <c r="S92" s="505" t="s">
        <v>555</v>
      </c>
      <c r="T92" s="452">
        <v>1</v>
      </c>
      <c r="U92" s="94"/>
      <c r="V92" s="1469">
        <v>6</v>
      </c>
      <c r="W92" s="123" t="str">
        <f>MINERGIE!B39</f>
        <v>Feste Wohnungsbeleuchtung LED A++</v>
      </c>
      <c r="X92" s="1820">
        <v>0</v>
      </c>
      <c r="Y92" s="1821">
        <v>0</v>
      </c>
      <c r="AA92" s="585" t="s">
        <v>832</v>
      </c>
      <c r="AB92" s="1331">
        <v>1</v>
      </c>
      <c r="AC92" s="1284"/>
      <c r="AF92" s="110">
        <v>10</v>
      </c>
      <c r="AG92" s="49">
        <v>-0.7</v>
      </c>
      <c r="AH92" s="49">
        <v>45</v>
      </c>
      <c r="AI92" s="1700">
        <v>-3</v>
      </c>
    </row>
    <row r="93" spans="1:39">
      <c r="A93" s="91" t="s">
        <v>609</v>
      </c>
      <c r="B93" s="92" t="s">
        <v>279</v>
      </c>
      <c r="C93" s="92">
        <v>3</v>
      </c>
      <c r="D93" s="92">
        <v>0</v>
      </c>
      <c r="E93" s="92">
        <v>425</v>
      </c>
      <c r="F93" s="93">
        <v>9.4</v>
      </c>
      <c r="G93" s="592">
        <v>40</v>
      </c>
      <c r="H93" s="46">
        <v>10</v>
      </c>
      <c r="I93" s="37" t="str">
        <f t="shared" si="19"/>
        <v>Industrie</v>
      </c>
      <c r="J93" s="379" t="str">
        <f>AA47</f>
        <v>Ja</v>
      </c>
      <c r="K93" s="380" t="str">
        <f>AA48</f>
        <v>Nein</v>
      </c>
      <c r="L93" s="42" t="b">
        <v>1</v>
      </c>
      <c r="M93" s="53" t="b">
        <v>0</v>
      </c>
      <c r="N93" s="459">
        <v>0.9</v>
      </c>
      <c r="O93" s="471">
        <v>0.6</v>
      </c>
      <c r="P93" s="460">
        <v>15</v>
      </c>
      <c r="Q93" s="468">
        <v>0</v>
      </c>
      <c r="R93" s="468">
        <f t="shared" si="20"/>
        <v>0.8</v>
      </c>
      <c r="S93" s="505" t="s">
        <v>556</v>
      </c>
      <c r="T93" s="453">
        <v>1</v>
      </c>
      <c r="V93" s="108">
        <v>7</v>
      </c>
      <c r="W93" s="123" t="str">
        <f>MINERGIE!B40</f>
        <v>Beleuchtung LED A++ &amp; Regelung</v>
      </c>
      <c r="X93" s="1820">
        <v>0.03</v>
      </c>
      <c r="Y93" s="1821">
        <v>0.06</v>
      </c>
      <c r="AA93" s="1332" t="str">
        <f>IF(MUKEN,"",IF(minergiea,AA92,IF(minergiep,AA91,AA90)))</f>
        <v>MINERGIE</v>
      </c>
      <c r="AB93" s="1333">
        <f>IF(MUKEN,"",IF(minergiea,AB92,IF(minergiep,AB91,AB90)))</f>
        <v>1</v>
      </c>
      <c r="AC93" s="1333">
        <f>IF(MUKEN,"",IF(minergiea,AC92,IF(minergiep,AC91,AC90)))</f>
        <v>0</v>
      </c>
      <c r="AF93" s="1704" t="s">
        <v>3138</v>
      </c>
      <c r="AG93" s="1710"/>
      <c r="AH93" s="1710"/>
      <c r="AI93" s="1705"/>
    </row>
    <row r="94" spans="1:39">
      <c r="A94" s="546" t="s">
        <v>278</v>
      </c>
      <c r="B94" s="545" t="s">
        <v>279</v>
      </c>
      <c r="C94" s="545">
        <v>3</v>
      </c>
      <c r="D94" s="545">
        <v>0</v>
      </c>
      <c r="E94" s="545">
        <v>556</v>
      </c>
      <c r="F94" s="549">
        <v>9.4</v>
      </c>
      <c r="G94" s="592">
        <v>41</v>
      </c>
      <c r="H94" s="46">
        <v>11</v>
      </c>
      <c r="I94" s="37" t="str">
        <f t="shared" si="19"/>
        <v>Lager</v>
      </c>
      <c r="J94" s="379" t="str">
        <f>AA47</f>
        <v>Ja</v>
      </c>
      <c r="K94" s="380" t="str">
        <f>AA48</f>
        <v>Nein</v>
      </c>
      <c r="L94" s="42" t="b">
        <v>1</v>
      </c>
      <c r="M94" s="53" t="b">
        <v>0</v>
      </c>
      <c r="N94" s="459">
        <v>0.9</v>
      </c>
      <c r="O94" s="471">
        <v>0.6</v>
      </c>
      <c r="P94" s="460">
        <v>15</v>
      </c>
      <c r="Q94" s="468">
        <v>0</v>
      </c>
      <c r="R94" s="468">
        <f t="shared" si="20"/>
        <v>0.8</v>
      </c>
      <c r="S94" s="505" t="s">
        <v>234</v>
      </c>
      <c r="T94" s="453">
        <v>1</v>
      </c>
      <c r="V94" s="108">
        <v>8</v>
      </c>
      <c r="W94" s="146" t="str">
        <f>MINERGIE!B41</f>
        <v>Effiziente Geräte Gebäudebetrieb/Wohnnutzung</v>
      </c>
      <c r="X94" s="1472">
        <v>0.04</v>
      </c>
      <c r="Y94" s="1201">
        <v>0.08</v>
      </c>
      <c r="AA94" s="130" t="s">
        <v>3661</v>
      </c>
      <c r="AB94" s="2339">
        <v>0.9</v>
      </c>
      <c r="AC94" s="2340"/>
      <c r="AF94" s="109">
        <v>0</v>
      </c>
      <c r="AG94" s="45">
        <v>-0.5</v>
      </c>
      <c r="AH94" s="45">
        <v>30</v>
      </c>
      <c r="AI94" s="1699">
        <v>-12</v>
      </c>
    </row>
    <row r="95" spans="1:39">
      <c r="A95" s="46"/>
      <c r="B95" s="532"/>
      <c r="C95" s="533"/>
      <c r="D95" s="533"/>
      <c r="E95" s="533"/>
      <c r="F95" s="533"/>
      <c r="G95" s="534"/>
      <c r="H95" s="46">
        <v>12</v>
      </c>
      <c r="I95" s="37" t="str">
        <f t="shared" si="19"/>
        <v>Sportbau</v>
      </c>
      <c r="J95" s="379" t="str">
        <f>AA48</f>
        <v>Nein</v>
      </c>
      <c r="K95" s="380" t="str">
        <f>AA48</f>
        <v>Nein</v>
      </c>
      <c r="L95" s="42" t="b">
        <v>0</v>
      </c>
      <c r="M95" s="53" t="b">
        <v>0</v>
      </c>
      <c r="N95" s="459">
        <v>0.9</v>
      </c>
      <c r="O95" s="471">
        <v>0.6</v>
      </c>
      <c r="P95" s="460">
        <v>15</v>
      </c>
      <c r="Q95" s="468">
        <v>0</v>
      </c>
      <c r="R95" s="468">
        <f t="shared" si="20"/>
        <v>0.8</v>
      </c>
      <c r="S95" s="505" t="s">
        <v>235</v>
      </c>
      <c r="T95" s="453">
        <v>1</v>
      </c>
      <c r="W95" s="130" t="s">
        <v>2301</v>
      </c>
      <c r="X95" s="1474">
        <v>0.15</v>
      </c>
      <c r="Y95" s="1473">
        <v>0.3</v>
      </c>
      <c r="AF95" s="109">
        <v>5</v>
      </c>
      <c r="AG95" s="45">
        <v>-0.8</v>
      </c>
      <c r="AH95" s="45">
        <v>50</v>
      </c>
      <c r="AI95" s="1699">
        <v>0</v>
      </c>
    </row>
    <row r="96" spans="1:39">
      <c r="A96" s="538" t="s">
        <v>21</v>
      </c>
      <c r="B96" s="539">
        <f t="shared" ref="B96:G96" si="21">IF(Kanton&gt;1,INDEX(B97:B125,Kanton,1),0)</f>
        <v>0</v>
      </c>
      <c r="C96" s="539">
        <f t="shared" si="21"/>
        <v>0</v>
      </c>
      <c r="D96" s="539">
        <f t="shared" si="21"/>
        <v>0</v>
      </c>
      <c r="E96" s="539">
        <f t="shared" si="21"/>
        <v>0</v>
      </c>
      <c r="F96" s="539">
        <f t="shared" si="21"/>
        <v>0</v>
      </c>
      <c r="G96" s="539">
        <f t="shared" si="21"/>
        <v>0</v>
      </c>
      <c r="H96" s="46">
        <v>13</v>
      </c>
      <c r="I96" s="47" t="str">
        <f t="shared" si="19"/>
        <v>Hallenbad</v>
      </c>
      <c r="J96" s="381" t="str">
        <f>AA48</f>
        <v>Nein</v>
      </c>
      <c r="K96" s="382" t="str">
        <f>AA48</f>
        <v>Nein</v>
      </c>
      <c r="L96" s="60" t="b">
        <v>0</v>
      </c>
      <c r="M96" s="119" t="b">
        <v>0</v>
      </c>
      <c r="N96" s="459">
        <v>0.9</v>
      </c>
      <c r="O96" s="472">
        <v>0</v>
      </c>
      <c r="P96" s="461">
        <v>0</v>
      </c>
      <c r="Q96" s="469">
        <v>1</v>
      </c>
      <c r="R96" s="469">
        <v>1</v>
      </c>
      <c r="AF96" s="110">
        <v>10</v>
      </c>
      <c r="AG96" s="49">
        <v>-0.8</v>
      </c>
      <c r="AH96" s="49">
        <v>60</v>
      </c>
      <c r="AI96" s="1700">
        <v>0</v>
      </c>
    </row>
    <row r="97" spans="1:47">
      <c r="A97" s="537" t="s">
        <v>199</v>
      </c>
      <c r="B97" s="540"/>
      <c r="C97" s="540"/>
      <c r="D97" s="540"/>
      <c r="E97" s="90"/>
      <c r="F97" s="40"/>
      <c r="G97" s="40"/>
      <c r="I97" s="266"/>
      <c r="J97" s="384" t="s">
        <v>625</v>
      </c>
      <c r="K97" s="384" t="s">
        <v>626</v>
      </c>
      <c r="L97" s="384" t="s">
        <v>627</v>
      </c>
      <c r="M97" s="355" t="s">
        <v>628</v>
      </c>
      <c r="N97" s="463" t="s">
        <v>16</v>
      </c>
      <c r="O97" s="466">
        <f>IF(minergiep,IF(Neubau1=3,INDEX($R$84:$R$96,Kategorie1,1),INDEX($O$84:$O$96,Kategorie1,1)),IF(Neubau1=3,INDEX($Q$84:$Q$96,Kategorie1,1),INDEX($N$84:$N$96,Kategorie1,1)))</f>
        <v>0</v>
      </c>
      <c r="P97" s="464">
        <f>IF(minergiep,INDEX($P$84:$P$96,Kategorie1,1),0)</f>
        <v>0</v>
      </c>
      <c r="Q97" s="462">
        <f>IF(Primaeranf1&gt;0,1,0)</f>
        <v>0</v>
      </c>
      <c r="R97" s="506" t="str">
        <f>S43</f>
        <v/>
      </c>
      <c r="S97" s="139" t="str">
        <f>INDEX($I$9:$I$21,Kategorie1,1)</f>
        <v xml:space="preserve"> </v>
      </c>
      <c r="T97" s="660" t="s">
        <v>16</v>
      </c>
    </row>
    <row r="98" spans="1:47">
      <c r="A98" s="535" t="str">
        <f>Uebersetzung!D118</f>
        <v>Aargau</v>
      </c>
      <c r="B98" s="92">
        <v>7</v>
      </c>
      <c r="C98" s="92">
        <v>5</v>
      </c>
      <c r="D98" s="92"/>
      <c r="E98" s="92"/>
      <c r="F98" s="45"/>
      <c r="G98" s="45"/>
      <c r="I98" s="335" t="s">
        <v>632</v>
      </c>
      <c r="J98" s="343">
        <f>Kategorie1</f>
        <v>1</v>
      </c>
      <c r="K98" s="343">
        <f>Kategorie2</f>
        <v>1</v>
      </c>
      <c r="L98" s="343">
        <f>Kategorie3</f>
        <v>1</v>
      </c>
      <c r="M98" s="263">
        <f>Kategorie4</f>
        <v>1</v>
      </c>
      <c r="N98" s="463" t="s">
        <v>17</v>
      </c>
      <c r="O98" s="466">
        <f>IF(minergiep,IF(Neubau2=3,INDEX($R$84:$R$96,Kategorie2,1),INDEX($O$84:$O$96,Kategorie2,1)),IF(Neubau2=3,INDEX($Q$84:$Q$96,Kategorie2,1),INDEX($N$84:$N$96,Kategorie2,1)))</f>
        <v>0</v>
      </c>
      <c r="P98" s="464">
        <f>IF(minergiep,INDEX($P$84:$P$96,Kategorie2,1),0)</f>
        <v>0</v>
      </c>
      <c r="Q98" s="462">
        <f>IF(Primaeranf2&gt;0,1,0)</f>
        <v>0</v>
      </c>
      <c r="R98" s="451" t="str">
        <f>S44</f>
        <v/>
      </c>
      <c r="S98" s="139" t="str">
        <f>INDEX($I$9:$I$21,Kategorie2,1)</f>
        <v xml:space="preserve"> </v>
      </c>
      <c r="T98" s="660" t="s">
        <v>17</v>
      </c>
    </row>
    <row r="99" spans="1:47">
      <c r="A99" s="535" t="str">
        <f>Uebersetzung!D119</f>
        <v>Appenzell Innerrhoden</v>
      </c>
      <c r="B99" s="92">
        <v>32</v>
      </c>
      <c r="C99" s="92"/>
      <c r="D99" s="92"/>
      <c r="E99" s="92"/>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92">
        <v>1</v>
      </c>
      <c r="O99" s="466">
        <f>IF(minergiep,IF(Neubau3=3,INDEX($R$84:$R$96,Kategorie3,1),INDEX($O$84:$O$96,Kategorie3,1)),IF(Neubau3=3,INDEX($Q$84:$Q$96,Kategorie3,1),INDEX($N$84:$N$96,Kategorie3,1)))</f>
        <v>0</v>
      </c>
      <c r="P99" s="464">
        <f>IF(minergiep,INDEX($P$84:$P$96,Kategorie3,1),0)</f>
        <v>0</v>
      </c>
      <c r="Q99" s="462">
        <f>IF(Primaeranf3&gt;0,1,0)</f>
        <v>0</v>
      </c>
      <c r="R99" s="451" t="str">
        <f>S45</f>
        <v/>
      </c>
      <c r="S99" s="139" t="str">
        <f>INDEX($I$9:$I$21,Kategorie3,1)</f>
        <v xml:space="preserve"> </v>
      </c>
      <c r="T99" s="660" t="s">
        <v>18</v>
      </c>
    </row>
    <row r="100" spans="1:47">
      <c r="A100" s="535" t="str">
        <f>Uebersetzung!D120</f>
        <v>Appenzell Ausserrhoden</v>
      </c>
      <c r="B100" s="92">
        <v>32</v>
      </c>
      <c r="C100" s="92"/>
      <c r="D100" s="92"/>
      <c r="E100" s="92"/>
      <c r="F100" s="45"/>
      <c r="G100" s="45"/>
      <c r="I100" s="383"/>
      <c r="J100" s="45" t="str">
        <f>IF(Kategorie1&gt;1,INDEX($K$84:$K$96,Kategorie1,1),"")</f>
        <v/>
      </c>
      <c r="K100" s="45" t="str">
        <f>IF(Kategorie2&gt;1,INDEX($K$84:$K$96,Kategorie2,1),"")</f>
        <v/>
      </c>
      <c r="L100" s="45" t="str">
        <f>IF(Kategorie3&gt;1,INDEX($K$84:$K$96,Kategorie3,1),"")</f>
        <v/>
      </c>
      <c r="M100" s="44" t="str">
        <f>IF(Kategorie4&gt;1,INDEX($K$84:$K$96,Kategorie4,1),"")</f>
        <v/>
      </c>
      <c r="N100" s="592">
        <v>2</v>
      </c>
      <c r="O100" s="466">
        <f>IF(minergiep,IF(Neubau4=3,INDEX($R$84:$R$96,Kategorie4,1),INDEX($O$84:$O$96,Kategorie4,1)),IF(Neubau4=3,INDEX($Q$84:$Q$96,Kategorie4,1),INDEX($N$84:$N$96,Kategorie4,1)))</f>
        <v>0</v>
      </c>
      <c r="P100" s="464">
        <f>IF(minergiep,INDEX($P$84:$P$96,Kategorie4,1),0)</f>
        <v>0</v>
      </c>
      <c r="Q100" s="462">
        <f>IF(Primaeranf4&gt;0,1,0)</f>
        <v>0</v>
      </c>
      <c r="R100" s="451" t="str">
        <f>S46</f>
        <v/>
      </c>
      <c r="S100" s="139" t="str">
        <f>INDEX($I$9:$I$21,Kategorie4,1)</f>
        <v xml:space="preserve"> </v>
      </c>
      <c r="T100" s="660" t="s">
        <v>19</v>
      </c>
    </row>
    <row r="101" spans="1:47">
      <c r="A101" s="535" t="str">
        <f>Uebersetzung!D121</f>
        <v>Bern</v>
      </c>
      <c r="B101" s="92">
        <v>6</v>
      </c>
      <c r="C101" s="92">
        <v>2</v>
      </c>
      <c r="D101" s="92"/>
      <c r="E101" s="92"/>
      <c r="F101" s="45"/>
      <c r="G101" s="45"/>
      <c r="I101" s="43" t="s">
        <v>177</v>
      </c>
      <c r="J101" s="778">
        <f>IF(Eingaben!$F$17="",1,VLOOKUP(Eingaben!$F$17,J99:N100,5,FALSE))</f>
        <v>1</v>
      </c>
      <c r="K101" s="778">
        <f>IF(Eingaben!$G$17="",1,VLOOKUP(Eingaben!$G$17,K99:N100,4,FALSE))</f>
        <v>1</v>
      </c>
      <c r="L101" s="778">
        <f>IF(Eingaben!$H$17="",1,VLOOKUP(Eingaben!$H$17,L99:N100,3,FALSE))</f>
        <v>1</v>
      </c>
      <c r="M101" s="667">
        <f>IF(Eingaben!$I$17="",1,VLOOKUP(Eingaben!$I$17,M99:N100,2,FALSE))</f>
        <v>1</v>
      </c>
      <c r="N101" s="408" t="s">
        <v>11</v>
      </c>
      <c r="O101" s="338" t="b">
        <f>IF(SUM(O97:O100)&gt;0,TRUE,FALSE)</f>
        <v>0</v>
      </c>
    </row>
    <row r="102" spans="1:47">
      <c r="A102" s="535" t="str">
        <f>Uebersetzung!D122</f>
        <v>Basel Land</v>
      </c>
      <c r="B102" s="92">
        <v>5</v>
      </c>
      <c r="C102" s="92"/>
      <c r="D102" s="92"/>
      <c r="E102" s="92"/>
      <c r="F102" s="45"/>
      <c r="G102" s="45"/>
      <c r="I102" s="43" t="s">
        <v>666</v>
      </c>
      <c r="J102" s="45" t="str">
        <f>INDEX(J99:J100,_WW1,1)</f>
        <v/>
      </c>
      <c r="K102" s="45" t="str">
        <f>INDEX(K99:K100,_WW2,1)</f>
        <v/>
      </c>
      <c r="L102" s="45" t="str">
        <f>INDEX(L99:L100,_WW3,1)</f>
        <v/>
      </c>
      <c r="M102" s="44" t="str">
        <f>INDEX(M99:M100,_WW4,1)</f>
        <v/>
      </c>
    </row>
    <row r="103" spans="1:47">
      <c r="A103" s="535" t="str">
        <f>Uebersetzung!D123</f>
        <v>Basel Stadt</v>
      </c>
      <c r="B103" s="92">
        <v>5</v>
      </c>
      <c r="C103" s="92"/>
      <c r="D103" s="92"/>
      <c r="E103" s="92"/>
      <c r="F103" s="45"/>
      <c r="G103" s="45"/>
      <c r="I103" s="43" t="s">
        <v>667</v>
      </c>
      <c r="J103" s="45" t="str">
        <f>IF(Kategorie1&gt;1,INDEX($L$84:$M$96,Kategorie1,_WW1),"")</f>
        <v/>
      </c>
      <c r="K103" s="45" t="str">
        <f>IF(Kategorie2&gt;1,INDEX($L$84:$M$96,Kategorie2,_WW2),"")</f>
        <v/>
      </c>
      <c r="L103" s="45" t="str">
        <f>IF(Kategorie3&gt;1,INDEX($L$84:$M$96,Kategorie3,_WW3),"")</f>
        <v/>
      </c>
      <c r="M103" s="44" t="str">
        <f>IF(Kategorie4&gt;1,INDEX($L$84:$M$96,Kategorie4,_WW4),"")</f>
        <v/>
      </c>
      <c r="N103" s="153" t="b">
        <f>IF(AND(J103="",K103="",L103="",M103=""),FALSE,OR(J103,K103,L103,M103))</f>
        <v>0</v>
      </c>
      <c r="O103" s="27" t="s">
        <v>675</v>
      </c>
    </row>
    <row r="104" spans="1:47" ht="15.75">
      <c r="A104" s="535" t="str">
        <f>Uebersetzung!D124</f>
        <v>Fribourg</v>
      </c>
      <c r="B104" s="92">
        <v>6</v>
      </c>
      <c r="C104" s="92">
        <v>2</v>
      </c>
      <c r="D104" s="92"/>
      <c r="E104" s="92"/>
      <c r="F104" s="45"/>
      <c r="G104" s="45"/>
      <c r="I104" s="36" t="s">
        <v>669</v>
      </c>
      <c r="J104" s="388">
        <f>IF(_EBF1&gt;0,IF(J103,INDEX($L$9:$L$21,Kategorie1,1)/3.6*EBFo1/_EBF1,0),)</f>
        <v>0</v>
      </c>
      <c r="K104" s="388">
        <f>IF(_EBF2&gt;0,IF(K103,INDEX($L$9:$L$21,Kategorie2,1)/3.6*EBFo2/_EBF2,0),)</f>
        <v>0</v>
      </c>
      <c r="L104" s="388">
        <f>IF(_EBF3&gt;0,IF(L103,INDEX($L$9:$L$21,Kategorie3,1)/3.6*EBFo3/_EBF3,0),)</f>
        <v>0</v>
      </c>
      <c r="M104" s="388">
        <f>IF(_EBF4&gt;0,IF(M103,INDEX($L$9:$L$21,Kategorie4,1)/3.6*EBFo4/_EBF4,0),)</f>
        <v>0</v>
      </c>
      <c r="N104" s="40"/>
      <c r="O104" s="27" t="s">
        <v>524</v>
      </c>
      <c r="U104" s="274" t="s">
        <v>161</v>
      </c>
      <c r="AD104" s="42"/>
      <c r="AN104" s="108" t="s">
        <v>2274</v>
      </c>
      <c r="AP104" s="1447">
        <f>AP120</f>
        <v>0.13900000000000001</v>
      </c>
    </row>
    <row r="105" spans="1:47">
      <c r="A105" s="535" t="str">
        <f>Uebersetzung!D125</f>
        <v>Genève</v>
      </c>
      <c r="B105" s="92">
        <v>12</v>
      </c>
      <c r="C105" s="92"/>
      <c r="D105" s="92"/>
      <c r="E105" s="92"/>
      <c r="F105" s="45"/>
      <c r="G105" s="45"/>
      <c r="I105" s="43" t="s">
        <v>265</v>
      </c>
      <c r="J105" s="45">
        <f>_EBF1</f>
        <v>0</v>
      </c>
      <c r="K105" s="45">
        <f>_EBF2</f>
        <v>0</v>
      </c>
      <c r="L105" s="45">
        <f>_EBF3</f>
        <v>0</v>
      </c>
      <c r="M105" s="85">
        <f>_EBF4</f>
        <v>0</v>
      </c>
      <c r="N105" s="45">
        <f>SUM(J105:M105)</f>
        <v>0</v>
      </c>
      <c r="O105" s="27" t="s">
        <v>321</v>
      </c>
      <c r="T105" s="85"/>
      <c r="U105" s="85"/>
      <c r="V105" s="85"/>
      <c r="W105" s="60"/>
      <c r="X105" s="60"/>
      <c r="Y105" s="60"/>
      <c r="AD105" s="42"/>
      <c r="AN105" s="108" t="s">
        <v>2275</v>
      </c>
      <c r="AP105" s="1450">
        <f>AP112</f>
        <v>0.249</v>
      </c>
    </row>
    <row r="106" spans="1:47">
      <c r="A106" s="535" t="str">
        <f>Uebersetzung!D126</f>
        <v>Glarus</v>
      </c>
      <c r="B106" s="92">
        <v>13</v>
      </c>
      <c r="C106" s="92"/>
      <c r="D106" s="92"/>
      <c r="E106" s="92"/>
      <c r="F106" s="45"/>
      <c r="G106" s="45"/>
      <c r="I106" s="95" t="s">
        <v>670</v>
      </c>
      <c r="J106" s="389">
        <f>J105*J104</f>
        <v>0</v>
      </c>
      <c r="K106" s="389">
        <f>K105*K104</f>
        <v>0</v>
      </c>
      <c r="L106" s="389">
        <f>L105*L104</f>
        <v>0</v>
      </c>
      <c r="M106" s="390">
        <f>M105*M104</f>
        <v>0</v>
      </c>
      <c r="N106" s="389">
        <f>SUM(J106:M106)</f>
        <v>0</v>
      </c>
      <c r="O106" s="27" t="s">
        <v>672</v>
      </c>
      <c r="T106" s="1747"/>
      <c r="U106" s="1750"/>
      <c r="V106" s="1748" t="s">
        <v>317</v>
      </c>
      <c r="W106" s="489"/>
      <c r="X106" s="627" t="s">
        <v>316</v>
      </c>
      <c r="Y106" s="627"/>
      <c r="Z106" s="490" t="s">
        <v>236</v>
      </c>
      <c r="AA106" s="491" t="s">
        <v>527</v>
      </c>
      <c r="AB106" s="1750"/>
      <c r="AC106" s="1915" t="s">
        <v>365</v>
      </c>
      <c r="AD106" s="625"/>
      <c r="AE106" s="625"/>
      <c r="AF106" s="491" t="s">
        <v>728</v>
      </c>
      <c r="AG106" s="491" t="s">
        <v>99</v>
      </c>
      <c r="AH106" s="491" t="s">
        <v>499</v>
      </c>
      <c r="AI106" s="491" t="s">
        <v>499</v>
      </c>
      <c r="AJ106" s="491" t="s">
        <v>499</v>
      </c>
      <c r="AK106" s="491"/>
      <c r="AL106" s="625" t="s">
        <v>1243</v>
      </c>
      <c r="AM106" s="1435"/>
      <c r="AN106" s="1440" t="s">
        <v>2152</v>
      </c>
      <c r="AO106" s="1442"/>
      <c r="AP106" s="1440" t="s">
        <v>2271</v>
      </c>
      <c r="AQ106" s="1436"/>
      <c r="AR106" s="1442"/>
      <c r="AS106" s="1440" t="s">
        <v>2590</v>
      </c>
      <c r="AT106" s="1436"/>
      <c r="AU106" s="491" t="s">
        <v>3214</v>
      </c>
    </row>
    <row r="107" spans="1:47">
      <c r="A107" s="535" t="str">
        <f>Uebersetzung!D127</f>
        <v>Graubünden</v>
      </c>
      <c r="B107" s="92">
        <v>8</v>
      </c>
      <c r="C107" s="92">
        <v>9</v>
      </c>
      <c r="D107" s="92">
        <v>10</v>
      </c>
      <c r="E107" s="92">
        <v>28</v>
      </c>
      <c r="F107" s="92">
        <v>34</v>
      </c>
      <c r="G107" s="45">
        <v>30</v>
      </c>
      <c r="I107" s="391" t="s">
        <v>673</v>
      </c>
      <c r="J107" s="392">
        <f>IF(_EBF1&gt;0,INDEX($L$9:$L$21,Kategorie1,1)/3.6*EBFo1/_EBF1,0)-J104</f>
        <v>0</v>
      </c>
      <c r="K107" s="392">
        <f>IF(_EBF2&gt;0,INDEX($L$9:$L$21,Kategorie2,1)/3.6*EBFo2/_EBF2,0)-K104</f>
        <v>0</v>
      </c>
      <c r="L107" s="392">
        <f>IF(_EBF3&gt;0,INDEX($L$9:$L$21,Kategorie3,1)/3.6*EBFo3/_EBF3,0)-L104</f>
        <v>0</v>
      </c>
      <c r="M107" s="392">
        <f>IF(_EBF4&gt;0,INDEX($L$9:$L$21,Kategorie4,1)/3.6*EBFo4/_EBF4,0)-M104</f>
        <v>0</v>
      </c>
      <c r="N107" s="89"/>
      <c r="T107" s="492" t="s">
        <v>3711</v>
      </c>
      <c r="U107" s="495" t="s">
        <v>754</v>
      </c>
      <c r="V107" s="1746" t="s">
        <v>721</v>
      </c>
      <c r="W107" s="493" t="s">
        <v>201</v>
      </c>
      <c r="X107" s="494" t="s">
        <v>242</v>
      </c>
      <c r="Y107" s="495" t="s">
        <v>747</v>
      </c>
      <c r="Z107" s="495" t="s">
        <v>202</v>
      </c>
      <c r="AA107" s="495" t="s">
        <v>525</v>
      </c>
      <c r="AB107" s="495" t="s">
        <v>526</v>
      </c>
      <c r="AC107" s="1916" t="s">
        <v>366</v>
      </c>
      <c r="AD107" s="626" t="s">
        <v>748</v>
      </c>
      <c r="AE107" s="626" t="s">
        <v>749</v>
      </c>
      <c r="AF107" s="495" t="s">
        <v>733</v>
      </c>
      <c r="AG107" s="495" t="s">
        <v>733</v>
      </c>
      <c r="AH107" s="495" t="s">
        <v>500</v>
      </c>
      <c r="AI107" s="495" t="s">
        <v>501</v>
      </c>
      <c r="AJ107" s="495" t="s">
        <v>99</v>
      </c>
      <c r="AK107" s="495" t="s">
        <v>1244</v>
      </c>
      <c r="AL107" s="1038" t="s">
        <v>1245</v>
      </c>
      <c r="AM107" s="1434"/>
      <c r="AN107" s="1441" t="s">
        <v>1244</v>
      </c>
      <c r="AO107" s="1443"/>
      <c r="AP107" s="1441" t="s">
        <v>2272</v>
      </c>
      <c r="AQ107" s="1437"/>
      <c r="AR107" s="1443"/>
      <c r="AS107" s="1441" t="s">
        <v>2591</v>
      </c>
      <c r="AT107" s="1437"/>
      <c r="AU107" s="495" t="s">
        <v>3127</v>
      </c>
    </row>
    <row r="108" spans="1:47">
      <c r="A108" s="535" t="str">
        <f>Uebersetzung!D128</f>
        <v>Jura</v>
      </c>
      <c r="B108" s="92">
        <v>5</v>
      </c>
      <c r="C108" s="92">
        <v>17</v>
      </c>
      <c r="D108" s="92"/>
      <c r="E108" s="92"/>
      <c r="F108" s="45"/>
      <c r="G108" s="45"/>
      <c r="I108" s="130" t="s">
        <v>671</v>
      </c>
      <c r="J108" s="129"/>
      <c r="K108" s="129"/>
      <c r="L108" s="129"/>
      <c r="M108" s="342"/>
      <c r="N108" s="249">
        <f>IF(EBF&gt;0,N106/EBF,)</f>
        <v>0</v>
      </c>
      <c r="O108" s="27" t="s">
        <v>524</v>
      </c>
      <c r="T108" s="43" t="str">
        <f t="shared" ref="T108:T155" si="22">INDEX($W$108:$W$155,$AC108,1)</f>
        <v xml:space="preserve">  </v>
      </c>
      <c r="U108" s="45">
        <v>1</v>
      </c>
      <c r="V108" s="53" t="s">
        <v>557</v>
      </c>
      <c r="W108" s="123" t="s">
        <v>557</v>
      </c>
      <c r="X108" s="247"/>
      <c r="Y108" s="247"/>
      <c r="Z108" s="248"/>
      <c r="AA108" s="256"/>
      <c r="AB108" s="45"/>
      <c r="AC108" s="160">
        <v>1</v>
      </c>
      <c r="AD108" s="456"/>
      <c r="AE108" s="456"/>
      <c r="AF108" s="45" t="b">
        <v>0</v>
      </c>
      <c r="AG108" s="45" t="b">
        <v>0</v>
      </c>
      <c r="AH108" s="45" t="b">
        <v>0</v>
      </c>
      <c r="AI108" s="45" t="b">
        <v>0</v>
      </c>
      <c r="AJ108" s="45" t="b">
        <v>0</v>
      </c>
      <c r="AK108" s="1037">
        <f t="shared" ref="AK108:AK155" si="23">AC108</f>
        <v>1</v>
      </c>
      <c r="AL108" s="89">
        <v>1</v>
      </c>
      <c r="AM108" s="43"/>
      <c r="AN108" s="1427">
        <v>0</v>
      </c>
      <c r="AO108" s="36"/>
      <c r="AP108" s="860"/>
      <c r="AQ108" s="1439"/>
      <c r="AR108" s="36"/>
      <c r="AS108" s="858"/>
      <c r="AT108" s="1439"/>
      <c r="AU108" s="89"/>
    </row>
    <row r="109" spans="1:47">
      <c r="A109" s="535" t="str">
        <f>Uebersetzung!D129</f>
        <v>Luzern</v>
      </c>
      <c r="B109" s="92">
        <v>21</v>
      </c>
      <c r="C109" s="92"/>
      <c r="D109" s="92"/>
      <c r="E109" s="92"/>
      <c r="F109" s="45"/>
      <c r="G109" s="45"/>
      <c r="I109" s="773" t="s">
        <v>837</v>
      </c>
      <c r="J109" s="27" t="b">
        <f>ISERROR(_WW1)</f>
        <v>0</v>
      </c>
      <c r="K109" s="27" t="b">
        <f>ISERROR(_WW2)</f>
        <v>0</v>
      </c>
      <c r="L109" s="27" t="b">
        <f>ISERROR(_WW3)</f>
        <v>0</v>
      </c>
      <c r="M109" s="27" t="b">
        <f>ISERROR(_WW4)</f>
        <v>0</v>
      </c>
      <c r="T109" s="43" t="str">
        <f t="shared" si="22"/>
        <v>Wärmepumpe, Erdwärmesonde, nur Heizung</v>
      </c>
      <c r="U109" s="45">
        <v>2</v>
      </c>
      <c r="V109" s="53" t="str">
        <f>Uebersetzung!D202</f>
        <v>Ölfeuerung</v>
      </c>
      <c r="W109" s="123" t="str">
        <f>Uebersetzung!D157</f>
        <v>Ölfeuerung</v>
      </c>
      <c r="X109" s="248">
        <v>0.85</v>
      </c>
      <c r="Y109" s="248">
        <v>0.9</v>
      </c>
      <c r="Z109" s="248">
        <v>1</v>
      </c>
      <c r="AA109" s="256">
        <v>1</v>
      </c>
      <c r="AB109" s="45">
        <v>1</v>
      </c>
      <c r="AC109" s="160">
        <v>19</v>
      </c>
      <c r="AD109" s="456"/>
      <c r="AE109" s="456"/>
      <c r="AF109" s="45" t="b">
        <v>0</v>
      </c>
      <c r="AG109" s="45" t="b">
        <v>0</v>
      </c>
      <c r="AH109" s="45" t="b">
        <v>0</v>
      </c>
      <c r="AI109" s="45" t="b">
        <v>0</v>
      </c>
      <c r="AJ109" s="45" t="b">
        <v>0</v>
      </c>
      <c r="AK109" s="456">
        <f t="shared" si="23"/>
        <v>19</v>
      </c>
      <c r="AL109" s="123">
        <v>1</v>
      </c>
      <c r="AM109" s="43"/>
      <c r="AN109" s="1427">
        <v>1</v>
      </c>
      <c r="AO109" s="43"/>
      <c r="AP109" s="1444">
        <v>0.31900000000000001</v>
      </c>
      <c r="AQ109" s="53"/>
      <c r="AR109" s="43"/>
      <c r="AS109" s="357">
        <v>0</v>
      </c>
      <c r="AT109" s="53"/>
      <c r="AU109" s="123" t="b">
        <v>0</v>
      </c>
    </row>
    <row r="110" spans="1:47">
      <c r="A110" s="535" t="str">
        <f>Uebersetzung!D130</f>
        <v>Neuenburg</v>
      </c>
      <c r="B110" s="92">
        <v>24</v>
      </c>
      <c r="C110" s="92">
        <v>17</v>
      </c>
      <c r="D110" s="92"/>
      <c r="E110" s="92"/>
      <c r="F110" s="45"/>
      <c r="G110" s="45"/>
      <c r="T110" s="43" t="str">
        <f t="shared" si="22"/>
        <v>Wärmepumpe, Erdwärmesonde, nur Warmwasser</v>
      </c>
      <c r="U110" s="45">
        <v>3</v>
      </c>
      <c r="V110" s="53" t="str">
        <f>Uebersetzung!D203</f>
        <v>Ölheizung kondensierend</v>
      </c>
      <c r="W110" s="123" t="str">
        <f>Uebersetzung!D158</f>
        <v>Ölfeuerung kondensierend nur Heizung</v>
      </c>
      <c r="X110" s="248">
        <v>0.91</v>
      </c>
      <c r="Y110" s="248">
        <v>1</v>
      </c>
      <c r="Z110" s="248">
        <v>1</v>
      </c>
      <c r="AA110" s="256"/>
      <c r="AB110" s="45">
        <v>1</v>
      </c>
      <c r="AC110" s="160">
        <v>20</v>
      </c>
      <c r="AD110" s="456"/>
      <c r="AE110" s="456"/>
      <c r="AF110" s="45" t="b">
        <v>0</v>
      </c>
      <c r="AG110" s="45" t="b">
        <v>0</v>
      </c>
      <c r="AH110" s="45" t="b">
        <v>0</v>
      </c>
      <c r="AI110" s="45" t="b">
        <v>0</v>
      </c>
      <c r="AJ110" s="45" t="b">
        <v>0</v>
      </c>
      <c r="AK110" s="456">
        <f t="shared" si="23"/>
        <v>20</v>
      </c>
      <c r="AL110" s="123">
        <v>1</v>
      </c>
      <c r="AM110" s="43"/>
      <c r="AN110" s="1427">
        <v>2</v>
      </c>
      <c r="AO110" s="43"/>
      <c r="AP110" s="1444">
        <v>0.31900000000000001</v>
      </c>
      <c r="AQ110" s="53"/>
      <c r="AR110" s="43"/>
      <c r="AS110" s="357">
        <v>0</v>
      </c>
      <c r="AT110" s="53"/>
      <c r="AU110" s="123" t="b">
        <v>0</v>
      </c>
    </row>
    <row r="111" spans="1:47">
      <c r="A111" s="535" t="str">
        <f>Uebersetzung!D131</f>
        <v>Nidwalden</v>
      </c>
      <c r="B111" s="45">
        <v>21</v>
      </c>
      <c r="C111" s="45"/>
      <c r="D111" s="45"/>
      <c r="E111" s="247"/>
      <c r="F111" s="45"/>
      <c r="G111" s="45"/>
      <c r="T111" s="43" t="str">
        <f t="shared" si="22"/>
        <v>Wärmepumpe Aussenluft, nur Heizung</v>
      </c>
      <c r="U111" s="45">
        <v>4</v>
      </c>
      <c r="V111" s="53" t="str">
        <f>Uebersetzung!D204</f>
        <v>Ölfeuerung kondens. Warmwasser</v>
      </c>
      <c r="W111" s="123" t="str">
        <f>Uebersetzung!D159</f>
        <v>Ölfeuerung kondensierend nur Warmwasser</v>
      </c>
      <c r="X111" s="248">
        <v>0.88</v>
      </c>
      <c r="Y111" s="248">
        <v>0.95</v>
      </c>
      <c r="Z111" s="248">
        <v>1</v>
      </c>
      <c r="AA111" s="256">
        <v>1</v>
      </c>
      <c r="AB111" s="45"/>
      <c r="AC111" s="160">
        <v>17</v>
      </c>
      <c r="AD111" s="456"/>
      <c r="AE111" s="456"/>
      <c r="AF111" s="45" t="b">
        <v>0</v>
      </c>
      <c r="AG111" s="45" t="b">
        <v>0</v>
      </c>
      <c r="AH111" s="45" t="b">
        <v>0</v>
      </c>
      <c r="AI111" s="45" t="b">
        <v>0</v>
      </c>
      <c r="AJ111" s="45" t="b">
        <v>0</v>
      </c>
      <c r="AK111" s="456">
        <f t="shared" si="23"/>
        <v>17</v>
      </c>
      <c r="AL111" s="123">
        <v>1</v>
      </c>
      <c r="AM111" s="43"/>
      <c r="AN111" s="1427">
        <v>3</v>
      </c>
      <c r="AO111" s="43"/>
      <c r="AP111" s="1444">
        <v>0.31900000000000001</v>
      </c>
      <c r="AQ111" s="53"/>
      <c r="AR111" s="43"/>
      <c r="AS111" s="357">
        <v>0</v>
      </c>
      <c r="AT111" s="53"/>
      <c r="AU111" s="123" t="b">
        <v>0</v>
      </c>
    </row>
    <row r="112" spans="1:47">
      <c r="A112" s="535" t="str">
        <f>Uebersetzung!D132</f>
        <v>Obwalden</v>
      </c>
      <c r="B112" s="45">
        <v>21</v>
      </c>
      <c r="C112" s="45">
        <v>11</v>
      </c>
      <c r="D112" s="45"/>
      <c r="E112" s="247"/>
      <c r="F112" s="45"/>
      <c r="G112" s="45"/>
      <c r="I112" s="408" t="s">
        <v>369</v>
      </c>
      <c r="J112" s="384" t="s">
        <v>625</v>
      </c>
      <c r="K112" s="409" t="s">
        <v>626</v>
      </c>
      <c r="L112" s="409" t="s">
        <v>627</v>
      </c>
      <c r="M112" s="273" t="s">
        <v>628</v>
      </c>
      <c r="T112" s="43" t="str">
        <f t="shared" si="22"/>
        <v>Wärmepumpe, Aussenluft, nur Warmwasser</v>
      </c>
      <c r="U112" s="45">
        <v>5</v>
      </c>
      <c r="V112" s="53" t="str">
        <f>Uebersetzung!D205</f>
        <v>Gasfeuerung</v>
      </c>
      <c r="W112" s="123" t="str">
        <f>Uebersetzung!D160</f>
        <v>Gasfeuerung</v>
      </c>
      <c r="X112" s="248">
        <v>0.85</v>
      </c>
      <c r="Y112" s="248">
        <v>0.9</v>
      </c>
      <c r="Z112" s="248">
        <v>1</v>
      </c>
      <c r="AA112" s="256">
        <v>1</v>
      </c>
      <c r="AB112" s="45">
        <v>1</v>
      </c>
      <c r="AC112" s="160">
        <v>18</v>
      </c>
      <c r="AD112" s="456"/>
      <c r="AE112" s="456"/>
      <c r="AF112" s="45" t="b">
        <v>0</v>
      </c>
      <c r="AG112" s="45" t="b">
        <v>0</v>
      </c>
      <c r="AH112" s="45" t="b">
        <v>0</v>
      </c>
      <c r="AI112" s="45" t="b">
        <v>0</v>
      </c>
      <c r="AJ112" s="45" t="b">
        <v>0</v>
      </c>
      <c r="AK112" s="456">
        <f t="shared" si="23"/>
        <v>18</v>
      </c>
      <c r="AL112" s="123">
        <v>1</v>
      </c>
      <c r="AM112" s="43"/>
      <c r="AN112" s="1427">
        <v>4</v>
      </c>
      <c r="AO112" s="43"/>
      <c r="AP112" s="1444">
        <v>0.249</v>
      </c>
      <c r="AQ112" s="53"/>
      <c r="AR112" s="43"/>
      <c r="AS112" s="357">
        <v>0</v>
      </c>
      <c r="AT112" s="53"/>
      <c r="AU112" s="123" t="b">
        <v>0</v>
      </c>
    </row>
    <row r="113" spans="1:47">
      <c r="A113" s="535" t="str">
        <f>Uebersetzung!D133</f>
        <v>St. Gallen</v>
      </c>
      <c r="B113" s="45">
        <v>32</v>
      </c>
      <c r="C113" s="45"/>
      <c r="D113" s="45"/>
      <c r="E113" s="247"/>
      <c r="F113" s="45"/>
      <c r="G113" s="45"/>
      <c r="J113" s="89"/>
      <c r="K113" s="118"/>
      <c r="L113" s="89"/>
      <c r="M113" s="89"/>
      <c r="N113" s="592">
        <v>1</v>
      </c>
      <c r="T113" s="43" t="str">
        <f t="shared" si="22"/>
        <v>Wasser-Wärmepumpe, nur Heizung</v>
      </c>
      <c r="U113" s="45">
        <v>6</v>
      </c>
      <c r="V113" s="53" t="str">
        <f>Uebersetzung!D206</f>
        <v>Gasheizung kondensierend</v>
      </c>
      <c r="W113" s="123" t="str">
        <f>Uebersetzung!D161</f>
        <v>Gasfeuerung kondensierend nur Heizung</v>
      </c>
      <c r="X113" s="248">
        <v>0.95</v>
      </c>
      <c r="Y113" s="248">
        <v>1</v>
      </c>
      <c r="Z113" s="248">
        <v>1</v>
      </c>
      <c r="AA113" s="256"/>
      <c r="AB113" s="45">
        <v>1</v>
      </c>
      <c r="AC113" s="160">
        <v>23</v>
      </c>
      <c r="AD113" s="456"/>
      <c r="AE113" s="456"/>
      <c r="AF113" s="45" t="b">
        <v>0</v>
      </c>
      <c r="AG113" s="45" t="b">
        <v>0</v>
      </c>
      <c r="AH113" s="45" t="b">
        <v>0</v>
      </c>
      <c r="AI113" s="45" t="b">
        <v>0</v>
      </c>
      <c r="AJ113" s="45" t="b">
        <v>0</v>
      </c>
      <c r="AK113" s="456">
        <f t="shared" si="23"/>
        <v>23</v>
      </c>
      <c r="AL113" s="123">
        <v>1</v>
      </c>
      <c r="AM113" s="43"/>
      <c r="AN113" s="1427">
        <v>5</v>
      </c>
      <c r="AO113" s="43"/>
      <c r="AP113" s="1444">
        <v>0.249</v>
      </c>
      <c r="AQ113" s="53"/>
      <c r="AR113" s="43"/>
      <c r="AS113" s="357">
        <v>0</v>
      </c>
      <c r="AT113" s="53"/>
      <c r="AU113" s="123" t="b">
        <v>0</v>
      </c>
    </row>
    <row r="114" spans="1:47">
      <c r="A114" s="535" t="str">
        <f>Uebersetzung!D134</f>
        <v>Schaffhausen</v>
      </c>
      <c r="B114" s="45">
        <v>33</v>
      </c>
      <c r="C114" s="45"/>
      <c r="D114" s="45"/>
      <c r="E114" s="247"/>
      <c r="F114" s="45"/>
      <c r="G114" s="45"/>
      <c r="J114" s="123" t="str">
        <f>Uebersetzung!D78</f>
        <v>Kühlung</v>
      </c>
      <c r="K114" s="53" t="str">
        <f>J114</f>
        <v>Kühlung</v>
      </c>
      <c r="L114" s="123" t="str">
        <f>K114</f>
        <v>Kühlung</v>
      </c>
      <c r="M114" s="123" t="str">
        <f>L114</f>
        <v>Kühlung</v>
      </c>
      <c r="N114" s="592">
        <v>2</v>
      </c>
      <c r="T114" s="43" t="str">
        <f t="shared" si="22"/>
        <v>Wasser-Wärmepumpe, nur Warmwasser</v>
      </c>
      <c r="U114" s="45">
        <v>7</v>
      </c>
      <c r="V114" s="53" t="str">
        <f>Uebersetzung!D207</f>
        <v>Gas kondensierend Warmwasser</v>
      </c>
      <c r="W114" s="123" t="str">
        <f>Uebersetzung!D162</f>
        <v>Gasfeuerung kondensierend nur Warmwasser</v>
      </c>
      <c r="X114" s="248">
        <v>0.92</v>
      </c>
      <c r="Y114" s="248">
        <v>0.95</v>
      </c>
      <c r="Z114" s="248">
        <v>1</v>
      </c>
      <c r="AA114" s="256">
        <v>1</v>
      </c>
      <c r="AB114" s="45"/>
      <c r="AC114" s="160">
        <v>24</v>
      </c>
      <c r="AD114" s="456"/>
      <c r="AE114" s="456"/>
      <c r="AF114" s="45" t="b">
        <v>0</v>
      </c>
      <c r="AG114" s="45" t="b">
        <v>0</v>
      </c>
      <c r="AH114" s="45" t="b">
        <v>0</v>
      </c>
      <c r="AI114" s="45" t="b">
        <v>0</v>
      </c>
      <c r="AJ114" s="45" t="b">
        <v>0</v>
      </c>
      <c r="AK114" s="456">
        <f t="shared" si="23"/>
        <v>24</v>
      </c>
      <c r="AL114" s="123">
        <v>1</v>
      </c>
      <c r="AM114" s="43"/>
      <c r="AN114" s="1427">
        <v>6</v>
      </c>
      <c r="AO114" s="43"/>
      <c r="AP114" s="1444">
        <v>0.249</v>
      </c>
      <c r="AQ114" s="53"/>
      <c r="AR114" s="43"/>
      <c r="AS114" s="357">
        <v>0</v>
      </c>
      <c r="AT114" s="53"/>
      <c r="AU114" s="123" t="b">
        <v>0</v>
      </c>
    </row>
    <row r="115" spans="1:47">
      <c r="A115" s="535" t="str">
        <f>Uebersetzung!D135</f>
        <v>Solothurn</v>
      </c>
      <c r="B115" s="45">
        <v>38</v>
      </c>
      <c r="C115" s="45"/>
      <c r="D115" s="45"/>
      <c r="E115" s="247"/>
      <c r="F115" s="45"/>
      <c r="G115" s="45"/>
      <c r="J115" s="123" t="str">
        <f>Uebersetzung!D79</f>
        <v>Befeuchtung</v>
      </c>
      <c r="K115" s="53" t="str">
        <f t="shared" ref="K115:M117" si="24">J115</f>
        <v>Befeuchtung</v>
      </c>
      <c r="L115" s="123" t="str">
        <f t="shared" si="24"/>
        <v>Befeuchtung</v>
      </c>
      <c r="M115" s="123" t="str">
        <f t="shared" si="24"/>
        <v>Befeuchtung</v>
      </c>
      <c r="N115" s="592">
        <v>3</v>
      </c>
      <c r="T115" s="43" t="str">
        <f t="shared" si="22"/>
        <v>Wärmepumpe, Abwasser, nur Heizung</v>
      </c>
      <c r="U115" s="45">
        <v>8</v>
      </c>
      <c r="V115" s="53" t="str">
        <f>Uebersetzung!D208</f>
        <v>Gas - Wassererwärmer</v>
      </c>
      <c r="W115" s="123" t="str">
        <f>Uebersetzung!D163</f>
        <v>Gas - Wassererwärmer</v>
      </c>
      <c r="X115" s="248">
        <v>0.7</v>
      </c>
      <c r="Y115" s="248">
        <v>0.9</v>
      </c>
      <c r="Z115" s="248">
        <v>1</v>
      </c>
      <c r="AA115" s="256">
        <v>1</v>
      </c>
      <c r="AB115" s="45"/>
      <c r="AC115" s="160">
        <v>21</v>
      </c>
      <c r="AD115" s="456"/>
      <c r="AE115" s="456"/>
      <c r="AF115" s="45" t="b">
        <v>0</v>
      </c>
      <c r="AG115" s="45" t="b">
        <v>0</v>
      </c>
      <c r="AH115" s="45" t="b">
        <v>0</v>
      </c>
      <c r="AI115" s="45" t="b">
        <v>0</v>
      </c>
      <c r="AJ115" s="45" t="b">
        <v>0</v>
      </c>
      <c r="AK115" s="456">
        <f t="shared" si="23"/>
        <v>21</v>
      </c>
      <c r="AL115" s="123">
        <v>1</v>
      </c>
      <c r="AM115" s="43"/>
      <c r="AN115" s="1427">
        <v>7</v>
      </c>
      <c r="AO115" s="43"/>
      <c r="AP115" s="1444">
        <v>0.249</v>
      </c>
      <c r="AQ115" s="53"/>
      <c r="AR115" s="43"/>
      <c r="AS115" s="357">
        <v>0</v>
      </c>
      <c r="AT115" s="53"/>
      <c r="AU115" s="123" t="b">
        <v>0</v>
      </c>
    </row>
    <row r="116" spans="1:47">
      <c r="A116" s="535" t="str">
        <f>Uebersetzung!D136</f>
        <v>Schwyz</v>
      </c>
      <c r="B116" s="45">
        <v>21</v>
      </c>
      <c r="C116" s="45">
        <v>41</v>
      </c>
      <c r="D116" s="45"/>
      <c r="E116" s="247"/>
      <c r="F116" s="45"/>
      <c r="G116" s="45"/>
      <c r="J116" s="123" t="str">
        <f>Uebersetzung!D80</f>
        <v>Kühl. + Bef.</v>
      </c>
      <c r="K116" s="53" t="str">
        <f t="shared" si="24"/>
        <v>Kühl. + Bef.</v>
      </c>
      <c r="L116" s="123" t="str">
        <f t="shared" si="24"/>
        <v>Kühl. + Bef.</v>
      </c>
      <c r="M116" s="123" t="str">
        <f t="shared" si="24"/>
        <v>Kühl. + Bef.</v>
      </c>
      <c r="N116" s="592">
        <v>4</v>
      </c>
      <c r="T116" s="43" t="str">
        <f t="shared" si="22"/>
        <v>Wärmepumpe, Abwasser, nur Warmwasser</v>
      </c>
      <c r="U116" s="45">
        <v>9</v>
      </c>
      <c r="V116" s="53" t="str">
        <f>Uebersetzung!D209</f>
        <v>Holzfeuerung</v>
      </c>
      <c r="W116" s="123" t="str">
        <f>Uebersetzung!D164</f>
        <v>Holzfeuerung</v>
      </c>
      <c r="X116" s="248">
        <v>0.75</v>
      </c>
      <c r="Y116" s="248">
        <v>0.9</v>
      </c>
      <c r="Z116" s="952">
        <v>0.5</v>
      </c>
      <c r="AA116" s="256">
        <v>1</v>
      </c>
      <c r="AB116" s="45">
        <v>1</v>
      </c>
      <c r="AC116" s="160">
        <v>22</v>
      </c>
      <c r="AD116" s="456"/>
      <c r="AE116" s="456"/>
      <c r="AF116" s="45" t="b">
        <v>0</v>
      </c>
      <c r="AG116" s="45" t="b">
        <v>0</v>
      </c>
      <c r="AH116" s="45" t="b">
        <v>0</v>
      </c>
      <c r="AI116" s="45" t="b">
        <v>0</v>
      </c>
      <c r="AJ116" s="45" t="b">
        <v>0</v>
      </c>
      <c r="AK116" s="456">
        <f t="shared" si="23"/>
        <v>22</v>
      </c>
      <c r="AL116" s="123">
        <v>1</v>
      </c>
      <c r="AM116" s="43"/>
      <c r="AN116" s="1427">
        <v>8</v>
      </c>
      <c r="AO116" s="43"/>
      <c r="AP116" s="1444">
        <v>0.02</v>
      </c>
      <c r="AQ116" s="53"/>
      <c r="AR116" s="43"/>
      <c r="AS116" s="357">
        <v>1</v>
      </c>
      <c r="AT116" s="53"/>
      <c r="AU116" s="123" t="b">
        <v>0</v>
      </c>
    </row>
    <row r="117" spans="1:47">
      <c r="A117" s="535" t="str">
        <f>Uebersetzung!D137</f>
        <v>Thurgau</v>
      </c>
      <c r="B117" s="45">
        <v>15</v>
      </c>
      <c r="C117" s="45"/>
      <c r="D117" s="45"/>
      <c r="E117" s="247"/>
      <c r="F117" s="45"/>
      <c r="G117" s="45"/>
      <c r="J117" s="123" t="str">
        <f>Uebersetzung!D81</f>
        <v>keine</v>
      </c>
      <c r="K117" s="53" t="str">
        <f t="shared" si="24"/>
        <v>keine</v>
      </c>
      <c r="L117" s="123" t="str">
        <f t="shared" si="24"/>
        <v>keine</v>
      </c>
      <c r="M117" s="123" t="str">
        <f t="shared" si="24"/>
        <v>keine</v>
      </c>
      <c r="N117" s="592">
        <v>5</v>
      </c>
      <c r="T117" s="43" t="str">
        <f t="shared" si="22"/>
        <v>Wärmepumpe, Grundwasser, direkt, nur Heizung</v>
      </c>
      <c r="U117" s="45">
        <v>10</v>
      </c>
      <c r="V117" s="53" t="str">
        <f>Uebersetzung!D210</f>
        <v>Pelletfeuerung</v>
      </c>
      <c r="W117" s="123" t="str">
        <f>Uebersetzung!D165</f>
        <v>Pelletfeuerung</v>
      </c>
      <c r="X117" s="624">
        <v>0.85</v>
      </c>
      <c r="Y117" s="624">
        <v>0.9</v>
      </c>
      <c r="Z117" s="952">
        <v>0.5</v>
      </c>
      <c r="AA117" s="256">
        <v>1</v>
      </c>
      <c r="AB117" s="45">
        <v>1</v>
      </c>
      <c r="AC117" s="160">
        <v>25</v>
      </c>
      <c r="AD117" s="456"/>
      <c r="AE117" s="456"/>
      <c r="AF117" s="45" t="b">
        <v>0</v>
      </c>
      <c r="AG117" s="45" t="b">
        <v>0</v>
      </c>
      <c r="AH117" s="45" t="b">
        <v>0</v>
      </c>
      <c r="AI117" s="45" t="b">
        <v>0</v>
      </c>
      <c r="AJ117" s="45" t="b">
        <v>0</v>
      </c>
      <c r="AK117" s="456">
        <f t="shared" si="23"/>
        <v>25</v>
      </c>
      <c r="AL117" s="123">
        <v>1</v>
      </c>
      <c r="AM117" s="43"/>
      <c r="AN117" s="1427">
        <v>9</v>
      </c>
      <c r="AO117" s="43"/>
      <c r="AP117" s="1444">
        <v>4.8000000000000001E-2</v>
      </c>
      <c r="AQ117" s="53"/>
      <c r="AR117" s="43"/>
      <c r="AS117" s="357">
        <v>1</v>
      </c>
      <c r="AT117" s="53"/>
      <c r="AU117" s="123" t="b">
        <v>0</v>
      </c>
    </row>
    <row r="118" spans="1:47">
      <c r="A118" s="535" t="str">
        <f>Uebersetzung!D138</f>
        <v>Tessin</v>
      </c>
      <c r="B118" s="45">
        <v>19</v>
      </c>
      <c r="C118" s="45">
        <v>20</v>
      </c>
      <c r="D118" s="45">
        <v>22</v>
      </c>
      <c r="E118" s="247">
        <v>28</v>
      </c>
      <c r="F118" s="45">
        <v>31</v>
      </c>
      <c r="G118" s="45"/>
      <c r="J118" s="669">
        <f>IF(Eingaben!$F$39="",1,VLOOKUP(Eingaben!$F$39,Standardwerte!J113:N117,5,FALSE))</f>
        <v>1</v>
      </c>
      <c r="K118" s="670">
        <f>IF(Eingaben!$G$39="",1,VLOOKUP(Eingaben!$G$39,Standardwerte!K113:N117,4,FALSE))</f>
        <v>1</v>
      </c>
      <c r="L118" s="670">
        <f>IF(Eingaben!$H$39="",1,VLOOKUP(Eingaben!$H$39,Standardwerte!L113:N117,3,FALSE))</f>
        <v>1</v>
      </c>
      <c r="M118" s="670">
        <f>IF(Eingaben!$I$39="",1,VLOOKUP(Eingaben!$I$39,Standardwerte!M113:N117,2,FALSE))</f>
        <v>1</v>
      </c>
      <c r="T118" s="43" t="str">
        <f t="shared" si="22"/>
        <v>Wärmepumpe, Grundwasser, direkt, nur Warmwasser</v>
      </c>
      <c r="U118" s="45">
        <v>11</v>
      </c>
      <c r="V118" s="53" t="str">
        <f>Uebersetzung!D211</f>
        <v>Fernwärme (&lt;=50% nicht erneuerbar)</v>
      </c>
      <c r="W118" s="1033" t="str">
        <f>Uebersetzung!D166</f>
        <v>Fernwärme (inkl. Abwärme aus KVA,ARA), &lt;=50% nicht erneuerbar</v>
      </c>
      <c r="X118" s="952">
        <v>1</v>
      </c>
      <c r="Y118" s="952">
        <v>1</v>
      </c>
      <c r="Z118" s="952">
        <v>0.6</v>
      </c>
      <c r="AA118" s="1035">
        <v>1</v>
      </c>
      <c r="AB118" s="1035">
        <v>1</v>
      </c>
      <c r="AC118" s="160">
        <v>26</v>
      </c>
      <c r="AD118" s="1034" t="str">
        <f>Uebersetzung!D247</f>
        <v>Strom für Wärmepumpen ist doppelt zu gewichten</v>
      </c>
      <c r="AE118" s="1034"/>
      <c r="AF118" s="1035" t="b">
        <v>0</v>
      </c>
      <c r="AG118" s="1035" t="b">
        <v>0</v>
      </c>
      <c r="AH118" s="1035" t="b">
        <v>0</v>
      </c>
      <c r="AI118" s="1035" t="b">
        <v>0</v>
      </c>
      <c r="AJ118" s="1035" t="b">
        <v>0</v>
      </c>
      <c r="AK118" s="1034">
        <f t="shared" si="23"/>
        <v>26</v>
      </c>
      <c r="AL118" s="1033">
        <v>2</v>
      </c>
      <c r="AM118" s="43"/>
      <c r="AN118" s="1427">
        <v>10</v>
      </c>
      <c r="AO118" s="43"/>
      <c r="AP118" s="1444">
        <v>0.09</v>
      </c>
      <c r="AQ118" s="53"/>
      <c r="AR118" s="43"/>
      <c r="AS118" s="1773">
        <v>0.7</v>
      </c>
      <c r="AT118" s="53"/>
      <c r="AU118" s="123" t="b">
        <v>0</v>
      </c>
    </row>
    <row r="119" spans="1:47">
      <c r="A119" s="535" t="str">
        <f>Uebersetzung!D139</f>
        <v>Uri</v>
      </c>
      <c r="B119" s="45">
        <v>4</v>
      </c>
      <c r="C119" s="45"/>
      <c r="D119" s="45"/>
      <c r="E119" s="247"/>
      <c r="F119" s="45"/>
      <c r="G119" s="45"/>
      <c r="T119" s="43" t="str">
        <f t="shared" si="22"/>
        <v>Wärmepumpe, Grundwasser, indirekt, nur Heizung</v>
      </c>
      <c r="U119" s="45">
        <v>12</v>
      </c>
      <c r="V119" s="53" t="str">
        <f>Uebersetzung!D212</f>
        <v>Elektrospeicher-Zentralheizung</v>
      </c>
      <c r="W119" s="123" t="str">
        <f>Uebersetzung!D167</f>
        <v>Elektrospeicher-Zentralheizung</v>
      </c>
      <c r="X119" s="248">
        <v>0.93</v>
      </c>
      <c r="Y119" s="248">
        <v>0.95</v>
      </c>
      <c r="Z119" s="248">
        <v>2</v>
      </c>
      <c r="AA119" s="256"/>
      <c r="AB119" s="45">
        <v>1</v>
      </c>
      <c r="AC119" s="160">
        <v>27</v>
      </c>
      <c r="AD119" s="456"/>
      <c r="AE119" s="456"/>
      <c r="AF119" s="45" t="b">
        <v>0</v>
      </c>
      <c r="AG119" s="45" t="b">
        <v>0</v>
      </c>
      <c r="AH119" s="45" t="b">
        <v>0</v>
      </c>
      <c r="AI119" s="45" t="b">
        <v>0</v>
      </c>
      <c r="AJ119" s="45" t="b">
        <v>0</v>
      </c>
      <c r="AK119" s="456">
        <f t="shared" si="23"/>
        <v>27</v>
      </c>
      <c r="AL119" s="123">
        <v>1</v>
      </c>
      <c r="AM119" s="43"/>
      <c r="AN119" s="1427">
        <v>12</v>
      </c>
      <c r="AO119" s="43"/>
      <c r="AP119" s="1444">
        <v>0.13900000000000001</v>
      </c>
      <c r="AQ119" s="53"/>
      <c r="AR119" s="43"/>
      <c r="AS119" s="357">
        <v>1</v>
      </c>
      <c r="AT119" s="53"/>
      <c r="AU119" s="123" t="b">
        <v>0</v>
      </c>
    </row>
    <row r="120" spans="1:47">
      <c r="A120" s="535" t="str">
        <f>Uebersetzung!D140</f>
        <v>Waadt</v>
      </c>
      <c r="B120" s="45">
        <v>25</v>
      </c>
      <c r="C120" s="45">
        <v>17</v>
      </c>
      <c r="D120" s="45">
        <v>2</v>
      </c>
      <c r="E120" s="247"/>
      <c r="F120" s="45"/>
      <c r="G120" s="45"/>
      <c r="T120" s="43" t="str">
        <f t="shared" si="22"/>
        <v>Wärmepumpe, Grundwasser, indirekt, nur Warmwaser</v>
      </c>
      <c r="U120" s="45">
        <v>13</v>
      </c>
      <c r="V120" s="53" t="str">
        <f>Uebersetzung!D213</f>
        <v>Elektro direkt</v>
      </c>
      <c r="W120" s="123" t="str">
        <f>Uebersetzung!D168</f>
        <v>Elektro direkt</v>
      </c>
      <c r="X120" s="248">
        <v>1</v>
      </c>
      <c r="Y120" s="248">
        <v>1</v>
      </c>
      <c r="Z120" s="248">
        <v>2</v>
      </c>
      <c r="AA120" s="256"/>
      <c r="AB120" s="45">
        <v>1</v>
      </c>
      <c r="AC120" s="160">
        <v>28</v>
      </c>
      <c r="AD120" s="456"/>
      <c r="AE120" s="456"/>
      <c r="AF120" s="45" t="b">
        <v>0</v>
      </c>
      <c r="AG120" s="45" t="b">
        <v>0</v>
      </c>
      <c r="AH120" s="45" t="b">
        <v>0</v>
      </c>
      <c r="AI120" s="45" t="b">
        <v>0</v>
      </c>
      <c r="AJ120" s="45" t="b">
        <v>0</v>
      </c>
      <c r="AK120" s="456">
        <f t="shared" si="23"/>
        <v>28</v>
      </c>
      <c r="AL120" s="123">
        <v>1</v>
      </c>
      <c r="AM120" s="43"/>
      <c r="AN120" s="1427">
        <v>13</v>
      </c>
      <c r="AO120" s="43"/>
      <c r="AP120" s="1444">
        <v>0.13900000000000001</v>
      </c>
      <c r="AQ120" s="53"/>
      <c r="AR120" s="43"/>
      <c r="AS120" s="357">
        <v>1</v>
      </c>
      <c r="AT120" s="53"/>
      <c r="AU120" s="123" t="b">
        <v>0</v>
      </c>
    </row>
    <row r="121" spans="1:47">
      <c r="A121" s="535" t="str">
        <f>Uebersetzung!D141</f>
        <v>Wallis</v>
      </c>
      <c r="B121" s="45">
        <v>35</v>
      </c>
      <c r="C121" s="45">
        <v>39</v>
      </c>
      <c r="D121" s="45">
        <v>23</v>
      </c>
      <c r="E121" s="247">
        <v>14</v>
      </c>
      <c r="F121" s="45"/>
      <c r="G121" s="45"/>
      <c r="T121" s="43" t="str">
        <f t="shared" si="22"/>
        <v>Wärmepumpe Erdregister, nur Heizung</v>
      </c>
      <c r="U121" s="45">
        <v>14</v>
      </c>
      <c r="V121" s="53" t="str">
        <f>Uebersetzung!D214</f>
        <v>Elektro-Wassererwärmer</v>
      </c>
      <c r="W121" s="123" t="str">
        <f>Uebersetzung!D169</f>
        <v>Elektro-Wassererwärmer</v>
      </c>
      <c r="X121" s="248">
        <v>0.9</v>
      </c>
      <c r="Y121" s="248">
        <v>0.95</v>
      </c>
      <c r="Z121" s="248">
        <v>2</v>
      </c>
      <c r="AA121" s="256">
        <v>1</v>
      </c>
      <c r="AB121" s="45"/>
      <c r="AC121" s="160">
        <v>29</v>
      </c>
      <c r="AD121" s="456"/>
      <c r="AE121" s="456"/>
      <c r="AF121" s="45" t="b">
        <v>0</v>
      </c>
      <c r="AG121" s="45" t="b">
        <v>0</v>
      </c>
      <c r="AH121" s="45" t="b">
        <v>0</v>
      </c>
      <c r="AI121" s="45" t="b">
        <v>0</v>
      </c>
      <c r="AJ121" s="45" t="b">
        <v>0</v>
      </c>
      <c r="AK121" s="456">
        <f t="shared" si="23"/>
        <v>29</v>
      </c>
      <c r="AL121" s="123">
        <v>1</v>
      </c>
      <c r="AM121" s="43"/>
      <c r="AN121" s="1427">
        <v>14</v>
      </c>
      <c r="AO121" s="43"/>
      <c r="AP121" s="1444">
        <v>0.13900000000000001</v>
      </c>
      <c r="AQ121" s="53"/>
      <c r="AR121" s="43"/>
      <c r="AS121" s="357">
        <v>1</v>
      </c>
      <c r="AT121" s="53"/>
      <c r="AU121" s="123" t="b">
        <v>0</v>
      </c>
    </row>
    <row r="122" spans="1:47" ht="15">
      <c r="A122" s="535" t="str">
        <f>Uebersetzung!D142</f>
        <v>Zug</v>
      </c>
      <c r="B122" s="45">
        <v>21</v>
      </c>
      <c r="C122" s="45"/>
      <c r="D122" s="45"/>
      <c r="E122" s="247"/>
      <c r="F122" s="45"/>
      <c r="G122" s="45"/>
      <c r="I122" s="747" t="s">
        <v>784</v>
      </c>
      <c r="J122" s="743" t="s">
        <v>241</v>
      </c>
      <c r="K122" s="1064" t="s">
        <v>651</v>
      </c>
      <c r="L122" s="1046" t="s">
        <v>650</v>
      </c>
      <c r="M122" s="769"/>
      <c r="N122" s="2333" t="s">
        <v>788</v>
      </c>
      <c r="O122" s="2334"/>
      <c r="P122" s="2334"/>
      <c r="Q122" s="2335"/>
      <c r="R122" s="769"/>
      <c r="T122" s="43" t="str">
        <f t="shared" si="22"/>
        <v>Wärmepumpe Erdregister, nur Warmwasser</v>
      </c>
      <c r="U122" s="45">
        <v>15</v>
      </c>
      <c r="V122" s="53" t="str">
        <f>Uebersetzung!D215</f>
        <v>WKK - thermischer+elektr. Anteil</v>
      </c>
      <c r="W122" s="123" t="str">
        <f>Uebersetzung!D170</f>
        <v>WKK (fossil) - thermischer + elektrischer Anteil</v>
      </c>
      <c r="X122" s="248">
        <v>0.8</v>
      </c>
      <c r="Y122" s="248">
        <v>0.9</v>
      </c>
      <c r="Z122" s="248">
        <v>1</v>
      </c>
      <c r="AA122" s="256">
        <v>1</v>
      </c>
      <c r="AB122" s="45">
        <v>1</v>
      </c>
      <c r="AC122" s="160">
        <v>30</v>
      </c>
      <c r="AD122" s="456" t="str">
        <f>Uebersetzung!D249</f>
        <v>Nutzungsgrad elektrisch (Berechnung beilegen)</v>
      </c>
      <c r="AE122" s="456"/>
      <c r="AF122" s="45" t="b">
        <v>1</v>
      </c>
      <c r="AG122" s="45" t="b">
        <v>0</v>
      </c>
      <c r="AH122" s="45" t="b">
        <v>0</v>
      </c>
      <c r="AI122" s="45" t="b">
        <v>0</v>
      </c>
      <c r="AJ122" s="45" t="b">
        <v>0</v>
      </c>
      <c r="AK122" s="456">
        <f t="shared" si="23"/>
        <v>30</v>
      </c>
      <c r="AL122" s="123">
        <v>1</v>
      </c>
      <c r="AM122" s="43"/>
      <c r="AN122" s="1427">
        <v>15</v>
      </c>
      <c r="AO122" s="43"/>
      <c r="AP122" s="1444">
        <v>0.249</v>
      </c>
      <c r="AQ122" s="53"/>
      <c r="AR122" s="43"/>
      <c r="AS122" s="357">
        <v>1</v>
      </c>
      <c r="AT122" s="53"/>
      <c r="AU122" s="123" t="b">
        <v>0</v>
      </c>
    </row>
    <row r="123" spans="1:47">
      <c r="A123" s="535" t="str">
        <f>Uebersetzung!D143</f>
        <v>Zürich</v>
      </c>
      <c r="B123" s="45">
        <v>41</v>
      </c>
      <c r="C123" s="45"/>
      <c r="D123" s="45"/>
      <c r="E123" s="247"/>
      <c r="F123" s="45"/>
      <c r="G123" s="45"/>
      <c r="I123" s="1045">
        <v>2014</v>
      </c>
      <c r="J123" s="744"/>
      <c r="K123" s="777" t="s">
        <v>1716</v>
      </c>
      <c r="L123" s="776" t="s">
        <v>1716</v>
      </c>
      <c r="M123" s="770" t="s">
        <v>786</v>
      </c>
      <c r="N123" s="775" t="s">
        <v>555</v>
      </c>
      <c r="O123" s="777" t="s">
        <v>556</v>
      </c>
      <c r="P123" s="776" t="s">
        <v>234</v>
      </c>
      <c r="Q123" s="776" t="s">
        <v>235</v>
      </c>
      <c r="R123" s="770" t="s">
        <v>1713</v>
      </c>
      <c r="T123" s="43" t="str">
        <f t="shared" si="22"/>
        <v>Fernwärme (inkl. Abwärme aus KVA,ARA), &lt;=25% nicht erneuerbar</v>
      </c>
      <c r="U123" s="45">
        <v>16</v>
      </c>
      <c r="V123" s="53" t="str">
        <f>Uebersetzung!D216</f>
        <v>WKK Holz - therm.+elektr. Anteil</v>
      </c>
      <c r="W123" s="123" t="str">
        <f>Uebersetzung!D171</f>
        <v>WKK (Holz) - thermischer + elektrischer Anteil</v>
      </c>
      <c r="X123" s="248">
        <v>0.7</v>
      </c>
      <c r="Y123" s="248">
        <v>0.9</v>
      </c>
      <c r="Z123" s="952">
        <v>0.5</v>
      </c>
      <c r="AA123" s="256">
        <v>1</v>
      </c>
      <c r="AB123" s="45">
        <v>1</v>
      </c>
      <c r="AC123" s="160">
        <v>46</v>
      </c>
      <c r="AD123" s="456" t="str">
        <f>AD122</f>
        <v>Nutzungsgrad elektrisch (Berechnung beilegen)</v>
      </c>
      <c r="AE123" s="456"/>
      <c r="AF123" s="45" t="b">
        <v>1</v>
      </c>
      <c r="AG123" s="45" t="b">
        <v>0</v>
      </c>
      <c r="AH123" s="45" t="b">
        <v>1</v>
      </c>
      <c r="AI123" s="45" t="b">
        <v>0</v>
      </c>
      <c r="AJ123" s="45" t="b">
        <v>0</v>
      </c>
      <c r="AK123" s="456">
        <f t="shared" si="23"/>
        <v>46</v>
      </c>
      <c r="AL123" s="123">
        <v>1</v>
      </c>
      <c r="AM123" s="43"/>
      <c r="AN123" s="1427">
        <v>16</v>
      </c>
      <c r="AO123" s="43"/>
      <c r="AP123" s="1444">
        <v>0.02</v>
      </c>
      <c r="AQ123" s="53"/>
      <c r="AR123" s="43"/>
      <c r="AS123" s="357">
        <v>1</v>
      </c>
      <c r="AT123" s="53"/>
      <c r="AU123" s="123" t="b">
        <v>0</v>
      </c>
    </row>
    <row r="124" spans="1:47">
      <c r="A124" s="535" t="str">
        <f>Uebersetzung!D144</f>
        <v>Fürstentum Liechtenstein</v>
      </c>
      <c r="B124" s="45">
        <v>37</v>
      </c>
      <c r="C124" s="45">
        <v>11</v>
      </c>
      <c r="D124" s="45"/>
      <c r="E124" s="247"/>
      <c r="F124" s="45"/>
      <c r="G124" s="45"/>
      <c r="I124" s="745"/>
      <c r="J124" s="746" t="s">
        <v>632</v>
      </c>
      <c r="K124" s="1065" t="s">
        <v>1717</v>
      </c>
      <c r="L124" s="1063" t="s">
        <v>1717</v>
      </c>
      <c r="M124" s="771" t="s">
        <v>785</v>
      </c>
      <c r="N124" s="783" t="e">
        <f>IF(J103,INDEX($L$9:$L$21,Kategorie1,1),0)</f>
        <v>#VALUE!</v>
      </c>
      <c r="O124" s="783" t="e">
        <f>IF(K103,INDEX($L$9:$L$21,Kategorie2,1),0)</f>
        <v>#VALUE!</v>
      </c>
      <c r="P124" s="783" t="e">
        <f>IF(L103,INDEX($L$9:$L$21,Kategorie3,1),0)</f>
        <v>#VALUE!</v>
      </c>
      <c r="Q124" s="783" t="e">
        <f>IF(M103,INDEX($L$9:$L$21,Kategorie4,1),0)</f>
        <v>#VALUE!</v>
      </c>
      <c r="R124" s="771" t="s">
        <v>1714</v>
      </c>
      <c r="T124" s="43" t="str">
        <f t="shared" si="22"/>
        <v>Fernwärme (inkl. Abwärme aus KVA,ARA), &lt;=50% nicht erneuerbar</v>
      </c>
      <c r="U124" s="45">
        <v>17</v>
      </c>
      <c r="V124" s="53" t="str">
        <f>Uebersetzung!D217</f>
        <v>Luft-Wärmepumpe, Heizung</v>
      </c>
      <c r="W124" s="123" t="str">
        <f>Uebersetzung!D172</f>
        <v>Wärmepumpe Aussenluft, nur Heizung</v>
      </c>
      <c r="X124" s="624">
        <v>2.2999999999999998</v>
      </c>
      <c r="Y124" s="624">
        <v>6</v>
      </c>
      <c r="Z124" s="248">
        <v>2</v>
      </c>
      <c r="AA124" s="256"/>
      <c r="AB124" s="45">
        <v>1</v>
      </c>
      <c r="AC124" s="160">
        <v>11</v>
      </c>
      <c r="AD124" s="456"/>
      <c r="AE124" s="456"/>
      <c r="AF124" s="45" t="b">
        <v>0</v>
      </c>
      <c r="AG124" s="45" t="b">
        <v>0</v>
      </c>
      <c r="AH124" s="45" t="b">
        <v>0</v>
      </c>
      <c r="AI124" s="45" t="b">
        <v>0</v>
      </c>
      <c r="AJ124" s="45" t="b">
        <v>0</v>
      </c>
      <c r="AK124" s="456">
        <f t="shared" si="23"/>
        <v>11</v>
      </c>
      <c r="AL124" s="123">
        <v>1</v>
      </c>
      <c r="AM124" s="43"/>
      <c r="AN124" s="1427">
        <v>17</v>
      </c>
      <c r="AO124" s="43"/>
      <c r="AP124" s="1444">
        <v>0.13900000000000001</v>
      </c>
      <c r="AQ124" s="53"/>
      <c r="AR124" s="43"/>
      <c r="AS124" s="357">
        <v>1</v>
      </c>
      <c r="AT124" s="53"/>
      <c r="AU124" s="123" t="b">
        <v>1</v>
      </c>
    </row>
    <row r="125" spans="1:47">
      <c r="A125" s="536" t="str">
        <f>Uebersetzung!D145</f>
        <v>Spezial</v>
      </c>
      <c r="B125" s="111"/>
      <c r="C125" s="111"/>
      <c r="D125" s="111"/>
      <c r="E125" s="551"/>
      <c r="F125" s="111"/>
      <c r="G125" s="49"/>
      <c r="H125" s="27">
        <v>1</v>
      </c>
      <c r="I125" s="43"/>
      <c r="J125" s="42"/>
      <c r="K125" s="123"/>
      <c r="L125" s="729"/>
      <c r="M125" s="36"/>
      <c r="N125" s="113"/>
      <c r="O125" s="40"/>
      <c r="P125" s="40"/>
      <c r="Q125" s="114"/>
      <c r="R125" s="40"/>
      <c r="T125" s="43" t="str">
        <f t="shared" si="22"/>
        <v>Fernwärme (inkl. Abwärme aus KVA,ARA), &lt;=75% nicht erneuerbar</v>
      </c>
      <c r="U125" s="45">
        <v>18</v>
      </c>
      <c r="V125" s="53" t="str">
        <f>Uebersetzung!D218</f>
        <v>Luft-Wärmepumpe, Warmwasser</v>
      </c>
      <c r="W125" s="123" t="str">
        <f>Uebersetzung!D173</f>
        <v>Wärmepumpe, Aussenluft, nur Warmwasser</v>
      </c>
      <c r="X125" s="624">
        <v>2.2999999999999998</v>
      </c>
      <c r="Y125" s="624">
        <v>5</v>
      </c>
      <c r="Z125" s="248">
        <v>2</v>
      </c>
      <c r="AA125" s="256">
        <v>1</v>
      </c>
      <c r="AB125" s="45"/>
      <c r="AC125" s="160">
        <v>45</v>
      </c>
      <c r="AD125" s="456"/>
      <c r="AE125" s="456"/>
      <c r="AF125" s="45" t="b">
        <v>0</v>
      </c>
      <c r="AG125" s="45" t="b">
        <v>0</v>
      </c>
      <c r="AH125" s="45" t="b">
        <v>0</v>
      </c>
      <c r="AI125" s="45" t="b">
        <v>0</v>
      </c>
      <c r="AJ125" s="45" t="b">
        <v>0</v>
      </c>
      <c r="AK125" s="456">
        <f t="shared" si="23"/>
        <v>45</v>
      </c>
      <c r="AL125" s="123">
        <v>1</v>
      </c>
      <c r="AM125" s="43"/>
      <c r="AN125" s="1427">
        <v>18</v>
      </c>
      <c r="AO125" s="43"/>
      <c r="AP125" s="1444">
        <v>0.13900000000000001</v>
      </c>
      <c r="AQ125" s="53"/>
      <c r="AR125" s="43"/>
      <c r="AS125" s="357">
        <v>1</v>
      </c>
      <c r="AT125" s="53"/>
      <c r="AU125" s="123" t="b">
        <v>1</v>
      </c>
    </row>
    <row r="126" spans="1:47">
      <c r="A126" s="541" t="str">
        <f t="shared" ref="A126:F126" si="25">IF(Kanton&gt;1,INDEX(A127:A155,Kanton,1),"")</f>
        <v/>
      </c>
      <c r="B126" s="541" t="str">
        <f t="shared" si="25"/>
        <v/>
      </c>
      <c r="C126" s="541" t="str">
        <f t="shared" si="25"/>
        <v/>
      </c>
      <c r="D126" s="541" t="str">
        <f t="shared" si="25"/>
        <v/>
      </c>
      <c r="E126" s="541" t="str">
        <f t="shared" si="25"/>
        <v/>
      </c>
      <c r="F126" s="541" t="str">
        <f t="shared" si="25"/>
        <v/>
      </c>
      <c r="G126" s="548"/>
      <c r="H126" s="27">
        <v>2</v>
      </c>
      <c r="I126" s="43" t="s">
        <v>49</v>
      </c>
      <c r="J126" s="42" t="s">
        <v>29</v>
      </c>
      <c r="K126" s="45">
        <v>60</v>
      </c>
      <c r="L126" s="729">
        <v>35</v>
      </c>
      <c r="M126" s="780">
        <f>L126+G157</f>
        <v>35</v>
      </c>
      <c r="N126" s="780">
        <f t="shared" ref="N126:N137" si="26">IF(Kategorie1=$H126,IF(Neubau1=3,$K126+$R126,$M126)-IF(J$103=FALSE,INDEX($L$9:$L$21,Kategorie1,1),0)/3.6,0)</f>
        <v>0</v>
      </c>
      <c r="O126" s="781">
        <f t="shared" ref="O126:O137" si="27">IF(Kategorie2=$H126,IF(Neubau2=3,$K126+$R126,$M126)-IF(K$103=FALSE,INDEX($L$9:$L$21,Kategorie2,1),0)/3.6,0)</f>
        <v>0</v>
      </c>
      <c r="P126" s="781">
        <f t="shared" ref="P126:P137" si="28">IF(Kategorie3=$H126,IF(Neubau3=3,$K126+$R126,$M126)-IF(L$103=FALSE,INDEX($L$9:$L$21,Kategorie3,1),0)/3.6,0)</f>
        <v>0</v>
      </c>
      <c r="Q126" s="784">
        <f t="shared" ref="Q126:Q137" si="29">IF(Kategorie4=$H126,IF(Neubau4=3,$K126+$R126,$M126)-IF(M$103=FALSE,INDEX($L$9:$L$21,Kategorie4,1),0)/3.6,0)</f>
        <v>0</v>
      </c>
      <c r="R126" s="781">
        <f>G157</f>
        <v>0</v>
      </c>
      <c r="T126" s="43" t="str">
        <f t="shared" si="22"/>
        <v>Fernwärme (inkl. Abwärme aus KVA,ARA), &gt;75% nicht erneuerbar</v>
      </c>
      <c r="U126" s="45">
        <v>19</v>
      </c>
      <c r="V126" s="53" t="str">
        <f>Uebersetzung!D219</f>
        <v>Erdsonden-WP, Heizung</v>
      </c>
      <c r="W126" s="123" t="str">
        <f>Uebersetzung!D174</f>
        <v>Wärmepumpe, Erdwärmesonde, nur Heizung</v>
      </c>
      <c r="X126" s="624">
        <v>3.1</v>
      </c>
      <c r="Y126" s="624">
        <v>10</v>
      </c>
      <c r="Z126" s="248">
        <v>2</v>
      </c>
      <c r="AA126" s="256"/>
      <c r="AB126" s="45">
        <v>1</v>
      </c>
      <c r="AC126" s="160">
        <v>44</v>
      </c>
      <c r="AD126" s="456"/>
      <c r="AE126" s="456"/>
      <c r="AF126" s="45" t="b">
        <v>0</v>
      </c>
      <c r="AG126" s="45" t="b">
        <v>0</v>
      </c>
      <c r="AH126" s="45" t="b">
        <v>0</v>
      </c>
      <c r="AI126" s="45" t="b">
        <v>0</v>
      </c>
      <c r="AJ126" s="45" t="b">
        <v>0</v>
      </c>
      <c r="AK126" s="456">
        <f t="shared" si="23"/>
        <v>44</v>
      </c>
      <c r="AL126" s="123">
        <v>1</v>
      </c>
      <c r="AM126" s="43"/>
      <c r="AN126" s="1427">
        <v>19</v>
      </c>
      <c r="AO126" s="43"/>
      <c r="AP126" s="1444">
        <v>0.13900000000000001</v>
      </c>
      <c r="AQ126" s="53"/>
      <c r="AR126" s="43"/>
      <c r="AS126" s="357">
        <v>1</v>
      </c>
      <c r="AT126" s="53"/>
      <c r="AU126" s="123" t="b">
        <v>1</v>
      </c>
    </row>
    <row r="127" spans="1:47">
      <c r="A127" s="540"/>
      <c r="B127" s="540"/>
      <c r="C127" s="540"/>
      <c r="D127" s="90"/>
      <c r="E127" s="40"/>
      <c r="F127" s="40"/>
      <c r="G127" s="89"/>
      <c r="H127" s="27">
        <v>3</v>
      </c>
      <c r="I127" s="43" t="s">
        <v>50</v>
      </c>
      <c r="J127" s="42" t="s">
        <v>0</v>
      </c>
      <c r="K127" s="45">
        <v>60</v>
      </c>
      <c r="L127" s="729">
        <v>35</v>
      </c>
      <c r="M127" s="780">
        <f>L127+O157</f>
        <v>35</v>
      </c>
      <c r="N127" s="780">
        <f t="shared" si="26"/>
        <v>0</v>
      </c>
      <c r="O127" s="781">
        <f t="shared" si="27"/>
        <v>0</v>
      </c>
      <c r="P127" s="781">
        <f t="shared" si="28"/>
        <v>0</v>
      </c>
      <c r="Q127" s="784">
        <f t="shared" si="29"/>
        <v>0</v>
      </c>
      <c r="R127" s="781">
        <f>O157</f>
        <v>0</v>
      </c>
      <c r="T127" s="43" t="str">
        <f t="shared" si="22"/>
        <v>Holzfeuerung</v>
      </c>
      <c r="U127" s="45">
        <v>20</v>
      </c>
      <c r="V127" s="53" t="str">
        <f>Uebersetzung!D220</f>
        <v>Erdsonden-WP, Warmwasser</v>
      </c>
      <c r="W127" s="123" t="str">
        <f>Uebersetzung!D175</f>
        <v>Wärmepumpe, Erdwärmesonde, nur Warmwasser</v>
      </c>
      <c r="X127" s="624">
        <v>2.7</v>
      </c>
      <c r="Y127" s="624">
        <v>7</v>
      </c>
      <c r="Z127" s="248">
        <v>2</v>
      </c>
      <c r="AA127" s="256">
        <v>1</v>
      </c>
      <c r="AB127" s="45"/>
      <c r="AC127" s="160">
        <v>9</v>
      </c>
      <c r="AD127" s="456"/>
      <c r="AE127" s="456"/>
      <c r="AF127" s="45" t="b">
        <v>0</v>
      </c>
      <c r="AG127" s="45" t="b">
        <v>0</v>
      </c>
      <c r="AH127" s="45" t="b">
        <v>0</v>
      </c>
      <c r="AI127" s="45" t="b">
        <v>0</v>
      </c>
      <c r="AJ127" s="45" t="b">
        <v>0</v>
      </c>
      <c r="AK127" s="456">
        <f t="shared" si="23"/>
        <v>9</v>
      </c>
      <c r="AL127" s="123">
        <v>1</v>
      </c>
      <c r="AM127" s="43"/>
      <c r="AN127" s="1427">
        <v>20</v>
      </c>
      <c r="AO127" s="43"/>
      <c r="AP127" s="1444">
        <v>0.13900000000000001</v>
      </c>
      <c r="AQ127" s="53"/>
      <c r="AR127" s="43"/>
      <c r="AS127" s="357">
        <v>1</v>
      </c>
      <c r="AT127" s="53"/>
      <c r="AU127" s="123" t="b">
        <v>1</v>
      </c>
    </row>
    <row r="128" spans="1:47">
      <c r="A128" s="91" t="str">
        <f t="shared" ref="A128:F137" si="30">IF(B98&gt;0,INDEX($A$54:$A$94,B98,1),"")</f>
        <v>Buchs Aarau</v>
      </c>
      <c r="B128" s="91" t="str">
        <f t="shared" si="30"/>
        <v>Basel-Binningen</v>
      </c>
      <c r="C128" s="91" t="str">
        <f t="shared" si="30"/>
        <v/>
      </c>
      <c r="D128" s="91" t="str">
        <f t="shared" si="30"/>
        <v/>
      </c>
      <c r="E128" s="91" t="str">
        <f t="shared" si="30"/>
        <v/>
      </c>
      <c r="F128" s="91" t="str">
        <f t="shared" si="30"/>
        <v/>
      </c>
      <c r="G128" s="123" t="str">
        <f>A126</f>
        <v/>
      </c>
      <c r="H128" s="27">
        <v>4</v>
      </c>
      <c r="I128" s="43" t="s">
        <v>5</v>
      </c>
      <c r="J128" s="42" t="s">
        <v>1</v>
      </c>
      <c r="K128" s="45">
        <v>55</v>
      </c>
      <c r="L128" s="729">
        <v>40</v>
      </c>
      <c r="M128" s="780">
        <f>L128+W157</f>
        <v>40</v>
      </c>
      <c r="N128" s="780">
        <f t="shared" si="26"/>
        <v>0</v>
      </c>
      <c r="O128" s="781">
        <f t="shared" si="27"/>
        <v>0</v>
      </c>
      <c r="P128" s="781">
        <f t="shared" si="28"/>
        <v>0</v>
      </c>
      <c r="Q128" s="784">
        <f t="shared" si="29"/>
        <v>0</v>
      </c>
      <c r="R128" s="781">
        <f>W157</f>
        <v>0</v>
      </c>
      <c r="T128" s="43" t="str">
        <f t="shared" si="22"/>
        <v>Pelletfeuerung</v>
      </c>
      <c r="U128" s="45">
        <v>21</v>
      </c>
      <c r="V128" s="53" t="str">
        <f>Uebersetzung!D221</f>
        <v>Abwasser-WP (direkt), Heizung</v>
      </c>
      <c r="W128" s="123" t="str">
        <f>Uebersetzung!D176</f>
        <v>Wärmepumpe, Abwasser, nur Heizung</v>
      </c>
      <c r="X128" s="624">
        <v>2.7</v>
      </c>
      <c r="Y128" s="624">
        <v>10</v>
      </c>
      <c r="Z128" s="248">
        <v>2</v>
      </c>
      <c r="AA128" s="256"/>
      <c r="AB128" s="45">
        <v>1</v>
      </c>
      <c r="AC128" s="160">
        <v>10</v>
      </c>
      <c r="AD128" s="456"/>
      <c r="AE128" s="456"/>
      <c r="AF128" s="45" t="b">
        <v>0</v>
      </c>
      <c r="AG128" s="45" t="b">
        <v>0</v>
      </c>
      <c r="AH128" s="45" t="b">
        <v>0</v>
      </c>
      <c r="AI128" s="45" t="b">
        <v>0</v>
      </c>
      <c r="AJ128" s="45" t="b">
        <v>0</v>
      </c>
      <c r="AK128" s="456">
        <f t="shared" si="23"/>
        <v>10</v>
      </c>
      <c r="AL128" s="123">
        <v>1</v>
      </c>
      <c r="AM128" s="43"/>
      <c r="AN128" s="1427">
        <v>21</v>
      </c>
      <c r="AO128" s="43"/>
      <c r="AP128" s="1444">
        <v>0.13900000000000001</v>
      </c>
      <c r="AQ128" s="53"/>
      <c r="AR128" s="43"/>
      <c r="AS128" s="357">
        <v>1</v>
      </c>
      <c r="AT128" s="53"/>
      <c r="AU128" s="123" t="b">
        <v>1</v>
      </c>
    </row>
    <row r="129" spans="1:47">
      <c r="A129" s="91" t="str">
        <f t="shared" si="30"/>
        <v>St. Gallen</v>
      </c>
      <c r="B129" s="91" t="str">
        <f t="shared" si="30"/>
        <v/>
      </c>
      <c r="C129" s="91" t="str">
        <f t="shared" si="30"/>
        <v/>
      </c>
      <c r="D129" s="91" t="str">
        <f t="shared" si="30"/>
        <v/>
      </c>
      <c r="E129" s="91" t="str">
        <f t="shared" si="30"/>
        <v/>
      </c>
      <c r="F129" s="91" t="str">
        <f t="shared" si="30"/>
        <v/>
      </c>
      <c r="G129" s="123" t="str">
        <f>B126</f>
        <v/>
      </c>
      <c r="H129" s="27">
        <v>5</v>
      </c>
      <c r="I129" s="43" t="s">
        <v>7</v>
      </c>
      <c r="J129" s="42" t="s">
        <v>2</v>
      </c>
      <c r="K129" s="45">
        <v>55</v>
      </c>
      <c r="L129" s="729">
        <v>35</v>
      </c>
      <c r="M129" s="780">
        <f>L129+AE157</f>
        <v>35</v>
      </c>
      <c r="N129" s="780">
        <f t="shared" si="26"/>
        <v>0</v>
      </c>
      <c r="O129" s="781">
        <f t="shared" si="27"/>
        <v>0</v>
      </c>
      <c r="P129" s="781">
        <f t="shared" si="28"/>
        <v>0</v>
      </c>
      <c r="Q129" s="784">
        <f t="shared" si="29"/>
        <v>0</v>
      </c>
      <c r="R129" s="781">
        <f>AE157</f>
        <v>0</v>
      </c>
      <c r="T129" s="43" t="str">
        <f t="shared" si="22"/>
        <v>Solarenergie thermisch, nur Heizung</v>
      </c>
      <c r="U129" s="45">
        <v>22</v>
      </c>
      <c r="V129" s="53" t="str">
        <f>Uebersetzung!D222</f>
        <v>Abwasser-WP direkt, Warmwasser</v>
      </c>
      <c r="W129" s="123" t="str">
        <f>Uebersetzung!D177</f>
        <v>Wärmepumpe, Abwasser, nur Warmwasser</v>
      </c>
      <c r="X129" s="624">
        <v>2.8</v>
      </c>
      <c r="Y129" s="624">
        <v>7</v>
      </c>
      <c r="Z129" s="248">
        <v>2</v>
      </c>
      <c r="AA129" s="256">
        <v>1</v>
      </c>
      <c r="AB129" s="45"/>
      <c r="AC129" s="160">
        <v>31</v>
      </c>
      <c r="AD129" s="456"/>
      <c r="AE129" s="456"/>
      <c r="AF129" s="45" t="b">
        <v>0</v>
      </c>
      <c r="AG129" s="45" t="b">
        <v>0</v>
      </c>
      <c r="AH129" s="45" t="b">
        <v>0</v>
      </c>
      <c r="AI129" s="45" t="b">
        <v>0</v>
      </c>
      <c r="AJ129" s="45" t="b">
        <v>0</v>
      </c>
      <c r="AK129" s="456">
        <f t="shared" si="23"/>
        <v>31</v>
      </c>
      <c r="AL129" s="123">
        <v>1</v>
      </c>
      <c r="AM129" s="43"/>
      <c r="AN129" s="1427">
        <v>22</v>
      </c>
      <c r="AO129" s="43"/>
      <c r="AP129" s="1444">
        <v>0.13900000000000001</v>
      </c>
      <c r="AQ129" s="53"/>
      <c r="AR129" s="43"/>
      <c r="AS129" s="357">
        <v>1</v>
      </c>
      <c r="AT129" s="53"/>
      <c r="AU129" s="123" t="b">
        <v>1</v>
      </c>
    </row>
    <row r="130" spans="1:47">
      <c r="A130" s="91" t="str">
        <f t="shared" si="30"/>
        <v>St. Gallen</v>
      </c>
      <c r="B130" s="91" t="str">
        <f t="shared" si="30"/>
        <v/>
      </c>
      <c r="C130" s="91" t="str">
        <f t="shared" si="30"/>
        <v/>
      </c>
      <c r="D130" s="91" t="str">
        <f t="shared" si="30"/>
        <v/>
      </c>
      <c r="E130" s="91" t="str">
        <f t="shared" si="30"/>
        <v/>
      </c>
      <c r="F130" s="91" t="str">
        <f t="shared" si="30"/>
        <v/>
      </c>
      <c r="G130" s="123" t="str">
        <f>C126</f>
        <v/>
      </c>
      <c r="H130" s="27">
        <v>6</v>
      </c>
      <c r="I130" s="43" t="s">
        <v>9</v>
      </c>
      <c r="J130" s="42" t="s">
        <v>237</v>
      </c>
      <c r="K130" s="45">
        <v>55</v>
      </c>
      <c r="L130" s="729">
        <v>40</v>
      </c>
      <c r="M130" s="780">
        <f>L130+AM157</f>
        <v>40</v>
      </c>
      <c r="N130" s="780">
        <f t="shared" si="26"/>
        <v>0</v>
      </c>
      <c r="O130" s="781">
        <f t="shared" si="27"/>
        <v>0</v>
      </c>
      <c r="P130" s="781">
        <f t="shared" si="28"/>
        <v>0</v>
      </c>
      <c r="Q130" s="784">
        <f t="shared" si="29"/>
        <v>0</v>
      </c>
      <c r="R130" s="781">
        <f>AM157</f>
        <v>0</v>
      </c>
      <c r="T130" s="43" t="str">
        <f t="shared" si="22"/>
        <v>Solarenergie thermisch, nur Warmwasser</v>
      </c>
      <c r="U130" s="45">
        <v>23</v>
      </c>
      <c r="V130" s="53" t="str">
        <f>Uebersetzung!D223</f>
        <v>Wasser-Wärmepumpe, Heizung</v>
      </c>
      <c r="W130" s="123" t="str">
        <f>Uebersetzung!D178</f>
        <v>Wasser-Wärmepumpe, nur Heizung</v>
      </c>
      <c r="X130" s="624">
        <v>2.7</v>
      </c>
      <c r="Y130" s="624">
        <v>10</v>
      </c>
      <c r="Z130" s="248">
        <v>2</v>
      </c>
      <c r="AA130" s="256"/>
      <c r="AB130" s="45">
        <v>1</v>
      </c>
      <c r="AC130" s="160">
        <v>32</v>
      </c>
      <c r="AD130" s="456"/>
      <c r="AE130" s="456"/>
      <c r="AF130" s="45" t="b">
        <v>0</v>
      </c>
      <c r="AG130" s="45" t="b">
        <v>0</v>
      </c>
      <c r="AH130" s="45" t="b">
        <v>0</v>
      </c>
      <c r="AI130" s="45" t="b">
        <v>0</v>
      </c>
      <c r="AJ130" s="45" t="b">
        <v>0</v>
      </c>
      <c r="AK130" s="456">
        <f t="shared" si="23"/>
        <v>32</v>
      </c>
      <c r="AL130" s="123">
        <v>1</v>
      </c>
      <c r="AM130" s="43"/>
      <c r="AN130" s="1427">
        <v>23</v>
      </c>
      <c r="AO130" s="43"/>
      <c r="AP130" s="1444">
        <v>0.13900000000000001</v>
      </c>
      <c r="AQ130" s="53"/>
      <c r="AR130" s="43"/>
      <c r="AS130" s="357">
        <v>1</v>
      </c>
      <c r="AT130" s="53"/>
      <c r="AU130" s="123" t="b">
        <v>1</v>
      </c>
    </row>
    <row r="131" spans="1:47">
      <c r="A131" s="91" t="str">
        <f t="shared" si="30"/>
        <v>Bern  Liebefeld</v>
      </c>
      <c r="B131" s="91" t="str">
        <f t="shared" si="30"/>
        <v>Adelboden</v>
      </c>
      <c r="C131" s="91" t="str">
        <f t="shared" si="30"/>
        <v/>
      </c>
      <c r="D131" s="91" t="str">
        <f t="shared" si="30"/>
        <v/>
      </c>
      <c r="E131" s="91" t="str">
        <f t="shared" si="30"/>
        <v/>
      </c>
      <c r="F131" s="91" t="str">
        <f t="shared" si="30"/>
        <v/>
      </c>
      <c r="G131" s="123" t="str">
        <f>D126</f>
        <v/>
      </c>
      <c r="H131" s="27">
        <v>7</v>
      </c>
      <c r="I131" s="43" t="s">
        <v>10</v>
      </c>
      <c r="J131" s="42" t="s">
        <v>3</v>
      </c>
      <c r="K131" s="45">
        <v>65</v>
      </c>
      <c r="L131" s="729">
        <v>45</v>
      </c>
      <c r="M131" s="780">
        <f>L131+AU157</f>
        <v>45</v>
      </c>
      <c r="N131" s="780">
        <f t="shared" si="26"/>
        <v>0</v>
      </c>
      <c r="O131" s="781">
        <f t="shared" si="27"/>
        <v>0</v>
      </c>
      <c r="P131" s="781">
        <f t="shared" si="28"/>
        <v>0</v>
      </c>
      <c r="Q131" s="784">
        <f t="shared" si="29"/>
        <v>0</v>
      </c>
      <c r="R131" s="781">
        <f>AU157</f>
        <v>0</v>
      </c>
      <c r="T131" s="43" t="str">
        <f t="shared" si="22"/>
        <v>Solarenergie thermisch, Heizung + WW</v>
      </c>
      <c r="U131" s="45">
        <v>24</v>
      </c>
      <c r="V131" s="53" t="str">
        <f>Uebersetzung!D224</f>
        <v>Wasser-WP, Warmwasser</v>
      </c>
      <c r="W131" s="123" t="str">
        <f>Uebersetzung!D179</f>
        <v>Wasser-Wärmepumpe, nur Warmwasser</v>
      </c>
      <c r="X131" s="624">
        <v>2.8</v>
      </c>
      <c r="Y131" s="624">
        <v>7</v>
      </c>
      <c r="Z131" s="248">
        <v>2</v>
      </c>
      <c r="AA131" s="256">
        <v>1</v>
      </c>
      <c r="AB131" s="1917"/>
      <c r="AC131" s="160">
        <v>33</v>
      </c>
      <c r="AD131" s="456"/>
      <c r="AE131" s="456"/>
      <c r="AF131" s="45" t="b">
        <v>0</v>
      </c>
      <c r="AG131" s="45" t="b">
        <v>0</v>
      </c>
      <c r="AH131" s="45" t="b">
        <v>0</v>
      </c>
      <c r="AI131" s="45" t="b">
        <v>0</v>
      </c>
      <c r="AJ131" s="45" t="b">
        <v>0</v>
      </c>
      <c r="AK131" s="456">
        <f t="shared" si="23"/>
        <v>33</v>
      </c>
      <c r="AL131" s="123">
        <v>1</v>
      </c>
      <c r="AM131" s="43"/>
      <c r="AN131" s="1427">
        <v>24</v>
      </c>
      <c r="AO131" s="43"/>
      <c r="AP131" s="1444">
        <v>0.13900000000000001</v>
      </c>
      <c r="AQ131" s="53"/>
      <c r="AR131" s="43"/>
      <c r="AS131" s="357">
        <v>1</v>
      </c>
      <c r="AT131" s="53"/>
      <c r="AU131" s="123" t="b">
        <v>1</v>
      </c>
    </row>
    <row r="132" spans="1:47">
      <c r="A132" s="91" t="str">
        <f t="shared" si="30"/>
        <v>Basel-Binningen</v>
      </c>
      <c r="B132" s="91" t="str">
        <f t="shared" si="30"/>
        <v/>
      </c>
      <c r="C132" s="91" t="str">
        <f t="shared" si="30"/>
        <v/>
      </c>
      <c r="D132" s="91" t="str">
        <f t="shared" si="30"/>
        <v/>
      </c>
      <c r="E132" s="91" t="str">
        <f t="shared" si="30"/>
        <v/>
      </c>
      <c r="F132" s="91" t="str">
        <f t="shared" si="30"/>
        <v/>
      </c>
      <c r="G132" s="123" t="str">
        <f>E126</f>
        <v/>
      </c>
      <c r="H132" s="27">
        <v>8</v>
      </c>
      <c r="I132" s="43" t="s">
        <v>227</v>
      </c>
      <c r="J132" s="42" t="s">
        <v>783</v>
      </c>
      <c r="K132" s="45">
        <v>60</v>
      </c>
      <c r="L132" s="729">
        <v>40</v>
      </c>
      <c r="M132" s="780">
        <f>L132+BC157</f>
        <v>40</v>
      </c>
      <c r="N132" s="780">
        <f t="shared" si="26"/>
        <v>0</v>
      </c>
      <c r="O132" s="781">
        <f t="shared" si="27"/>
        <v>0</v>
      </c>
      <c r="P132" s="781">
        <f t="shared" si="28"/>
        <v>0</v>
      </c>
      <c r="Q132" s="784">
        <f t="shared" si="29"/>
        <v>0</v>
      </c>
      <c r="R132" s="781">
        <f>BC157</f>
        <v>0</v>
      </c>
      <c r="T132" s="43" t="str">
        <f t="shared" si="22"/>
        <v>Elektrospeicher-Zentralheizung</v>
      </c>
      <c r="U132" s="45">
        <v>25</v>
      </c>
      <c r="V132" s="53" t="str">
        <f>Uebersetzung!D225</f>
        <v>Grundwasser-WP direkt, Heizung</v>
      </c>
      <c r="W132" s="123" t="str">
        <f>Uebersetzung!D180</f>
        <v>Wärmepumpe, Grundwasser, direkt, nur Heizung</v>
      </c>
      <c r="X132" s="624">
        <v>3.2</v>
      </c>
      <c r="Y132" s="624">
        <v>10</v>
      </c>
      <c r="Z132" s="248">
        <v>2</v>
      </c>
      <c r="AA132" s="256"/>
      <c r="AB132" s="45">
        <v>1</v>
      </c>
      <c r="AC132" s="160">
        <v>12</v>
      </c>
      <c r="AD132" s="456"/>
      <c r="AE132" s="456"/>
      <c r="AF132" s="45" t="b">
        <v>0</v>
      </c>
      <c r="AG132" s="45" t="b">
        <v>0</v>
      </c>
      <c r="AH132" s="45" t="b">
        <v>0</v>
      </c>
      <c r="AI132" s="45" t="b">
        <v>0</v>
      </c>
      <c r="AJ132" s="45" t="b">
        <v>0</v>
      </c>
      <c r="AK132" s="456">
        <f t="shared" si="23"/>
        <v>12</v>
      </c>
      <c r="AL132" s="123">
        <v>1</v>
      </c>
      <c r="AM132" s="43"/>
      <c r="AN132" s="1427">
        <v>25</v>
      </c>
      <c r="AO132" s="43"/>
      <c r="AP132" s="1444">
        <v>0.13900000000000001</v>
      </c>
      <c r="AQ132" s="53"/>
      <c r="AR132" s="43"/>
      <c r="AS132" s="357">
        <v>1</v>
      </c>
      <c r="AT132" s="53"/>
      <c r="AU132" s="123" t="b">
        <v>1</v>
      </c>
    </row>
    <row r="133" spans="1:47">
      <c r="A133" s="91" t="str">
        <f t="shared" si="30"/>
        <v>Basel-Binningen</v>
      </c>
      <c r="B133" s="91" t="str">
        <f t="shared" si="30"/>
        <v/>
      </c>
      <c r="C133" s="91" t="str">
        <f t="shared" si="30"/>
        <v/>
      </c>
      <c r="D133" s="91" t="str">
        <f t="shared" si="30"/>
        <v/>
      </c>
      <c r="E133" s="91" t="str">
        <f t="shared" si="30"/>
        <v/>
      </c>
      <c r="F133" s="91" t="str">
        <f t="shared" si="30"/>
        <v/>
      </c>
      <c r="G133" s="123" t="str">
        <f>F126</f>
        <v/>
      </c>
      <c r="H133" s="27">
        <v>9</v>
      </c>
      <c r="I133" s="43" t="s">
        <v>228</v>
      </c>
      <c r="J133" s="42" t="s">
        <v>238</v>
      </c>
      <c r="K133" s="45">
        <v>85</v>
      </c>
      <c r="L133" s="729">
        <v>70</v>
      </c>
      <c r="M133" s="780">
        <f>L133+BK157</f>
        <v>70</v>
      </c>
      <c r="N133" s="780">
        <f t="shared" si="26"/>
        <v>0</v>
      </c>
      <c r="O133" s="781">
        <f t="shared" si="27"/>
        <v>0</v>
      </c>
      <c r="P133" s="781">
        <f t="shared" si="28"/>
        <v>0</v>
      </c>
      <c r="Q133" s="784">
        <f t="shared" si="29"/>
        <v>0</v>
      </c>
      <c r="R133" s="781">
        <f>BK157</f>
        <v>0</v>
      </c>
      <c r="T133" s="43" t="str">
        <f t="shared" si="22"/>
        <v>Elektro direkt</v>
      </c>
      <c r="U133" s="45">
        <v>26</v>
      </c>
      <c r="V133" s="53" t="str">
        <f>Uebersetzung!D226</f>
        <v>Grundwasser-WP dir. Warmwasser</v>
      </c>
      <c r="W133" s="123" t="str">
        <f>Uebersetzung!D181</f>
        <v>Wärmepumpe, Grundwasser, direkt, nur Warmwasser</v>
      </c>
      <c r="X133" s="624">
        <v>2.9</v>
      </c>
      <c r="Y133" s="624">
        <v>7</v>
      </c>
      <c r="Z133" s="248">
        <v>2</v>
      </c>
      <c r="AA133" s="256">
        <v>1</v>
      </c>
      <c r="AB133" s="45"/>
      <c r="AC133" s="160">
        <v>13</v>
      </c>
      <c r="AD133" s="456"/>
      <c r="AE133" s="456"/>
      <c r="AF133" s="45" t="b">
        <v>0</v>
      </c>
      <c r="AG133" s="45" t="b">
        <v>0</v>
      </c>
      <c r="AH133" s="45" t="b">
        <v>0</v>
      </c>
      <c r="AI133" s="45" t="b">
        <v>0</v>
      </c>
      <c r="AJ133" s="45" t="b">
        <v>0</v>
      </c>
      <c r="AK133" s="456">
        <f t="shared" si="23"/>
        <v>13</v>
      </c>
      <c r="AL133" s="123">
        <v>1</v>
      </c>
      <c r="AM133" s="43"/>
      <c r="AN133" s="1427">
        <v>26</v>
      </c>
      <c r="AO133" s="43"/>
      <c r="AP133" s="1444">
        <v>0.13900000000000001</v>
      </c>
      <c r="AQ133" s="53"/>
      <c r="AR133" s="43"/>
      <c r="AS133" s="357">
        <v>1</v>
      </c>
      <c r="AT133" s="53"/>
      <c r="AU133" s="123" t="b">
        <v>1</v>
      </c>
    </row>
    <row r="134" spans="1:47">
      <c r="A134" s="91" t="str">
        <f t="shared" si="30"/>
        <v>Bern  Liebefeld</v>
      </c>
      <c r="B134" s="91" t="str">
        <f t="shared" si="30"/>
        <v>Adelboden</v>
      </c>
      <c r="C134" s="91" t="str">
        <f t="shared" si="30"/>
        <v/>
      </c>
      <c r="D134" s="91" t="str">
        <f t="shared" si="30"/>
        <v/>
      </c>
      <c r="E134" s="91" t="str">
        <f t="shared" si="30"/>
        <v/>
      </c>
      <c r="F134" s="91" t="str">
        <f t="shared" si="30"/>
        <v/>
      </c>
      <c r="G134" s="123"/>
      <c r="H134" s="773">
        <v>10</v>
      </c>
      <c r="I134" s="43" t="s">
        <v>229</v>
      </c>
      <c r="J134" s="42" t="s">
        <v>491</v>
      </c>
      <c r="K134" s="45">
        <v>40</v>
      </c>
      <c r="L134" s="729">
        <v>20</v>
      </c>
      <c r="M134" s="780">
        <f>L134+BS157</f>
        <v>20</v>
      </c>
      <c r="N134" s="780">
        <f t="shared" si="26"/>
        <v>0</v>
      </c>
      <c r="O134" s="781">
        <f t="shared" si="27"/>
        <v>0</v>
      </c>
      <c r="P134" s="781">
        <f t="shared" si="28"/>
        <v>0</v>
      </c>
      <c r="Q134" s="784">
        <f t="shared" si="29"/>
        <v>0</v>
      </c>
      <c r="R134" s="781">
        <f>BS157</f>
        <v>0</v>
      </c>
      <c r="T134" s="43" t="str">
        <f t="shared" si="22"/>
        <v>Elektro-Wassererwärmer</v>
      </c>
      <c r="U134" s="45">
        <v>27</v>
      </c>
      <c r="V134" s="53" t="str">
        <f>Uebersetzung!D227</f>
        <v>Grundwasser-WP, indir, Heizung</v>
      </c>
      <c r="W134" s="123" t="str">
        <f>Uebersetzung!D182</f>
        <v>Wärmepumpe, Grundwasser, indirekt, nur Heizung</v>
      </c>
      <c r="X134" s="624">
        <v>2.7</v>
      </c>
      <c r="Y134" s="624">
        <v>8</v>
      </c>
      <c r="Z134" s="289">
        <v>2</v>
      </c>
      <c r="AA134" s="290"/>
      <c r="AB134" s="290">
        <v>1</v>
      </c>
      <c r="AC134" s="160">
        <v>14</v>
      </c>
      <c r="AD134" s="456"/>
      <c r="AE134" s="456"/>
      <c r="AF134" s="45" t="b">
        <v>0</v>
      </c>
      <c r="AG134" s="45" t="b">
        <v>0</v>
      </c>
      <c r="AH134" s="45" t="b">
        <v>0</v>
      </c>
      <c r="AI134" s="45" t="b">
        <v>0</v>
      </c>
      <c r="AJ134" s="45" t="b">
        <v>0</v>
      </c>
      <c r="AK134" s="456">
        <f t="shared" si="23"/>
        <v>14</v>
      </c>
      <c r="AL134" s="123">
        <v>1</v>
      </c>
      <c r="AM134" s="43"/>
      <c r="AN134" s="1427">
        <v>27</v>
      </c>
      <c r="AO134" s="43"/>
      <c r="AP134" s="1444">
        <v>0.13900000000000001</v>
      </c>
      <c r="AQ134" s="53"/>
      <c r="AR134" s="43"/>
      <c r="AS134" s="357">
        <v>1</v>
      </c>
      <c r="AT134" s="53"/>
      <c r="AU134" s="123" t="b">
        <v>1</v>
      </c>
    </row>
    <row r="135" spans="1:47">
      <c r="A135" s="91" t="str">
        <f t="shared" si="30"/>
        <v>Genève</v>
      </c>
      <c r="B135" s="91" t="str">
        <f t="shared" si="30"/>
        <v/>
      </c>
      <c r="C135" s="91" t="str">
        <f t="shared" si="30"/>
        <v/>
      </c>
      <c r="D135" s="91" t="str">
        <f t="shared" si="30"/>
        <v/>
      </c>
      <c r="E135" s="91" t="str">
        <f t="shared" si="30"/>
        <v/>
      </c>
      <c r="F135" s="91" t="str">
        <f t="shared" si="30"/>
        <v/>
      </c>
      <c r="G135" s="123"/>
      <c r="H135" s="779">
        <v>11</v>
      </c>
      <c r="I135" s="43" t="s">
        <v>230</v>
      </c>
      <c r="J135" s="42" t="s">
        <v>239</v>
      </c>
      <c r="K135" s="45">
        <v>35</v>
      </c>
      <c r="L135" s="729">
        <v>20</v>
      </c>
      <c r="M135" s="780">
        <f>L135+CA157</f>
        <v>20</v>
      </c>
      <c r="N135" s="780">
        <f t="shared" si="26"/>
        <v>0</v>
      </c>
      <c r="O135" s="781">
        <f t="shared" si="27"/>
        <v>0</v>
      </c>
      <c r="P135" s="781">
        <f t="shared" si="28"/>
        <v>0</v>
      </c>
      <c r="Q135" s="784">
        <f t="shared" si="29"/>
        <v>0</v>
      </c>
      <c r="R135" s="781">
        <f>CA157</f>
        <v>0</v>
      </c>
      <c r="T135" s="43" t="str">
        <f t="shared" si="22"/>
        <v>Warmhaltebänder</v>
      </c>
      <c r="U135" s="45">
        <v>28</v>
      </c>
      <c r="V135" s="53" t="str">
        <f>Uebersetzung!D228</f>
        <v>Grundwasser-WP, indir, Warmw.</v>
      </c>
      <c r="W135" s="123" t="str">
        <f>Uebersetzung!D183</f>
        <v>Wärmepumpe, Grundwasser, indirekt, nur Warmwaser</v>
      </c>
      <c r="X135" s="624">
        <v>2.7</v>
      </c>
      <c r="Y135" s="624">
        <v>6</v>
      </c>
      <c r="Z135" s="289">
        <v>2</v>
      </c>
      <c r="AA135" s="290">
        <v>1</v>
      </c>
      <c r="AB135" s="290"/>
      <c r="AC135" s="160">
        <v>34</v>
      </c>
      <c r="AD135" s="456"/>
      <c r="AE135" s="456"/>
      <c r="AF135" s="45" t="b">
        <v>0</v>
      </c>
      <c r="AG135" s="45" t="b">
        <v>0</v>
      </c>
      <c r="AH135" s="45" t="b">
        <v>0</v>
      </c>
      <c r="AI135" s="45" t="b">
        <v>0</v>
      </c>
      <c r="AJ135" s="45" t="b">
        <v>0</v>
      </c>
      <c r="AK135" s="456">
        <f t="shared" si="23"/>
        <v>34</v>
      </c>
      <c r="AL135" s="123">
        <v>1</v>
      </c>
      <c r="AM135" s="43"/>
      <c r="AN135" s="1427">
        <v>28</v>
      </c>
      <c r="AO135" s="43"/>
      <c r="AP135" s="1444">
        <v>0.13900000000000001</v>
      </c>
      <c r="AQ135" s="53"/>
      <c r="AR135" s="43"/>
      <c r="AS135" s="357">
        <v>1</v>
      </c>
      <c r="AT135" s="53"/>
      <c r="AU135" s="123" t="b">
        <v>1</v>
      </c>
    </row>
    <row r="136" spans="1:47">
      <c r="A136" s="91" t="str">
        <f t="shared" si="30"/>
        <v>Glarus</v>
      </c>
      <c r="B136" s="91" t="str">
        <f t="shared" si="30"/>
        <v/>
      </c>
      <c r="C136" s="91" t="str">
        <f t="shared" si="30"/>
        <v/>
      </c>
      <c r="D136" s="91" t="str">
        <f t="shared" si="30"/>
        <v/>
      </c>
      <c r="E136" s="91" t="str">
        <f t="shared" si="30"/>
        <v/>
      </c>
      <c r="F136" s="91" t="str">
        <f t="shared" si="30"/>
        <v/>
      </c>
      <c r="G136" s="123"/>
      <c r="H136" s="27">
        <v>12</v>
      </c>
      <c r="I136" s="43" t="s">
        <v>231</v>
      </c>
      <c r="J136" s="42" t="s">
        <v>6</v>
      </c>
      <c r="K136" s="45">
        <v>40</v>
      </c>
      <c r="L136" s="729">
        <v>25</v>
      </c>
      <c r="M136" s="780">
        <f>L136+CI157</f>
        <v>25</v>
      </c>
      <c r="N136" s="780">
        <f t="shared" si="26"/>
        <v>0</v>
      </c>
      <c r="O136" s="781">
        <f t="shared" si="27"/>
        <v>0</v>
      </c>
      <c r="P136" s="781">
        <f t="shared" si="28"/>
        <v>0</v>
      </c>
      <c r="Q136" s="784">
        <f t="shared" si="29"/>
        <v>0</v>
      </c>
      <c r="R136" s="781">
        <f>CI157</f>
        <v>0</v>
      </c>
      <c r="T136" s="43" t="str">
        <f t="shared" si="22"/>
        <v>Ölfeuerung</v>
      </c>
      <c r="U136" s="45">
        <v>29</v>
      </c>
      <c r="V136" s="53" t="str">
        <f>Uebersetzung!D229</f>
        <v>Erdregister-WP, Heizung</v>
      </c>
      <c r="W136" s="123" t="str">
        <f>Uebersetzung!D184</f>
        <v>Wärmepumpe Erdregister, nur Heizung</v>
      </c>
      <c r="X136" s="624">
        <v>2.9</v>
      </c>
      <c r="Y136" s="624">
        <v>8</v>
      </c>
      <c r="Z136" s="289">
        <v>2</v>
      </c>
      <c r="AA136" s="290"/>
      <c r="AB136" s="290">
        <v>1</v>
      </c>
      <c r="AC136" s="160">
        <v>2</v>
      </c>
      <c r="AD136" s="456"/>
      <c r="AE136" s="456"/>
      <c r="AF136" s="45" t="b">
        <v>0</v>
      </c>
      <c r="AG136" s="45" t="b">
        <v>0</v>
      </c>
      <c r="AH136" s="45" t="b">
        <v>0</v>
      </c>
      <c r="AI136" s="45" t="b">
        <v>0</v>
      </c>
      <c r="AJ136" s="45" t="b">
        <v>0</v>
      </c>
      <c r="AK136" s="456">
        <f t="shared" si="23"/>
        <v>2</v>
      </c>
      <c r="AL136" s="123">
        <v>1</v>
      </c>
      <c r="AM136" s="43"/>
      <c r="AN136" s="1427">
        <v>29</v>
      </c>
      <c r="AO136" s="43"/>
      <c r="AP136" s="1444">
        <v>0.13900000000000001</v>
      </c>
      <c r="AQ136" s="53"/>
      <c r="AR136" s="43"/>
      <c r="AS136" s="357">
        <v>1</v>
      </c>
      <c r="AT136" s="53"/>
      <c r="AU136" s="123" t="b">
        <v>1</v>
      </c>
    </row>
    <row r="137" spans="1:47">
      <c r="A137" s="91" t="str">
        <f t="shared" si="30"/>
        <v>Chur</v>
      </c>
      <c r="B137" s="91" t="str">
        <f t="shared" si="30"/>
        <v>Davos</v>
      </c>
      <c r="C137" s="91" t="str">
        <f t="shared" si="30"/>
        <v>Disentis</v>
      </c>
      <c r="D137" s="91" t="str">
        <f t="shared" si="30"/>
        <v>Robbia</v>
      </c>
      <c r="E137" s="91" t="str">
        <f t="shared" si="30"/>
        <v>Schuls</v>
      </c>
      <c r="F137" s="91" t="str">
        <f t="shared" si="30"/>
        <v>Samedan</v>
      </c>
      <c r="G137" s="123"/>
      <c r="H137" s="27">
        <v>13</v>
      </c>
      <c r="I137" s="95" t="s">
        <v>720</v>
      </c>
      <c r="J137" s="60" t="s">
        <v>8</v>
      </c>
      <c r="K137" s="49"/>
      <c r="L137" s="730">
        <v>0</v>
      </c>
      <c r="M137" s="782">
        <f>L137</f>
        <v>0</v>
      </c>
      <c r="N137" s="780">
        <f t="shared" si="26"/>
        <v>0</v>
      </c>
      <c r="O137" s="781">
        <f t="shared" si="27"/>
        <v>0</v>
      </c>
      <c r="P137" s="781">
        <f t="shared" si="28"/>
        <v>0</v>
      </c>
      <c r="Q137" s="784">
        <f t="shared" si="29"/>
        <v>0</v>
      </c>
      <c r="R137" s="49"/>
      <c r="T137" s="43" t="str">
        <f t="shared" si="22"/>
        <v>Ölfeuerung kondensierend nur Heizung</v>
      </c>
      <c r="U137" s="45">
        <v>30</v>
      </c>
      <c r="V137" s="53" t="str">
        <f>Uebersetzung!D230</f>
        <v>Erdregister-WP, Warmwasser</v>
      </c>
      <c r="W137" s="123" t="str">
        <f>Uebersetzung!D185</f>
        <v>Wärmepumpe Erdregister, nur Warmwasser</v>
      </c>
      <c r="X137" s="624">
        <v>2.7</v>
      </c>
      <c r="Y137" s="624">
        <v>6</v>
      </c>
      <c r="Z137" s="289">
        <v>2</v>
      </c>
      <c r="AA137" s="290">
        <v>1</v>
      </c>
      <c r="AB137" s="290"/>
      <c r="AC137" s="160">
        <v>3</v>
      </c>
      <c r="AD137" s="456"/>
      <c r="AE137" s="456"/>
      <c r="AF137" s="45" t="b">
        <v>0</v>
      </c>
      <c r="AG137" s="45" t="b">
        <v>0</v>
      </c>
      <c r="AH137" s="45" t="b">
        <v>0</v>
      </c>
      <c r="AI137" s="45" t="b">
        <v>0</v>
      </c>
      <c r="AJ137" s="45" t="b">
        <v>0</v>
      </c>
      <c r="AK137" s="456">
        <f t="shared" si="23"/>
        <v>3</v>
      </c>
      <c r="AL137" s="123">
        <v>1</v>
      </c>
      <c r="AM137" s="43"/>
      <c r="AN137" s="1427">
        <v>30</v>
      </c>
      <c r="AO137" s="43"/>
      <c r="AP137" s="1444">
        <v>0.13900000000000001</v>
      </c>
      <c r="AQ137" s="53"/>
      <c r="AR137" s="43"/>
      <c r="AS137" s="357">
        <v>1</v>
      </c>
      <c r="AT137" s="53"/>
      <c r="AU137" s="123" t="b">
        <v>1</v>
      </c>
    </row>
    <row r="138" spans="1:47">
      <c r="A138" s="91" t="str">
        <f t="shared" ref="A138:F147" si="31">IF(B108&gt;0,INDEX($A$54:$A$94,B108,1),"")</f>
        <v>Basel-Binningen</v>
      </c>
      <c r="B138" s="91" t="str">
        <f t="shared" si="31"/>
        <v>La Chaux-de-Fonds</v>
      </c>
      <c r="C138" s="91" t="str">
        <f t="shared" si="31"/>
        <v/>
      </c>
      <c r="D138" s="91" t="str">
        <f t="shared" si="31"/>
        <v/>
      </c>
      <c r="E138" s="91" t="str">
        <f t="shared" si="31"/>
        <v/>
      </c>
      <c r="F138" s="91" t="str">
        <f t="shared" si="31"/>
        <v/>
      </c>
      <c r="G138" s="123"/>
      <c r="M138" s="1062" t="s">
        <v>1718</v>
      </c>
      <c r="N138" s="785">
        <f>SUM(N126:N137)</f>
        <v>0</v>
      </c>
      <c r="O138" s="785">
        <f>SUM(O126:O137)</f>
        <v>0</v>
      </c>
      <c r="P138" s="785">
        <f>SUM(P126:P137)</f>
        <v>0</v>
      </c>
      <c r="Q138" s="785">
        <f>SUM(Q126:Q137)</f>
        <v>0</v>
      </c>
      <c r="R138" s="786" t="s">
        <v>524</v>
      </c>
      <c r="T138" s="43" t="str">
        <f t="shared" si="22"/>
        <v>Ölfeuerung kondensierend nur Warmwasser</v>
      </c>
      <c r="U138" s="45">
        <v>31</v>
      </c>
      <c r="V138" s="53" t="str">
        <f>Uebersetzung!D231</f>
        <v>Solarenergie thermisch, Heizung</v>
      </c>
      <c r="W138" s="123" t="str">
        <f>Uebersetzung!D186</f>
        <v>Solarenergie thermisch, nur Heizung</v>
      </c>
      <c r="X138" s="328">
        <v>1</v>
      </c>
      <c r="Y138" s="328">
        <v>1</v>
      </c>
      <c r="Z138" s="328">
        <v>0</v>
      </c>
      <c r="AA138" s="256"/>
      <c r="AB138" s="45">
        <v>1</v>
      </c>
      <c r="AC138" s="160">
        <v>4</v>
      </c>
      <c r="AD138" s="456" t="str">
        <f>Uebersetzung!D250</f>
        <v>Absorberfläche [m2]</v>
      </c>
      <c r="AE138" s="986" t="str">
        <f>Uebersetzung!D252</f>
        <v>Netto-Ertrag pro m2 Absorberfläche  [kWh/m2]</v>
      </c>
      <c r="AF138" s="45" t="b">
        <v>0</v>
      </c>
      <c r="AG138" s="45" t="b">
        <v>0</v>
      </c>
      <c r="AH138" s="45" t="b">
        <v>0</v>
      </c>
      <c r="AI138" s="45" t="b">
        <v>1</v>
      </c>
      <c r="AJ138" s="45" t="b">
        <v>0</v>
      </c>
      <c r="AK138" s="456">
        <f t="shared" si="23"/>
        <v>4</v>
      </c>
      <c r="AL138" s="123">
        <v>1</v>
      </c>
      <c r="AM138" s="43"/>
      <c r="AN138" s="1427">
        <v>39</v>
      </c>
      <c r="AO138" s="43"/>
      <c r="AP138" s="1444">
        <v>3.9E-2</v>
      </c>
      <c r="AQ138" s="53"/>
      <c r="AR138" s="43"/>
      <c r="AS138" s="357">
        <v>1</v>
      </c>
      <c r="AT138" s="53"/>
      <c r="AU138" s="123" t="b">
        <v>0</v>
      </c>
    </row>
    <row r="139" spans="1:47">
      <c r="A139" s="91" t="str">
        <f t="shared" si="31"/>
        <v>Luzern</v>
      </c>
      <c r="B139" s="91" t="str">
        <f t="shared" si="31"/>
        <v/>
      </c>
      <c r="C139" s="91" t="str">
        <f t="shared" si="31"/>
        <v/>
      </c>
      <c r="D139" s="91" t="str">
        <f t="shared" si="31"/>
        <v/>
      </c>
      <c r="E139" s="91" t="str">
        <f t="shared" si="31"/>
        <v/>
      </c>
      <c r="F139" s="91" t="str">
        <f t="shared" si="31"/>
        <v/>
      </c>
      <c r="G139" s="123"/>
      <c r="M139" s="1062" t="s">
        <v>785</v>
      </c>
      <c r="N139" s="785">
        <f>INDEX($R$125:$R$137,Kategorie1,1)</f>
        <v>0</v>
      </c>
      <c r="O139" s="785">
        <f>INDEX($R$125:$R$137,Kategorie2,1)</f>
        <v>0</v>
      </c>
      <c r="P139" s="785">
        <f>INDEX($R$125:$R$137,Kategorie3,1)</f>
        <v>0</v>
      </c>
      <c r="Q139" s="785">
        <f>INDEX($R$125:$R$137,Kategorie3,1)</f>
        <v>0</v>
      </c>
      <c r="R139" s="786" t="s">
        <v>1715</v>
      </c>
      <c r="T139" s="43" t="str">
        <f t="shared" si="22"/>
        <v>Gasfeuerung</v>
      </c>
      <c r="U139" s="45">
        <v>32</v>
      </c>
      <c r="V139" s="53" t="str">
        <f>Uebersetzung!D232</f>
        <v>Solarenergie therm. Warmwasser</v>
      </c>
      <c r="W139" s="123" t="str">
        <f>Uebersetzung!D187</f>
        <v>Solarenergie thermisch, nur Warmwasser</v>
      </c>
      <c r="X139" s="328">
        <v>1</v>
      </c>
      <c r="Y139" s="328">
        <v>1</v>
      </c>
      <c r="Z139" s="328">
        <v>0</v>
      </c>
      <c r="AA139" s="256">
        <v>1</v>
      </c>
      <c r="AB139" s="45"/>
      <c r="AC139" s="160">
        <v>5</v>
      </c>
      <c r="AD139" s="456" t="str">
        <f>AD138</f>
        <v>Absorberfläche [m2]</v>
      </c>
      <c r="AE139" s="456" t="str">
        <f>AE138</f>
        <v>Netto-Ertrag pro m2 Absorberfläche  [kWh/m2]</v>
      </c>
      <c r="AF139" s="45" t="b">
        <v>0</v>
      </c>
      <c r="AG139" s="45" t="b">
        <v>0</v>
      </c>
      <c r="AH139" s="45" t="b">
        <v>0</v>
      </c>
      <c r="AI139" s="45" t="b">
        <v>1</v>
      </c>
      <c r="AJ139" s="45" t="b">
        <v>0</v>
      </c>
      <c r="AK139" s="456">
        <f t="shared" si="23"/>
        <v>5</v>
      </c>
      <c r="AL139" s="123">
        <v>1</v>
      </c>
      <c r="AM139" s="43"/>
      <c r="AN139" s="1427">
        <v>40</v>
      </c>
      <c r="AO139" s="43"/>
      <c r="AP139" s="1444">
        <v>1.6E-2</v>
      </c>
      <c r="AQ139" s="53"/>
      <c r="AR139" s="43"/>
      <c r="AS139" s="357">
        <v>1</v>
      </c>
      <c r="AT139" s="53"/>
      <c r="AU139" s="123" t="b">
        <v>0</v>
      </c>
    </row>
    <row r="140" spans="1:47">
      <c r="A140" s="91" t="str">
        <f t="shared" si="31"/>
        <v>Neuchâtel</v>
      </c>
      <c r="B140" s="91" t="str">
        <f t="shared" si="31"/>
        <v>La Chaux-de-Fonds</v>
      </c>
      <c r="C140" s="91" t="str">
        <f t="shared" si="31"/>
        <v/>
      </c>
      <c r="D140" s="91" t="str">
        <f t="shared" si="31"/>
        <v/>
      </c>
      <c r="E140" s="91" t="str">
        <f t="shared" si="31"/>
        <v/>
      </c>
      <c r="F140" s="91" t="str">
        <f t="shared" si="31"/>
        <v/>
      </c>
      <c r="G140" s="123"/>
      <c r="Q140" s="160"/>
      <c r="T140" s="43" t="str">
        <f t="shared" si="22"/>
        <v>Gasfeuerung kondensierend nur Heizung</v>
      </c>
      <c r="U140" s="45">
        <v>33</v>
      </c>
      <c r="V140" s="53" t="str">
        <f>Uebersetzung!D233</f>
        <v>Solarenergie Heizung + WW</v>
      </c>
      <c r="W140" s="123" t="str">
        <f>Uebersetzung!D188</f>
        <v>Solarenergie thermisch, Heizung + WW</v>
      </c>
      <c r="X140" s="328">
        <v>1</v>
      </c>
      <c r="Y140" s="328">
        <v>1</v>
      </c>
      <c r="Z140" s="328">
        <v>0</v>
      </c>
      <c r="AA140" s="256">
        <v>1</v>
      </c>
      <c r="AB140" s="45">
        <v>1</v>
      </c>
      <c r="AC140" s="160">
        <v>6</v>
      </c>
      <c r="AD140" s="456" t="str">
        <f>AD138</f>
        <v>Absorberfläche [m2]</v>
      </c>
      <c r="AE140" s="456" t="str">
        <f>AE138</f>
        <v>Netto-Ertrag pro m2 Absorberfläche  [kWh/m2]</v>
      </c>
      <c r="AF140" s="45" t="b">
        <v>0</v>
      </c>
      <c r="AG140" s="45" t="b">
        <v>0</v>
      </c>
      <c r="AH140" s="45" t="b">
        <v>0</v>
      </c>
      <c r="AI140" s="45" t="b">
        <v>1</v>
      </c>
      <c r="AJ140" s="45" t="b">
        <v>0</v>
      </c>
      <c r="AK140" s="456">
        <f t="shared" si="23"/>
        <v>6</v>
      </c>
      <c r="AL140" s="123">
        <v>1</v>
      </c>
      <c r="AM140" s="43"/>
      <c r="AN140" s="1427">
        <v>41</v>
      </c>
      <c r="AO140" s="43"/>
      <c r="AP140" s="1444">
        <v>3.9E-2</v>
      </c>
      <c r="AQ140" s="53"/>
      <c r="AR140" s="43"/>
      <c r="AS140" s="357">
        <v>1</v>
      </c>
      <c r="AT140" s="53"/>
      <c r="AU140" s="123" t="b">
        <v>0</v>
      </c>
    </row>
    <row r="141" spans="1:47">
      <c r="A141" s="91" t="str">
        <f t="shared" si="31"/>
        <v>Luzern</v>
      </c>
      <c r="B141" s="91" t="str">
        <f t="shared" si="31"/>
        <v/>
      </c>
      <c r="C141" s="91" t="str">
        <f t="shared" si="31"/>
        <v/>
      </c>
      <c r="D141" s="91" t="str">
        <f t="shared" si="31"/>
        <v/>
      </c>
      <c r="E141" s="91" t="str">
        <f t="shared" si="31"/>
        <v/>
      </c>
      <c r="F141" s="91" t="str">
        <f t="shared" si="31"/>
        <v/>
      </c>
      <c r="G141" s="123"/>
      <c r="Q141" s="160"/>
      <c r="T141" s="43" t="str">
        <f t="shared" si="22"/>
        <v>Gasfeuerung kondensierend nur Warmwasser</v>
      </c>
      <c r="U141" s="45">
        <v>34</v>
      </c>
      <c r="V141" s="53" t="str">
        <f>Uebersetzung!D466</f>
        <v>Warmhaltebänder</v>
      </c>
      <c r="W141" s="123" t="str">
        <f>Uebersetzung!D466</f>
        <v>Warmhaltebänder</v>
      </c>
      <c r="X141" s="248">
        <v>1</v>
      </c>
      <c r="Y141" s="248">
        <v>1</v>
      </c>
      <c r="Z141" s="248">
        <v>2</v>
      </c>
      <c r="AA141" s="256">
        <v>1</v>
      </c>
      <c r="AB141" s="45"/>
      <c r="AC141" s="160">
        <v>7</v>
      </c>
      <c r="AD141" s="986"/>
      <c r="AE141" s="986"/>
      <c r="AF141" s="45" t="b">
        <v>0</v>
      </c>
      <c r="AG141" s="45" t="b">
        <v>0</v>
      </c>
      <c r="AH141" s="45" t="b">
        <v>0</v>
      </c>
      <c r="AI141" s="45" t="b">
        <v>0</v>
      </c>
      <c r="AJ141" s="45" t="b">
        <v>0</v>
      </c>
      <c r="AK141" s="456">
        <f t="shared" si="23"/>
        <v>7</v>
      </c>
      <c r="AL141" s="123">
        <v>1</v>
      </c>
      <c r="AM141" s="43"/>
      <c r="AN141" s="1496">
        <v>58</v>
      </c>
      <c r="AO141" s="43"/>
      <c r="AP141" s="1444">
        <v>0.13900000000000001</v>
      </c>
      <c r="AQ141" s="53"/>
      <c r="AR141" s="43"/>
      <c r="AS141" s="357">
        <v>1</v>
      </c>
      <c r="AT141" s="53"/>
      <c r="AU141" s="123" t="b">
        <v>0</v>
      </c>
    </row>
    <row r="142" spans="1:47">
      <c r="A142" s="91" t="str">
        <f t="shared" si="31"/>
        <v>Luzern</v>
      </c>
      <c r="B142" s="91" t="str">
        <f t="shared" si="31"/>
        <v>Engelberg</v>
      </c>
      <c r="C142" s="91" t="str">
        <f t="shared" si="31"/>
        <v/>
      </c>
      <c r="D142" s="91" t="str">
        <f t="shared" si="31"/>
        <v/>
      </c>
      <c r="E142" s="91" t="str">
        <f t="shared" si="31"/>
        <v/>
      </c>
      <c r="F142" s="91" t="str">
        <f t="shared" si="31"/>
        <v/>
      </c>
      <c r="G142" s="123"/>
      <c r="Q142" s="160"/>
      <c r="T142" s="43" t="str">
        <f t="shared" si="22"/>
        <v>Gas - Wassererwärmer</v>
      </c>
      <c r="U142" s="45">
        <v>35</v>
      </c>
      <c r="V142" s="53" t="str">
        <f>Uebersetzung!D190</f>
        <v>Abwärme aus Klimakälte</v>
      </c>
      <c r="W142" s="53" t="str">
        <f>Uebersetzung!D190</f>
        <v>Abwärme aus Klimakälte</v>
      </c>
      <c r="X142" s="1921">
        <v>10</v>
      </c>
      <c r="Y142" s="1921">
        <v>10</v>
      </c>
      <c r="Z142" s="1921">
        <v>2</v>
      </c>
      <c r="AA142" s="1035">
        <v>1</v>
      </c>
      <c r="AB142" s="1035"/>
      <c r="AC142" s="160">
        <v>8</v>
      </c>
      <c r="AD142" s="986" t="str">
        <f>Uebersetzung!D567</f>
        <v>Nutzungsgrad Kälteerzeugung  (EER)</v>
      </c>
      <c r="AE142" s="986" t="str">
        <f>Uebersetzung!D566</f>
        <v>Temperatur Abwärme  [°C]</v>
      </c>
      <c r="AF142" s="45" t="b">
        <v>0</v>
      </c>
      <c r="AG142" s="45" t="b">
        <v>0</v>
      </c>
      <c r="AH142" s="45" t="b">
        <v>0</v>
      </c>
      <c r="AI142" s="45" t="b">
        <v>0</v>
      </c>
      <c r="AJ142" s="45" t="b">
        <v>0</v>
      </c>
      <c r="AK142" s="456">
        <f t="shared" si="23"/>
        <v>8</v>
      </c>
      <c r="AL142" s="1033">
        <v>1</v>
      </c>
      <c r="AM142" s="43"/>
      <c r="AN142" s="1496">
        <v>61</v>
      </c>
      <c r="AO142" s="43"/>
      <c r="AP142" s="1920">
        <v>0</v>
      </c>
      <c r="AQ142" s="53"/>
      <c r="AR142" s="43"/>
      <c r="AS142" s="1773">
        <v>1</v>
      </c>
      <c r="AT142" s="53"/>
      <c r="AU142" s="1033" t="b">
        <v>1</v>
      </c>
    </row>
    <row r="143" spans="1:47">
      <c r="A143" s="91" t="str">
        <f t="shared" si="31"/>
        <v>St. Gallen</v>
      </c>
      <c r="B143" s="91" t="str">
        <f t="shared" si="31"/>
        <v/>
      </c>
      <c r="C143" s="91" t="str">
        <f t="shared" si="31"/>
        <v/>
      </c>
      <c r="D143" s="91" t="str">
        <f t="shared" si="31"/>
        <v/>
      </c>
      <c r="E143" s="91" t="str">
        <f t="shared" si="31"/>
        <v/>
      </c>
      <c r="F143" s="91" t="str">
        <f t="shared" si="31"/>
        <v/>
      </c>
      <c r="G143" s="123"/>
      <c r="Q143" s="160"/>
      <c r="T143" s="43" t="str">
        <f t="shared" si="22"/>
        <v>Gaswärmepumpe, nur Heizung</v>
      </c>
      <c r="U143" s="45">
        <v>36</v>
      </c>
      <c r="V143" s="1922" t="str">
        <f>Uebersetzung!D191</f>
        <v>Abwärme aus Gewerbekälte oder EDV</v>
      </c>
      <c r="W143" s="53" t="str">
        <f>Uebersetzung!D191</f>
        <v>Abwärme aus Gewerbekälte oder EDV</v>
      </c>
      <c r="X143" s="1921">
        <v>10</v>
      </c>
      <c r="Y143" s="1921">
        <v>10</v>
      </c>
      <c r="Z143" s="1921">
        <v>2</v>
      </c>
      <c r="AA143" s="1035">
        <v>1</v>
      </c>
      <c r="AB143" s="1035">
        <v>1</v>
      </c>
      <c r="AC143" s="160">
        <v>47</v>
      </c>
      <c r="AD143" s="986" t="str">
        <f>Uebersetzung!D565</f>
        <v>Abwärmemenge  [kWh]</v>
      </c>
      <c r="AE143" s="986" t="str">
        <f>Uebersetzung!D566</f>
        <v>Temperatur Abwärme  [°C]</v>
      </c>
      <c r="AF143" s="45" t="b">
        <v>0</v>
      </c>
      <c r="AG143" s="45" t="b">
        <v>0</v>
      </c>
      <c r="AH143" s="45" t="b">
        <v>0</v>
      </c>
      <c r="AI143" s="45" t="b">
        <v>0</v>
      </c>
      <c r="AJ143" s="45" t="b">
        <v>0</v>
      </c>
      <c r="AK143" s="456">
        <f t="shared" si="23"/>
        <v>47</v>
      </c>
      <c r="AL143" s="1033">
        <v>1</v>
      </c>
      <c r="AM143" s="43"/>
      <c r="AN143" s="1496">
        <v>62</v>
      </c>
      <c r="AO143" s="43"/>
      <c r="AP143" s="1920">
        <v>0</v>
      </c>
      <c r="AQ143" s="53"/>
      <c r="AR143" s="43"/>
      <c r="AS143" s="1773">
        <v>1</v>
      </c>
      <c r="AT143" s="53"/>
      <c r="AU143" s="1033" t="b">
        <v>1</v>
      </c>
    </row>
    <row r="144" spans="1:47">
      <c r="A144" s="91" t="str">
        <f t="shared" si="31"/>
        <v>Schaffhausen</v>
      </c>
      <c r="B144" s="91" t="str">
        <f t="shared" si="31"/>
        <v/>
      </c>
      <c r="C144" s="91" t="str">
        <f t="shared" si="31"/>
        <v/>
      </c>
      <c r="D144" s="91" t="str">
        <f t="shared" si="31"/>
        <v/>
      </c>
      <c r="E144" s="91" t="str">
        <f t="shared" si="31"/>
        <v/>
      </c>
      <c r="F144" s="91" t="str">
        <f t="shared" si="31"/>
        <v/>
      </c>
      <c r="G144" s="123"/>
      <c r="N144" s="1378"/>
      <c r="Q144" s="160"/>
      <c r="T144" s="43" t="str">
        <f t="shared" si="22"/>
        <v>Gaswärmepumpe, nur Warmwasser</v>
      </c>
      <c r="U144" s="45">
        <v>37</v>
      </c>
      <c r="V144" s="53" t="str">
        <f>Uebersetzung!D237</f>
        <v>Ab- / Zuluft-WP + WRG</v>
      </c>
      <c r="W144" s="123" t="str">
        <f>Uebersetzung!D192</f>
        <v>Lüftungsgerät mit Abluft / Zuluft - Wärmepumpe plus WRG</v>
      </c>
      <c r="X144" s="248">
        <v>2.2999999999999998</v>
      </c>
      <c r="Y144" s="248">
        <f t="shared" ref="Y144:Y149" si="32">X144+1.2</f>
        <v>3.5</v>
      </c>
      <c r="Z144" s="248">
        <v>2</v>
      </c>
      <c r="AA144" s="256"/>
      <c r="AB144" s="45">
        <v>1</v>
      </c>
      <c r="AC144" s="160">
        <v>48</v>
      </c>
      <c r="AD144" s="456"/>
      <c r="AE144" s="456"/>
      <c r="AF144" s="45" t="b">
        <v>0</v>
      </c>
      <c r="AG144" s="45" t="b">
        <v>0</v>
      </c>
      <c r="AH144" s="45" t="b">
        <v>0</v>
      </c>
      <c r="AI144" s="45" t="b">
        <v>0</v>
      </c>
      <c r="AJ144" s="45" t="b">
        <v>0</v>
      </c>
      <c r="AK144" s="456">
        <f t="shared" si="23"/>
        <v>48</v>
      </c>
      <c r="AL144" s="123">
        <v>1</v>
      </c>
      <c r="AM144" s="43"/>
      <c r="AN144" s="1427">
        <v>43</v>
      </c>
      <c r="AO144" s="43"/>
      <c r="AP144" s="1444">
        <v>0.13900000000000001</v>
      </c>
      <c r="AQ144" s="53"/>
      <c r="AR144" s="43"/>
      <c r="AS144" s="357">
        <v>1</v>
      </c>
      <c r="AT144" s="53"/>
      <c r="AU144" s="123" t="b">
        <v>0</v>
      </c>
    </row>
    <row r="145" spans="1:95">
      <c r="A145" s="91" t="str">
        <f t="shared" si="31"/>
        <v>Wynau</v>
      </c>
      <c r="B145" s="91" t="str">
        <f t="shared" si="31"/>
        <v/>
      </c>
      <c r="C145" s="91" t="str">
        <f t="shared" si="31"/>
        <v/>
      </c>
      <c r="D145" s="91" t="str">
        <f t="shared" si="31"/>
        <v/>
      </c>
      <c r="E145" s="91" t="str">
        <f t="shared" si="31"/>
        <v/>
      </c>
      <c r="F145" s="91" t="str">
        <f t="shared" si="31"/>
        <v/>
      </c>
      <c r="G145" s="123"/>
      <c r="Q145" s="160"/>
      <c r="T145" s="43" t="str">
        <f t="shared" si="22"/>
        <v>WKK (fossil) - thermischer + elektrischer Anteil</v>
      </c>
      <c r="U145" s="45">
        <v>38</v>
      </c>
      <c r="V145" s="53" t="str">
        <f>Uebersetzung!D238</f>
        <v>Ab- / Zuluft-WP ohne WRG</v>
      </c>
      <c r="W145" s="123" t="str">
        <f>Uebersetzung!D193</f>
        <v>Lüftungsgerät mit Abluft / Zuluft - Wärmepumpe ohne WRG</v>
      </c>
      <c r="X145" s="248">
        <v>2.7</v>
      </c>
      <c r="Y145" s="248">
        <f t="shared" si="32"/>
        <v>3.9000000000000004</v>
      </c>
      <c r="Z145" s="248">
        <v>2</v>
      </c>
      <c r="AA145" s="256"/>
      <c r="AB145" s="45">
        <v>1</v>
      </c>
      <c r="AC145" s="160">
        <v>15</v>
      </c>
      <c r="AD145" s="456"/>
      <c r="AE145" s="456"/>
      <c r="AF145" s="45" t="b">
        <v>0</v>
      </c>
      <c r="AG145" s="45" t="b">
        <v>0</v>
      </c>
      <c r="AH145" s="45" t="b">
        <v>0</v>
      </c>
      <c r="AI145" s="45" t="b">
        <v>0</v>
      </c>
      <c r="AJ145" s="45" t="b">
        <v>0</v>
      </c>
      <c r="AK145" s="456">
        <f t="shared" si="23"/>
        <v>15</v>
      </c>
      <c r="AL145" s="123">
        <v>1</v>
      </c>
      <c r="AM145" s="43"/>
      <c r="AN145" s="1427">
        <v>44</v>
      </c>
      <c r="AO145" s="43"/>
      <c r="AP145" s="1444">
        <v>0.13900000000000001</v>
      </c>
      <c r="AQ145" s="53"/>
      <c r="AR145" s="43"/>
      <c r="AS145" s="357">
        <v>1</v>
      </c>
      <c r="AT145" s="53"/>
      <c r="AU145" s="123" t="b">
        <v>0</v>
      </c>
    </row>
    <row r="146" spans="1:95">
      <c r="A146" s="91" t="str">
        <f t="shared" si="31"/>
        <v>Luzern</v>
      </c>
      <c r="B146" s="91" t="str">
        <f t="shared" si="31"/>
        <v>Zürich SMA</v>
      </c>
      <c r="C146" s="91" t="str">
        <f t="shared" si="31"/>
        <v/>
      </c>
      <c r="D146" s="91" t="str">
        <f t="shared" si="31"/>
        <v/>
      </c>
      <c r="E146" s="91" t="str">
        <f t="shared" si="31"/>
        <v/>
      </c>
      <c r="F146" s="91" t="str">
        <f t="shared" si="31"/>
        <v/>
      </c>
      <c r="G146" s="123"/>
      <c r="Q146" s="160"/>
      <c r="T146" s="43" t="str">
        <f t="shared" si="22"/>
        <v>WKK (Holz) - thermischer + elektrischer Anteil</v>
      </c>
      <c r="U146" s="45">
        <v>39</v>
      </c>
      <c r="V146" s="53" t="str">
        <f>Uebersetzung!D239</f>
        <v>Abluft-Wärmepumpe ohne ZUL</v>
      </c>
      <c r="W146" s="123" t="str">
        <f>Uebersetzung!D194</f>
        <v>Lüftungsgerät mit Abluft-Wärmepumpe (keine Zuluft)</v>
      </c>
      <c r="X146" s="248">
        <v>2.5</v>
      </c>
      <c r="Y146" s="248">
        <f t="shared" si="32"/>
        <v>3.7</v>
      </c>
      <c r="Z146" s="248">
        <v>2</v>
      </c>
      <c r="AA146" s="256">
        <v>1</v>
      </c>
      <c r="AB146" s="45">
        <v>1</v>
      </c>
      <c r="AC146" s="160">
        <v>16</v>
      </c>
      <c r="AD146" s="456"/>
      <c r="AE146" s="456"/>
      <c r="AF146" s="45" t="b">
        <v>0</v>
      </c>
      <c r="AG146" s="45" t="b">
        <v>0</v>
      </c>
      <c r="AH146" s="45" t="b">
        <v>0</v>
      </c>
      <c r="AI146" s="45" t="b">
        <v>0</v>
      </c>
      <c r="AJ146" s="45" t="b">
        <v>0</v>
      </c>
      <c r="AK146" s="456">
        <f t="shared" si="23"/>
        <v>16</v>
      </c>
      <c r="AL146" s="123">
        <v>1</v>
      </c>
      <c r="AM146" s="43"/>
      <c r="AN146" s="1427">
        <v>45</v>
      </c>
      <c r="AO146" s="43"/>
      <c r="AP146" s="1444">
        <v>0.13900000000000001</v>
      </c>
      <c r="AQ146" s="53"/>
      <c r="AR146" s="43"/>
      <c r="AS146" s="357">
        <v>1</v>
      </c>
      <c r="AT146" s="53"/>
      <c r="AU146" s="123" t="b">
        <v>1</v>
      </c>
    </row>
    <row r="147" spans="1:95">
      <c r="A147" s="91" t="str">
        <f t="shared" si="31"/>
        <v>Güttingen</v>
      </c>
      <c r="B147" s="91" t="str">
        <f t="shared" si="31"/>
        <v/>
      </c>
      <c r="C147" s="91" t="str">
        <f t="shared" si="31"/>
        <v/>
      </c>
      <c r="D147" s="91" t="str">
        <f t="shared" si="31"/>
        <v/>
      </c>
      <c r="E147" s="91" t="str">
        <f t="shared" si="31"/>
        <v/>
      </c>
      <c r="F147" s="91" t="str">
        <f t="shared" si="31"/>
        <v/>
      </c>
      <c r="G147" s="123"/>
      <c r="Q147" s="160"/>
      <c r="T147" s="43" t="str">
        <f t="shared" si="22"/>
        <v>Lüftungsgerät mit Abluft / Zuluft - Wärmepumpe plus WRG</v>
      </c>
      <c r="U147" s="45">
        <v>40</v>
      </c>
      <c r="V147" s="53" t="str">
        <f>Uebersetzung!D240</f>
        <v>Kompakt-WP + WRG</v>
      </c>
      <c r="W147" s="123" t="str">
        <f>Uebersetzung!D195</f>
        <v>Kompakt-WP mit Zu- &amp; Abluft / WW plus WRG</v>
      </c>
      <c r="X147" s="248">
        <v>2.2999999999999998</v>
      </c>
      <c r="Y147" s="248">
        <f t="shared" si="32"/>
        <v>3.5</v>
      </c>
      <c r="Z147" s="248">
        <v>2</v>
      </c>
      <c r="AA147" s="256">
        <v>1</v>
      </c>
      <c r="AB147" s="45">
        <v>1</v>
      </c>
      <c r="AC147" s="160">
        <v>37</v>
      </c>
      <c r="AD147" s="456"/>
      <c r="AE147" s="456"/>
      <c r="AF147" s="45" t="b">
        <v>0</v>
      </c>
      <c r="AG147" s="45" t="b">
        <v>0</v>
      </c>
      <c r="AH147" s="45" t="b">
        <v>0</v>
      </c>
      <c r="AI147" s="45" t="b">
        <v>0</v>
      </c>
      <c r="AJ147" s="45" t="b">
        <v>0</v>
      </c>
      <c r="AK147" s="456">
        <f t="shared" si="23"/>
        <v>37</v>
      </c>
      <c r="AL147" s="123">
        <v>1</v>
      </c>
      <c r="AM147" s="43"/>
      <c r="AN147" s="1427">
        <v>46</v>
      </c>
      <c r="AO147" s="43"/>
      <c r="AP147" s="1444">
        <v>0.13900000000000001</v>
      </c>
      <c r="AQ147" s="53"/>
      <c r="AR147" s="43"/>
      <c r="AS147" s="357">
        <v>1</v>
      </c>
      <c r="AT147" s="53"/>
      <c r="AU147" s="123" t="b">
        <v>1</v>
      </c>
    </row>
    <row r="148" spans="1:95">
      <c r="A148" s="91" t="str">
        <f t="shared" ref="A148:F154" si="33">IF(B118&gt;0,INDEX($A$54:$A$94,B118,1),"")</f>
        <v>Locarno-Monti</v>
      </c>
      <c r="B148" s="91" t="str">
        <f t="shared" si="33"/>
        <v>Lugano</v>
      </c>
      <c r="C148" s="91" t="str">
        <f t="shared" si="33"/>
        <v>Magadino</v>
      </c>
      <c r="D148" s="91" t="str">
        <f t="shared" si="33"/>
        <v>Robbia</v>
      </c>
      <c r="E148" s="91" t="str">
        <f t="shared" si="33"/>
        <v>San Bernardino</v>
      </c>
      <c r="F148" s="91" t="str">
        <f t="shared" si="33"/>
        <v/>
      </c>
      <c r="G148" s="123"/>
      <c r="Q148" s="160"/>
      <c r="T148" s="43" t="str">
        <f t="shared" si="22"/>
        <v>Lüftungsgerät mit Abluft / Zuluft - Wärmepumpe ohne WRG</v>
      </c>
      <c r="U148" s="45">
        <v>41</v>
      </c>
      <c r="V148" s="53" t="str">
        <f>Uebersetzung!D241</f>
        <v>Kompakt-WP ohne WRG, Heizteil</v>
      </c>
      <c r="W148" s="123" t="str">
        <f>Uebersetzung!D196</f>
        <v>Kompakt-WP mit Zu- &amp; Abluft / WW ohne WRG (nur Heizung)</v>
      </c>
      <c r="X148" s="248">
        <v>2.7</v>
      </c>
      <c r="Y148" s="248">
        <f t="shared" si="32"/>
        <v>3.9000000000000004</v>
      </c>
      <c r="Z148" s="248">
        <v>2</v>
      </c>
      <c r="AA148" s="256"/>
      <c r="AB148" s="45">
        <v>1</v>
      </c>
      <c r="AC148" s="160">
        <v>38</v>
      </c>
      <c r="AD148" s="456"/>
      <c r="AE148" s="456"/>
      <c r="AF148" s="45" t="b">
        <v>0</v>
      </c>
      <c r="AG148" s="45" t="b">
        <v>0</v>
      </c>
      <c r="AH148" s="45" t="b">
        <v>0</v>
      </c>
      <c r="AI148" s="45" t="b">
        <v>0</v>
      </c>
      <c r="AJ148" s="45" t="b">
        <v>0</v>
      </c>
      <c r="AK148" s="456">
        <f t="shared" si="23"/>
        <v>38</v>
      </c>
      <c r="AL148" s="123">
        <v>1</v>
      </c>
      <c r="AM148" s="43"/>
      <c r="AN148" s="1427">
        <v>47</v>
      </c>
      <c r="AO148" s="43"/>
      <c r="AP148" s="1444">
        <v>0.13900000000000001</v>
      </c>
      <c r="AQ148" s="53"/>
      <c r="AR148" s="43"/>
      <c r="AS148" s="357">
        <v>1</v>
      </c>
      <c r="AT148" s="53"/>
      <c r="AU148" s="123" t="b">
        <v>1</v>
      </c>
    </row>
    <row r="149" spans="1:95">
      <c r="A149" s="91" t="str">
        <f t="shared" si="33"/>
        <v>Altdorf</v>
      </c>
      <c r="B149" s="91" t="str">
        <f t="shared" si="33"/>
        <v/>
      </c>
      <c r="C149" s="91" t="str">
        <f t="shared" si="33"/>
        <v/>
      </c>
      <c r="D149" s="91" t="str">
        <f t="shared" si="33"/>
        <v/>
      </c>
      <c r="E149" s="91" t="str">
        <f t="shared" si="33"/>
        <v/>
      </c>
      <c r="F149" s="91" t="str">
        <f t="shared" si="33"/>
        <v/>
      </c>
      <c r="G149" s="123"/>
      <c r="Q149" s="160"/>
      <c r="T149" s="43" t="str">
        <f t="shared" si="22"/>
        <v>Lüftungsgerät mit Abluft-Wärmepumpe (keine Zuluft)</v>
      </c>
      <c r="U149" s="45">
        <v>42</v>
      </c>
      <c r="V149" s="53" t="str">
        <f>Uebersetzung!D242</f>
        <v>Kompakt-WP ohne WRG, WW</v>
      </c>
      <c r="W149" s="123" t="str">
        <f>Uebersetzung!D197</f>
        <v>Kompakt-WP mit Zu- &amp; Abluft / WW ohne WRG (nur WW)</v>
      </c>
      <c r="X149" s="248">
        <v>2.5</v>
      </c>
      <c r="Y149" s="248">
        <f t="shared" si="32"/>
        <v>3.7</v>
      </c>
      <c r="Z149" s="248">
        <v>2</v>
      </c>
      <c r="AA149" s="256">
        <v>1</v>
      </c>
      <c r="AB149" s="45"/>
      <c r="AC149" s="160">
        <v>39</v>
      </c>
      <c r="AD149" s="456"/>
      <c r="AE149" s="456"/>
      <c r="AF149" s="45" t="b">
        <v>0</v>
      </c>
      <c r="AG149" s="45" t="b">
        <v>0</v>
      </c>
      <c r="AH149" s="45" t="b">
        <v>0</v>
      </c>
      <c r="AI149" s="45" t="b">
        <v>0</v>
      </c>
      <c r="AJ149" s="45" t="b">
        <v>0</v>
      </c>
      <c r="AK149" s="456">
        <f t="shared" si="23"/>
        <v>39</v>
      </c>
      <c r="AL149" s="123">
        <v>1</v>
      </c>
      <c r="AM149" s="43"/>
      <c r="AN149" s="1427">
        <v>48</v>
      </c>
      <c r="AO149" s="43"/>
      <c r="AP149" s="1444">
        <v>0.13900000000000001</v>
      </c>
      <c r="AQ149" s="53"/>
      <c r="AR149" s="43"/>
      <c r="AS149" s="357">
        <v>1</v>
      </c>
      <c r="AT149" s="53"/>
      <c r="AU149" s="123" t="b">
        <v>1</v>
      </c>
    </row>
    <row r="150" spans="1:95">
      <c r="A150" s="91" t="str">
        <f t="shared" si="33"/>
        <v>Payerne</v>
      </c>
      <c r="B150" s="91" t="str">
        <f t="shared" si="33"/>
        <v>La Chaux-de-Fonds</v>
      </c>
      <c r="C150" s="91" t="str">
        <f t="shared" si="33"/>
        <v>Adelboden</v>
      </c>
      <c r="D150" s="91" t="str">
        <f t="shared" si="33"/>
        <v/>
      </c>
      <c r="E150" s="91" t="str">
        <f t="shared" si="33"/>
        <v/>
      </c>
      <c r="F150" s="91" t="str">
        <f t="shared" si="33"/>
        <v/>
      </c>
      <c r="G150" s="123"/>
      <c r="Q150" s="160"/>
      <c r="T150" s="43" t="str">
        <f t="shared" si="22"/>
        <v>Kompakt-WP mit Zu- &amp; Abluft / WW plus WRG</v>
      </c>
      <c r="U150" s="45">
        <v>43</v>
      </c>
      <c r="V150" s="53" t="str">
        <f>Uebersetzung!D243</f>
        <v>Biomasse, eingebunden</v>
      </c>
      <c r="W150" s="123" t="str">
        <f>Uebersetzung!D198</f>
        <v>Biomasse, hydraulisch eingebunden</v>
      </c>
      <c r="X150" s="248">
        <v>0.75</v>
      </c>
      <c r="Y150" s="248">
        <v>0.85</v>
      </c>
      <c r="Z150" s="952">
        <v>0.5</v>
      </c>
      <c r="AA150" s="256">
        <v>1</v>
      </c>
      <c r="AB150" s="45">
        <v>1</v>
      </c>
      <c r="AC150" s="160">
        <v>40</v>
      </c>
      <c r="AD150" s="456"/>
      <c r="AE150" s="456"/>
      <c r="AF150" s="45" t="b">
        <v>0</v>
      </c>
      <c r="AG150" s="45" t="b">
        <v>0</v>
      </c>
      <c r="AH150" s="45" t="b">
        <v>1</v>
      </c>
      <c r="AI150" s="45" t="b">
        <v>0</v>
      </c>
      <c r="AJ150" s="45" t="b">
        <v>0</v>
      </c>
      <c r="AK150" s="456">
        <f t="shared" si="23"/>
        <v>40</v>
      </c>
      <c r="AL150" s="123">
        <v>1</v>
      </c>
      <c r="AM150" s="43"/>
      <c r="AN150" s="1427">
        <v>53</v>
      </c>
      <c r="AO150" s="43"/>
      <c r="AP150" s="1444">
        <v>0.02</v>
      </c>
      <c r="AQ150" s="53"/>
      <c r="AR150" s="43"/>
      <c r="AS150" s="357">
        <v>1</v>
      </c>
      <c r="AT150" s="53"/>
      <c r="AU150" s="123" t="b">
        <v>0</v>
      </c>
    </row>
    <row r="151" spans="1:95">
      <c r="A151" s="91" t="str">
        <f t="shared" si="33"/>
        <v>Sion</v>
      </c>
      <c r="B151" s="91" t="str">
        <f t="shared" si="33"/>
        <v>Zermatt</v>
      </c>
      <c r="C151" s="91" t="str">
        <f t="shared" si="33"/>
        <v>Montana</v>
      </c>
      <c r="D151" s="91" t="str">
        <f t="shared" si="33"/>
        <v>Gr. St. Bernhard</v>
      </c>
      <c r="E151" s="91" t="str">
        <f t="shared" si="33"/>
        <v/>
      </c>
      <c r="F151" s="91" t="str">
        <f t="shared" si="33"/>
        <v/>
      </c>
      <c r="G151" s="123"/>
      <c r="Q151" s="160"/>
      <c r="T151" s="43" t="str">
        <f t="shared" si="22"/>
        <v>Kompakt-WP mit Zu- &amp; Abluft / WW ohne WRG (nur Heizung)</v>
      </c>
      <c r="U151" s="45">
        <v>44</v>
      </c>
      <c r="V151" s="1749" t="str">
        <f>Uebersetzung!D244</f>
        <v>Fernwärme (&gt;75% nicht erneuerbar)</v>
      </c>
      <c r="W151" s="953" t="str">
        <f>Uebersetzung!D199</f>
        <v>Fernwärme (inkl. Abwärme aus KVA,ARA), &gt;75% nicht erneuerbar</v>
      </c>
      <c r="X151" s="952">
        <v>1</v>
      </c>
      <c r="Y151" s="952">
        <v>1</v>
      </c>
      <c r="Z151" s="952">
        <v>1</v>
      </c>
      <c r="AA151" s="1035">
        <v>1</v>
      </c>
      <c r="AB151" s="1035">
        <v>1</v>
      </c>
      <c r="AC151" s="160">
        <v>41</v>
      </c>
      <c r="AD151" s="1034" t="str">
        <f>AD118</f>
        <v>Strom für Wärmepumpen ist doppelt zu gewichten</v>
      </c>
      <c r="AE151" s="1034"/>
      <c r="AF151" s="1035" t="b">
        <v>0</v>
      </c>
      <c r="AG151" s="1035" t="b">
        <v>0</v>
      </c>
      <c r="AH151" s="1035" t="b">
        <v>0</v>
      </c>
      <c r="AI151" s="1035" t="b">
        <v>0</v>
      </c>
      <c r="AJ151" s="1035" t="b">
        <v>0</v>
      </c>
      <c r="AK151" s="1034">
        <f t="shared" si="23"/>
        <v>41</v>
      </c>
      <c r="AL151" s="1033">
        <v>2</v>
      </c>
      <c r="AM151" s="43"/>
      <c r="AN151" s="1427">
        <v>55</v>
      </c>
      <c r="AO151" s="43"/>
      <c r="AP151" s="1444">
        <v>0.36</v>
      </c>
      <c r="AQ151" s="53"/>
      <c r="AR151" s="43"/>
      <c r="AS151" s="1773">
        <v>0.1</v>
      </c>
      <c r="AT151" s="53"/>
      <c r="AU151" s="123" t="b">
        <v>0</v>
      </c>
    </row>
    <row r="152" spans="1:95">
      <c r="A152" s="91" t="str">
        <f t="shared" si="33"/>
        <v>Luzern</v>
      </c>
      <c r="B152" s="91" t="str">
        <f t="shared" si="33"/>
        <v/>
      </c>
      <c r="C152" s="91" t="str">
        <f t="shared" si="33"/>
        <v/>
      </c>
      <c r="D152" s="91" t="str">
        <f t="shared" si="33"/>
        <v/>
      </c>
      <c r="E152" s="91" t="str">
        <f t="shared" si="33"/>
        <v/>
      </c>
      <c r="F152" s="91" t="str">
        <f t="shared" si="33"/>
        <v/>
      </c>
      <c r="G152" s="123"/>
      <c r="Q152" s="160"/>
      <c r="T152" s="43" t="str">
        <f t="shared" si="22"/>
        <v>Kompakt-WP mit Zu- &amp; Abluft / WW ohne WRG (nur WW)</v>
      </c>
      <c r="U152" s="45">
        <v>45</v>
      </c>
      <c r="V152" s="1749" t="str">
        <f>Uebersetzung!D245</f>
        <v>Fernwärme (&lt;=75% nicht erneuerbar)</v>
      </c>
      <c r="W152" s="953" t="str">
        <f>Uebersetzung!D200</f>
        <v>Fernwärme (inkl. Abwärme aus KVA,ARA), &lt;=75% nicht erneuerbar</v>
      </c>
      <c r="X152" s="952">
        <v>1</v>
      </c>
      <c r="Y152" s="952">
        <v>1</v>
      </c>
      <c r="Z152" s="952">
        <v>0.8</v>
      </c>
      <c r="AA152" s="1035">
        <v>1</v>
      </c>
      <c r="AB152" s="1035">
        <v>1</v>
      </c>
      <c r="AC152" s="160">
        <v>42</v>
      </c>
      <c r="AD152" s="1034" t="str">
        <f>AD118</f>
        <v>Strom für Wärmepumpen ist doppelt zu gewichten</v>
      </c>
      <c r="AE152" s="1034"/>
      <c r="AF152" s="1035" t="b">
        <v>0</v>
      </c>
      <c r="AG152" s="1035" t="b">
        <v>0</v>
      </c>
      <c r="AH152" s="1035" t="b">
        <v>0</v>
      </c>
      <c r="AI152" s="1035" t="b">
        <v>0</v>
      </c>
      <c r="AJ152" s="1035" t="b">
        <v>0</v>
      </c>
      <c r="AK152" s="1034">
        <f t="shared" si="23"/>
        <v>42</v>
      </c>
      <c r="AL152" s="1033">
        <v>2</v>
      </c>
      <c r="AM152" s="43"/>
      <c r="AN152" s="1427">
        <v>56</v>
      </c>
      <c r="AO152" s="43"/>
      <c r="AP152" s="1444">
        <v>0.16200000000000001</v>
      </c>
      <c r="AQ152" s="53"/>
      <c r="AR152" s="43"/>
      <c r="AS152" s="1773">
        <v>0.4</v>
      </c>
      <c r="AT152" s="53"/>
      <c r="AU152" s="123" t="b">
        <v>0</v>
      </c>
    </row>
    <row r="153" spans="1:95">
      <c r="A153" s="91" t="str">
        <f t="shared" si="33"/>
        <v>Zürich SMA</v>
      </c>
      <c r="B153" s="91" t="str">
        <f t="shared" si="33"/>
        <v/>
      </c>
      <c r="C153" s="91" t="str">
        <f t="shared" si="33"/>
        <v/>
      </c>
      <c r="D153" s="91" t="str">
        <f t="shared" si="33"/>
        <v/>
      </c>
      <c r="E153" s="91" t="str">
        <f t="shared" si="33"/>
        <v/>
      </c>
      <c r="F153" s="91" t="str">
        <f t="shared" si="33"/>
        <v/>
      </c>
      <c r="G153" s="123"/>
      <c r="Q153" s="160"/>
      <c r="T153" s="43" t="str">
        <f t="shared" si="22"/>
        <v>Biomasse, hydraulisch eingebunden</v>
      </c>
      <c r="U153" s="45">
        <v>46</v>
      </c>
      <c r="V153" s="953" t="str">
        <f>Uebersetzung!D246</f>
        <v>Fernwärme (&lt;=25% nicht erneuerbar)</v>
      </c>
      <c r="W153" s="953" t="str">
        <f>Uebersetzung!D201</f>
        <v>Fernwärme (inkl. Abwärme aus KVA,ARA), &lt;=25% nicht erneuerbar</v>
      </c>
      <c r="X153" s="952">
        <v>1</v>
      </c>
      <c r="Y153" s="952">
        <v>1</v>
      </c>
      <c r="Z153" s="952">
        <v>0.4</v>
      </c>
      <c r="AA153" s="1496">
        <v>1</v>
      </c>
      <c r="AB153" s="1035">
        <v>1</v>
      </c>
      <c r="AC153" s="160">
        <v>43</v>
      </c>
      <c r="AD153" s="1034" t="str">
        <f>AD118</f>
        <v>Strom für Wärmepumpen ist doppelt zu gewichten</v>
      </c>
      <c r="AE153" s="1034"/>
      <c r="AF153" s="1035" t="b">
        <v>0</v>
      </c>
      <c r="AG153" s="1035" t="b">
        <v>0</v>
      </c>
      <c r="AH153" s="1035" t="b">
        <v>0</v>
      </c>
      <c r="AI153" s="1035" t="b">
        <v>0</v>
      </c>
      <c r="AJ153" s="1035" t="b">
        <v>0</v>
      </c>
      <c r="AK153" s="1034">
        <f t="shared" si="23"/>
        <v>43</v>
      </c>
      <c r="AL153" s="1033">
        <v>2</v>
      </c>
      <c r="AM153" s="43"/>
      <c r="AN153" s="1741">
        <v>57</v>
      </c>
      <c r="AO153" s="43"/>
      <c r="AP153" s="1444">
        <v>4.7E-2</v>
      </c>
      <c r="AQ153" s="53"/>
      <c r="AR153" s="43"/>
      <c r="AS153" s="1773">
        <v>0.9</v>
      </c>
      <c r="AT153" s="53"/>
      <c r="AU153" s="123" t="b">
        <v>0</v>
      </c>
    </row>
    <row r="154" spans="1:95">
      <c r="A154" s="91" t="str">
        <f t="shared" si="33"/>
        <v>Vaduz</v>
      </c>
      <c r="B154" s="91" t="str">
        <f t="shared" si="33"/>
        <v>Engelberg</v>
      </c>
      <c r="C154" s="91" t="str">
        <f t="shared" si="33"/>
        <v/>
      </c>
      <c r="D154" s="91" t="str">
        <f t="shared" si="33"/>
        <v/>
      </c>
      <c r="E154" s="91" t="str">
        <f t="shared" si="33"/>
        <v/>
      </c>
      <c r="F154" s="91" t="str">
        <f t="shared" si="33"/>
        <v/>
      </c>
      <c r="G154" s="123"/>
      <c r="Q154" s="160"/>
      <c r="T154" s="43" t="str">
        <f t="shared" si="22"/>
        <v>Abwärme aus Klimakälte</v>
      </c>
      <c r="U154" s="45">
        <v>47</v>
      </c>
      <c r="V154" s="53" t="str">
        <f>Uebersetzung!D523</f>
        <v>Gaswärmepumpe, Heizung</v>
      </c>
      <c r="W154" s="123" t="str">
        <f>Uebersetzung!D525</f>
        <v>Gaswärmepumpe, nur Heizung</v>
      </c>
      <c r="X154" s="248">
        <v>1.3</v>
      </c>
      <c r="Y154" s="248">
        <v>2</v>
      </c>
      <c r="Z154" s="248">
        <v>1</v>
      </c>
      <c r="AA154" s="256"/>
      <c r="AB154" s="45">
        <v>1</v>
      </c>
      <c r="AC154" s="160">
        <v>35</v>
      </c>
      <c r="AD154" s="456"/>
      <c r="AE154" s="456"/>
      <c r="AF154" s="45" t="b">
        <v>0</v>
      </c>
      <c r="AG154" s="45" t="b">
        <v>0</v>
      </c>
      <c r="AH154" s="45" t="b">
        <v>0</v>
      </c>
      <c r="AI154" s="45" t="b">
        <v>0</v>
      </c>
      <c r="AJ154" s="45" t="b">
        <v>0</v>
      </c>
      <c r="AK154" s="456">
        <f t="shared" si="23"/>
        <v>35</v>
      </c>
      <c r="AL154" s="123">
        <v>1</v>
      </c>
      <c r="AM154" s="43"/>
      <c r="AN154" s="1496">
        <v>59</v>
      </c>
      <c r="AO154" s="43"/>
      <c r="AP154" s="1444">
        <v>0.249</v>
      </c>
      <c r="AQ154" s="53"/>
      <c r="AR154" s="43"/>
      <c r="AS154" s="357">
        <v>0</v>
      </c>
      <c r="AT154" s="53"/>
      <c r="AU154" s="123" t="b">
        <v>0</v>
      </c>
    </row>
    <row r="155" spans="1:95">
      <c r="A155" s="123"/>
      <c r="B155" s="123"/>
      <c r="C155" s="123"/>
      <c r="D155" s="123"/>
      <c r="E155" s="123"/>
      <c r="F155" s="123"/>
      <c r="G155" s="123"/>
      <c r="Q155" s="160"/>
      <c r="T155" s="43" t="str">
        <f t="shared" si="22"/>
        <v>Abwärme aus Gewerbekälte oder EDV</v>
      </c>
      <c r="U155" s="49">
        <v>48</v>
      </c>
      <c r="V155" s="146" t="str">
        <f>Uebersetzung!D524</f>
        <v>Gaswärmepumpe, Warmwasser</v>
      </c>
      <c r="W155" s="146" t="str">
        <f>Uebersetzung!D526</f>
        <v>Gaswärmepumpe, nur Warmwasser</v>
      </c>
      <c r="X155" s="249">
        <v>1.3</v>
      </c>
      <c r="Y155" s="249">
        <v>2</v>
      </c>
      <c r="Z155" s="249">
        <v>1</v>
      </c>
      <c r="AA155" s="1754">
        <v>1</v>
      </c>
      <c r="AB155" s="49"/>
      <c r="AC155" s="160">
        <v>36</v>
      </c>
      <c r="AD155" s="1755"/>
      <c r="AE155" s="1755"/>
      <c r="AF155" s="49" t="b">
        <v>0</v>
      </c>
      <c r="AG155" s="49" t="b">
        <v>0</v>
      </c>
      <c r="AH155" s="49" t="b">
        <v>0</v>
      </c>
      <c r="AI155" s="49" t="b">
        <v>0</v>
      </c>
      <c r="AJ155" s="49" t="b">
        <v>0</v>
      </c>
      <c r="AK155" s="1755">
        <f t="shared" si="23"/>
        <v>36</v>
      </c>
      <c r="AL155" s="146">
        <v>1</v>
      </c>
      <c r="AM155" s="95"/>
      <c r="AN155" s="1499">
        <v>60</v>
      </c>
      <c r="AO155" s="95"/>
      <c r="AP155" s="1445">
        <v>0.249</v>
      </c>
      <c r="AQ155" s="119"/>
      <c r="AR155" s="95"/>
      <c r="AS155" s="358">
        <v>0</v>
      </c>
      <c r="AT155" s="119"/>
      <c r="AU155" s="146" t="b">
        <v>0</v>
      </c>
      <c r="AX155" s="532"/>
      <c r="AY155" s="533"/>
      <c r="AZ155" s="533"/>
      <c r="BA155" s="533"/>
      <c r="BB155" s="533"/>
      <c r="BC155" s="534"/>
    </row>
    <row r="156" spans="1:95">
      <c r="A156" s="799" t="s">
        <v>792</v>
      </c>
      <c r="B156" s="794"/>
      <c r="C156" s="795"/>
      <c r="D156" s="795"/>
      <c r="E156" s="795"/>
      <c r="F156" s="795"/>
      <c r="G156" s="796"/>
      <c r="I156" s="799" t="s">
        <v>792</v>
      </c>
      <c r="J156" s="794"/>
      <c r="K156" s="795"/>
      <c r="L156" s="795"/>
      <c r="M156" s="795"/>
      <c r="N156" s="795"/>
      <c r="O156" s="796"/>
      <c r="Q156" s="799" t="s">
        <v>792</v>
      </c>
      <c r="R156" s="794"/>
      <c r="S156" s="795"/>
      <c r="T156" s="1745"/>
      <c r="U156" s="1745"/>
      <c r="V156" s="1745"/>
      <c r="W156" s="1751"/>
      <c r="Y156" s="1752" t="s">
        <v>792</v>
      </c>
      <c r="Z156" s="1753"/>
      <c r="AA156" s="1745"/>
      <c r="AB156" s="1745"/>
      <c r="AC156" s="1745"/>
      <c r="AD156" s="1745"/>
      <c r="AE156" s="1751"/>
      <c r="AG156" s="1752" t="s">
        <v>792</v>
      </c>
      <c r="AH156" s="1753"/>
      <c r="AI156" s="1745"/>
      <c r="AJ156" s="1745"/>
      <c r="AK156" s="1745"/>
      <c r="AL156" s="1745"/>
      <c r="AM156" s="1751"/>
      <c r="AO156" s="1752" t="s">
        <v>792</v>
      </c>
      <c r="AP156" s="1753"/>
      <c r="AQ156" s="1745"/>
      <c r="AR156" s="1745"/>
      <c r="AS156" s="1745"/>
      <c r="AT156" s="1745"/>
      <c r="AU156" s="1751"/>
      <c r="AW156" s="799" t="s">
        <v>792</v>
      </c>
      <c r="AX156" s="794"/>
      <c r="AY156" s="795"/>
      <c r="AZ156" s="795"/>
      <c r="BA156" s="795"/>
      <c r="BB156" s="795"/>
      <c r="BC156" s="796"/>
      <c r="BE156" s="799" t="s">
        <v>792</v>
      </c>
      <c r="BF156" s="794"/>
      <c r="BG156" s="795"/>
      <c r="BH156" s="795"/>
      <c r="BI156" s="795"/>
      <c r="BJ156" s="795"/>
      <c r="BK156" s="796"/>
      <c r="BM156" s="799" t="s">
        <v>792</v>
      </c>
      <c r="BN156" s="794"/>
      <c r="BO156" s="795"/>
      <c r="BP156" s="795"/>
      <c r="BQ156" s="795"/>
      <c r="BR156" s="795"/>
      <c r="BS156" s="796"/>
      <c r="BU156" s="799" t="s">
        <v>792</v>
      </c>
      <c r="BV156" s="794"/>
      <c r="BW156" s="795"/>
      <c r="BX156" s="795"/>
      <c r="BY156" s="795"/>
      <c r="BZ156" s="795"/>
      <c r="CA156" s="796"/>
      <c r="CC156" s="799" t="s">
        <v>792</v>
      </c>
      <c r="CD156" s="794"/>
      <c r="CE156" s="795"/>
      <c r="CF156" s="795"/>
      <c r="CG156" s="795"/>
      <c r="CH156" s="795"/>
      <c r="CI156" s="796"/>
      <c r="CK156" s="799" t="s">
        <v>792</v>
      </c>
      <c r="CL156" s="794"/>
      <c r="CM156" s="795"/>
      <c r="CN156" s="795"/>
      <c r="CO156" s="795"/>
      <c r="CP156" s="795"/>
      <c r="CQ156" s="796"/>
    </row>
    <row r="157" spans="1:95">
      <c r="A157" s="800" t="s">
        <v>332</v>
      </c>
      <c r="B157" s="792" t="s">
        <v>791</v>
      </c>
      <c r="C157" s="793"/>
      <c r="D157" s="793"/>
      <c r="E157" s="793"/>
      <c r="F157" s="793"/>
      <c r="G157" s="801">
        <f>INDEX(A158:G158,1,Klima)</f>
        <v>0</v>
      </c>
      <c r="I157" s="800" t="s">
        <v>333</v>
      </c>
      <c r="J157" s="792" t="s">
        <v>791</v>
      </c>
      <c r="K157" s="793"/>
      <c r="L157" s="793"/>
      <c r="M157" s="793"/>
      <c r="N157" s="793"/>
      <c r="O157" s="801">
        <f>INDEX(I158:O158,1,Klima)</f>
        <v>0</v>
      </c>
      <c r="Q157" s="800" t="s">
        <v>1</v>
      </c>
      <c r="R157" s="792" t="s">
        <v>791</v>
      </c>
      <c r="S157" s="793"/>
      <c r="T157" s="793"/>
      <c r="U157" s="793"/>
      <c r="V157" s="793"/>
      <c r="W157" s="801">
        <f>INDEX(Q158:W158,1,Klima)</f>
        <v>0</v>
      </c>
      <c r="Y157" s="800" t="s">
        <v>2</v>
      </c>
      <c r="Z157" s="792" t="s">
        <v>791</v>
      </c>
      <c r="AA157" s="793"/>
      <c r="AB157" s="793"/>
      <c r="AC157" s="793"/>
      <c r="AD157" s="793"/>
      <c r="AE157" s="801">
        <f>INDEX(Y158:AE158,1,Klima)</f>
        <v>0</v>
      </c>
      <c r="AG157" s="800" t="s">
        <v>237</v>
      </c>
      <c r="AH157" s="792" t="s">
        <v>791</v>
      </c>
      <c r="AI157" s="793"/>
      <c r="AJ157" s="793"/>
      <c r="AK157" s="793"/>
      <c r="AL157" s="793"/>
      <c r="AM157" s="801">
        <f>INDEX(AG158:AM158,1,Klima)</f>
        <v>0</v>
      </c>
      <c r="AO157" s="800" t="s">
        <v>793</v>
      </c>
      <c r="AP157" s="792" t="s">
        <v>791</v>
      </c>
      <c r="AQ157" s="793"/>
      <c r="AR157" s="793"/>
      <c r="AS157" s="793"/>
      <c r="AT157" s="793"/>
      <c r="AU157" s="801">
        <f>INDEX(AO158:AU158,1,Klima)</f>
        <v>0</v>
      </c>
      <c r="AW157" s="800" t="s">
        <v>794</v>
      </c>
      <c r="AX157" s="792" t="s">
        <v>791</v>
      </c>
      <c r="AY157" s="793"/>
      <c r="AZ157" s="793"/>
      <c r="BA157" s="793"/>
      <c r="BB157" s="793"/>
      <c r="BC157" s="801">
        <f>INDEX(AW158:BC158,1,Klima)</f>
        <v>0</v>
      </c>
      <c r="BE157" s="800" t="s">
        <v>795</v>
      </c>
      <c r="BF157" s="792" t="s">
        <v>791</v>
      </c>
      <c r="BG157" s="793"/>
      <c r="BH157" s="793"/>
      <c r="BI157" s="793"/>
      <c r="BJ157" s="793"/>
      <c r="BK157" s="801">
        <f>INDEX(BE158:BK158,1,Klima)</f>
        <v>0</v>
      </c>
      <c r="BM157" s="800" t="s">
        <v>491</v>
      </c>
      <c r="BN157" s="792" t="s">
        <v>791</v>
      </c>
      <c r="BO157" s="793"/>
      <c r="BP157" s="793"/>
      <c r="BQ157" s="793"/>
      <c r="BR157" s="793"/>
      <c r="BS157" s="801">
        <f>INDEX(BM158:BS158,1,Klima)</f>
        <v>0</v>
      </c>
      <c r="BU157" s="800" t="s">
        <v>239</v>
      </c>
      <c r="BV157" s="792" t="s">
        <v>791</v>
      </c>
      <c r="BW157" s="793"/>
      <c r="BX157" s="793"/>
      <c r="BY157" s="793"/>
      <c r="BZ157" s="793"/>
      <c r="CA157" s="801">
        <f>INDEX(BU158:CA158,1,Klima)</f>
        <v>0</v>
      </c>
      <c r="CC157" s="800" t="s">
        <v>796</v>
      </c>
      <c r="CD157" s="792" t="s">
        <v>791</v>
      </c>
      <c r="CE157" s="793"/>
      <c r="CF157" s="793"/>
      <c r="CG157" s="793"/>
      <c r="CH157" s="793"/>
      <c r="CI157" s="801">
        <f>INDEX(CC158:CI158,1,Klima)</f>
        <v>0</v>
      </c>
      <c r="CK157" s="800" t="s">
        <v>797</v>
      </c>
      <c r="CL157" s="792" t="s">
        <v>791</v>
      </c>
      <c r="CM157" s="793"/>
      <c r="CN157" s="793"/>
      <c r="CO157" s="793"/>
      <c r="CP157" s="793"/>
      <c r="CQ157" s="801">
        <f>INDEX(CK158:CQ158,1,Klima)</f>
        <v>0</v>
      </c>
    </row>
    <row r="158" spans="1:95">
      <c r="A158" s="797">
        <v>0</v>
      </c>
      <c r="B158" s="798">
        <f t="shared" ref="B158:G158" si="34">IF(Kanton&gt;1,INDEX(B159:B187,Kanton,1),0)</f>
        <v>0</v>
      </c>
      <c r="C158" s="798">
        <f t="shared" si="34"/>
        <v>0</v>
      </c>
      <c r="D158" s="798">
        <f t="shared" si="34"/>
        <v>0</v>
      </c>
      <c r="E158" s="798">
        <f t="shared" si="34"/>
        <v>0</v>
      </c>
      <c r="F158" s="798">
        <f t="shared" si="34"/>
        <v>0</v>
      </c>
      <c r="G158" s="802">
        <f t="shared" si="34"/>
        <v>0</v>
      </c>
      <c r="I158" s="790">
        <v>0</v>
      </c>
      <c r="J158" s="791">
        <f t="shared" ref="J158:O158" si="35">IF(Kanton&gt;1,INDEX(J159:J187,Kanton,1),0)</f>
        <v>0</v>
      </c>
      <c r="K158" s="791">
        <f t="shared" si="35"/>
        <v>0</v>
      </c>
      <c r="L158" s="791">
        <f t="shared" si="35"/>
        <v>0</v>
      </c>
      <c r="M158" s="791">
        <f t="shared" si="35"/>
        <v>0</v>
      </c>
      <c r="N158" s="791">
        <f t="shared" si="35"/>
        <v>0</v>
      </c>
      <c r="O158" s="791">
        <f t="shared" si="35"/>
        <v>0</v>
      </c>
      <c r="Q158" s="790">
        <v>0</v>
      </c>
      <c r="R158" s="791">
        <f t="shared" ref="R158:W158" si="36">IF(Kanton&gt;1,INDEX(R159:R187,Kanton,1),0)</f>
        <v>0</v>
      </c>
      <c r="S158" s="791">
        <f t="shared" si="36"/>
        <v>0</v>
      </c>
      <c r="T158" s="791">
        <f t="shared" si="36"/>
        <v>0</v>
      </c>
      <c r="U158" s="791">
        <f t="shared" si="36"/>
        <v>0</v>
      </c>
      <c r="V158" s="791">
        <f t="shared" si="36"/>
        <v>0</v>
      </c>
      <c r="W158" s="791">
        <f t="shared" si="36"/>
        <v>0</v>
      </c>
      <c r="Y158" s="790">
        <v>0</v>
      </c>
      <c r="Z158" s="791">
        <f t="shared" ref="Z158:AE158" si="37">IF(Kanton&gt;1,INDEX(Z159:Z187,Kanton,1),0)</f>
        <v>0</v>
      </c>
      <c r="AA158" s="791">
        <f t="shared" si="37"/>
        <v>0</v>
      </c>
      <c r="AB158" s="791">
        <f t="shared" si="37"/>
        <v>0</v>
      </c>
      <c r="AC158" s="791">
        <f t="shared" si="37"/>
        <v>0</v>
      </c>
      <c r="AD158" s="791">
        <f t="shared" si="37"/>
        <v>0</v>
      </c>
      <c r="AE158" s="791">
        <f t="shared" si="37"/>
        <v>0</v>
      </c>
      <c r="AG158" s="790">
        <v>0</v>
      </c>
      <c r="AH158" s="791">
        <f t="shared" ref="AH158:AM158" si="38">IF(Kanton&gt;1,INDEX(AH159:AH187,Kanton,1),0)</f>
        <v>0</v>
      </c>
      <c r="AI158" s="791">
        <f t="shared" si="38"/>
        <v>0</v>
      </c>
      <c r="AJ158" s="791">
        <f t="shared" si="38"/>
        <v>0</v>
      </c>
      <c r="AK158" s="791">
        <f t="shared" si="38"/>
        <v>0</v>
      </c>
      <c r="AL158" s="791">
        <f t="shared" si="38"/>
        <v>0</v>
      </c>
      <c r="AM158" s="791">
        <f t="shared" si="38"/>
        <v>0</v>
      </c>
      <c r="AO158" s="790">
        <v>0</v>
      </c>
      <c r="AP158" s="791">
        <f t="shared" ref="AP158:AU158" si="39">IF(Kanton&gt;1,INDEX(AP159:AP187,Kanton,1),0)</f>
        <v>0</v>
      </c>
      <c r="AQ158" s="791">
        <f t="shared" si="39"/>
        <v>0</v>
      </c>
      <c r="AR158" s="791">
        <f t="shared" si="39"/>
        <v>0</v>
      </c>
      <c r="AS158" s="791">
        <f t="shared" si="39"/>
        <v>0</v>
      </c>
      <c r="AT158" s="791">
        <f t="shared" si="39"/>
        <v>0</v>
      </c>
      <c r="AU158" s="791">
        <f t="shared" si="39"/>
        <v>0</v>
      </c>
      <c r="AW158" s="790">
        <v>0</v>
      </c>
      <c r="AX158" s="791">
        <f t="shared" ref="AX158:BC158" si="40">IF(Kanton&gt;1,INDEX(AX159:AX187,Kanton,1),0)</f>
        <v>0</v>
      </c>
      <c r="AY158" s="791">
        <f t="shared" si="40"/>
        <v>0</v>
      </c>
      <c r="AZ158" s="791">
        <f t="shared" si="40"/>
        <v>0</v>
      </c>
      <c r="BA158" s="791">
        <f t="shared" si="40"/>
        <v>0</v>
      </c>
      <c r="BB158" s="791">
        <f t="shared" si="40"/>
        <v>0</v>
      </c>
      <c r="BC158" s="791">
        <f t="shared" si="40"/>
        <v>0</v>
      </c>
      <c r="BE158" s="790">
        <v>0</v>
      </c>
      <c r="BF158" s="791">
        <f t="shared" ref="BF158:BK158" si="41">IF(Kanton&gt;1,INDEX(BF159:BF187,Kanton,1),0)</f>
        <v>0</v>
      </c>
      <c r="BG158" s="791">
        <f t="shared" si="41"/>
        <v>0</v>
      </c>
      <c r="BH158" s="791">
        <f t="shared" si="41"/>
        <v>0</v>
      </c>
      <c r="BI158" s="791">
        <f t="shared" si="41"/>
        <v>0</v>
      </c>
      <c r="BJ158" s="791">
        <f t="shared" si="41"/>
        <v>0</v>
      </c>
      <c r="BK158" s="791">
        <f t="shared" si="41"/>
        <v>0</v>
      </c>
      <c r="BM158" s="790">
        <v>0</v>
      </c>
      <c r="BN158" s="791">
        <f t="shared" ref="BN158:BS158" si="42">IF(Kanton&gt;1,INDEX(BN159:BN187,Kanton,1),0)</f>
        <v>0</v>
      </c>
      <c r="BO158" s="791">
        <f t="shared" si="42"/>
        <v>0</v>
      </c>
      <c r="BP158" s="791">
        <f t="shared" si="42"/>
        <v>0</v>
      </c>
      <c r="BQ158" s="791">
        <f t="shared" si="42"/>
        <v>0</v>
      </c>
      <c r="BR158" s="791">
        <f t="shared" si="42"/>
        <v>0</v>
      </c>
      <c r="BS158" s="791">
        <f t="shared" si="42"/>
        <v>0</v>
      </c>
      <c r="BU158" s="790">
        <v>0</v>
      </c>
      <c r="BV158" s="791">
        <f t="shared" ref="BV158:CA158" si="43">IF(Kanton&gt;1,INDEX(BV159:BV187,Kanton,1),0)</f>
        <v>0</v>
      </c>
      <c r="BW158" s="791">
        <f t="shared" si="43"/>
        <v>0</v>
      </c>
      <c r="BX158" s="791">
        <f t="shared" si="43"/>
        <v>0</v>
      </c>
      <c r="BY158" s="791">
        <f t="shared" si="43"/>
        <v>0</v>
      </c>
      <c r="BZ158" s="791">
        <f t="shared" si="43"/>
        <v>0</v>
      </c>
      <c r="CA158" s="791">
        <f t="shared" si="43"/>
        <v>0</v>
      </c>
      <c r="CC158" s="790">
        <v>0</v>
      </c>
      <c r="CD158" s="791">
        <f t="shared" ref="CD158:CI158" si="44">IF(Kanton&gt;1,INDEX(CD159:CD187,Kanton,1),0)</f>
        <v>0</v>
      </c>
      <c r="CE158" s="791">
        <f t="shared" si="44"/>
        <v>0</v>
      </c>
      <c r="CF158" s="791">
        <f t="shared" si="44"/>
        <v>0</v>
      </c>
      <c r="CG158" s="791">
        <f t="shared" si="44"/>
        <v>0</v>
      </c>
      <c r="CH158" s="791">
        <f t="shared" si="44"/>
        <v>0</v>
      </c>
      <c r="CI158" s="791">
        <f t="shared" si="44"/>
        <v>0</v>
      </c>
      <c r="CK158" s="790">
        <v>0</v>
      </c>
      <c r="CL158" s="791">
        <f t="shared" ref="CL158:CQ158" si="45">IF(Kanton&gt;1,INDEX(CL159:CL187,Kanton,1),0)</f>
        <v>0</v>
      </c>
      <c r="CM158" s="791">
        <f t="shared" si="45"/>
        <v>0</v>
      </c>
      <c r="CN158" s="791">
        <f t="shared" si="45"/>
        <v>0</v>
      </c>
      <c r="CO158" s="791">
        <f t="shared" si="45"/>
        <v>0</v>
      </c>
      <c r="CP158" s="791">
        <f t="shared" si="45"/>
        <v>0</v>
      </c>
      <c r="CQ158" s="791">
        <f t="shared" si="45"/>
        <v>0</v>
      </c>
    </row>
    <row r="159" spans="1:95">
      <c r="A159" s="537" t="s">
        <v>199</v>
      </c>
      <c r="B159" s="540"/>
      <c r="C159" s="540"/>
      <c r="D159" s="540"/>
      <c r="E159" s="90"/>
      <c r="F159" s="40"/>
      <c r="G159" s="40"/>
      <c r="I159" s="537" t="s">
        <v>199</v>
      </c>
      <c r="J159" s="540"/>
      <c r="K159" s="540"/>
      <c r="L159" s="540"/>
      <c r="M159" s="90"/>
      <c r="N159" s="40"/>
      <c r="O159" s="40"/>
      <c r="Q159" s="537" t="s">
        <v>199</v>
      </c>
      <c r="R159" s="540"/>
      <c r="S159" s="540"/>
      <c r="T159" s="540"/>
      <c r="U159" s="90"/>
      <c r="V159" s="40"/>
      <c r="W159" s="40"/>
      <c r="Y159" s="537" t="s">
        <v>199</v>
      </c>
      <c r="Z159" s="540"/>
      <c r="AA159" s="540"/>
      <c r="AB159" s="540"/>
      <c r="AC159" s="90"/>
      <c r="AD159" s="40"/>
      <c r="AE159" s="40"/>
      <c r="AG159" s="537" t="s">
        <v>199</v>
      </c>
      <c r="AH159" s="540"/>
      <c r="AI159" s="540"/>
      <c r="AJ159" s="540"/>
      <c r="AK159" s="90"/>
      <c r="AL159" s="40"/>
      <c r="AM159" s="40"/>
      <c r="AO159" s="537" t="s">
        <v>199</v>
      </c>
      <c r="AP159" s="540"/>
      <c r="AQ159" s="540"/>
      <c r="AR159" s="540"/>
      <c r="AS159" s="90"/>
      <c r="AT159" s="40"/>
      <c r="AU159" s="40"/>
      <c r="AW159" s="537" t="s">
        <v>199</v>
      </c>
      <c r="AX159" s="540"/>
      <c r="AY159" s="540"/>
      <c r="AZ159" s="540"/>
      <c r="BA159" s="90"/>
      <c r="BB159" s="40"/>
      <c r="BC159" s="40"/>
      <c r="BE159" s="537" t="s">
        <v>199</v>
      </c>
      <c r="BF159" s="540"/>
      <c r="BG159" s="540"/>
      <c r="BH159" s="540"/>
      <c r="BI159" s="90"/>
      <c r="BJ159" s="40"/>
      <c r="BK159" s="40"/>
      <c r="BM159" s="537" t="s">
        <v>199</v>
      </c>
      <c r="BN159" s="540"/>
      <c r="BO159" s="540"/>
      <c r="BP159" s="540"/>
      <c r="BQ159" s="90"/>
      <c r="BR159" s="40"/>
      <c r="BS159" s="40"/>
      <c r="BU159" s="537" t="s">
        <v>199</v>
      </c>
      <c r="BV159" s="540"/>
      <c r="BW159" s="540"/>
      <c r="BX159" s="540"/>
      <c r="BY159" s="90"/>
      <c r="BZ159" s="40"/>
      <c r="CA159" s="40"/>
      <c r="CC159" s="537" t="s">
        <v>199</v>
      </c>
      <c r="CD159" s="540"/>
      <c r="CE159" s="540"/>
      <c r="CF159" s="540"/>
      <c r="CG159" s="90"/>
      <c r="CH159" s="40"/>
      <c r="CI159" s="40"/>
      <c r="CK159" s="537" t="s">
        <v>199</v>
      </c>
      <c r="CL159" s="540"/>
      <c r="CM159" s="540"/>
      <c r="CN159" s="540"/>
      <c r="CO159" s="90"/>
      <c r="CP159" s="40"/>
      <c r="CQ159" s="40"/>
    </row>
    <row r="160" spans="1:95">
      <c r="A160" s="535" t="s">
        <v>610</v>
      </c>
      <c r="B160" s="789">
        <f t="shared" ref="B160:G160" si="46">IF(B98&gt;0,INDEX($D$54:$D$94,B98,1),"")</f>
        <v>0</v>
      </c>
      <c r="C160" s="789">
        <f t="shared" si="46"/>
        <v>0</v>
      </c>
      <c r="D160" s="789" t="str">
        <f t="shared" si="46"/>
        <v/>
      </c>
      <c r="E160" s="789" t="str">
        <f t="shared" si="46"/>
        <v/>
      </c>
      <c r="F160" s="789" t="str">
        <f t="shared" si="46"/>
        <v/>
      </c>
      <c r="G160" s="789" t="str">
        <f t="shared" si="46"/>
        <v/>
      </c>
      <c r="I160" s="535" t="s">
        <v>610</v>
      </c>
      <c r="J160" s="789">
        <f t="shared" ref="J160:O160" si="47">IF(B98&gt;0,INDEX($D$54:$D$94,B98,1),"")</f>
        <v>0</v>
      </c>
      <c r="K160" s="789">
        <f t="shared" si="47"/>
        <v>0</v>
      </c>
      <c r="L160" s="789" t="str">
        <f t="shared" si="47"/>
        <v/>
      </c>
      <c r="M160" s="789" t="str">
        <f t="shared" si="47"/>
        <v/>
      </c>
      <c r="N160" s="789" t="str">
        <f t="shared" si="47"/>
        <v/>
      </c>
      <c r="O160" s="789" t="str">
        <f t="shared" si="47"/>
        <v/>
      </c>
      <c r="Q160" s="535" t="s">
        <v>610</v>
      </c>
      <c r="R160" s="789">
        <f t="shared" ref="R160:W160" si="48">IF(B98&gt;0,INDEX($D$54:$D$94,B98,1),"")</f>
        <v>0</v>
      </c>
      <c r="S160" s="789">
        <f t="shared" si="48"/>
        <v>0</v>
      </c>
      <c r="T160" s="789" t="str">
        <f t="shared" si="48"/>
        <v/>
      </c>
      <c r="U160" s="789" t="str">
        <f t="shared" si="48"/>
        <v/>
      </c>
      <c r="V160" s="789" t="str">
        <f t="shared" si="48"/>
        <v/>
      </c>
      <c r="W160" s="789" t="str">
        <f t="shared" si="48"/>
        <v/>
      </c>
      <c r="Y160" s="535" t="s">
        <v>610</v>
      </c>
      <c r="Z160" s="789">
        <f t="shared" ref="Z160:AE160" si="49">IF(B98&gt;0,INDEX($D$54:$D$94,B98,1),"")</f>
        <v>0</v>
      </c>
      <c r="AA160" s="789">
        <f t="shared" si="49"/>
        <v>0</v>
      </c>
      <c r="AB160" s="789" t="str">
        <f t="shared" si="49"/>
        <v/>
      </c>
      <c r="AC160" s="789" t="str">
        <f t="shared" si="49"/>
        <v/>
      </c>
      <c r="AD160" s="789" t="str">
        <f t="shared" si="49"/>
        <v/>
      </c>
      <c r="AE160" s="789" t="str">
        <f t="shared" si="49"/>
        <v/>
      </c>
      <c r="AG160" s="535" t="s">
        <v>610</v>
      </c>
      <c r="AH160" s="789">
        <f t="shared" ref="AH160:AM160" si="50">IF(B98&gt;0,INDEX($D$54:$D$94,B98,1),"")</f>
        <v>0</v>
      </c>
      <c r="AI160" s="789">
        <f t="shared" si="50"/>
        <v>0</v>
      </c>
      <c r="AJ160" s="789" t="str">
        <f t="shared" si="50"/>
        <v/>
      </c>
      <c r="AK160" s="789" t="str">
        <f t="shared" si="50"/>
        <v/>
      </c>
      <c r="AL160" s="789" t="str">
        <f t="shared" si="50"/>
        <v/>
      </c>
      <c r="AM160" s="789" t="str">
        <f t="shared" si="50"/>
        <v/>
      </c>
      <c r="AO160" s="535" t="s">
        <v>610</v>
      </c>
      <c r="AP160" s="789">
        <f t="shared" ref="AP160:AU160" si="51">IF(B98&gt;0,INDEX($D$54:$D$94,B98,1),"")</f>
        <v>0</v>
      </c>
      <c r="AQ160" s="789">
        <f t="shared" si="51"/>
        <v>0</v>
      </c>
      <c r="AR160" s="789" t="str">
        <f t="shared" si="51"/>
        <v/>
      </c>
      <c r="AS160" s="789" t="str">
        <f t="shared" si="51"/>
        <v/>
      </c>
      <c r="AT160" s="789" t="str">
        <f t="shared" si="51"/>
        <v/>
      </c>
      <c r="AU160" s="789" t="str">
        <f t="shared" si="51"/>
        <v/>
      </c>
      <c r="AW160" s="535" t="s">
        <v>610</v>
      </c>
      <c r="AX160" s="789">
        <f t="shared" ref="AX160:BC160" si="52">IF(B98&gt;0,INDEX($D$54:$D$94,B98,1),"")</f>
        <v>0</v>
      </c>
      <c r="AY160" s="789">
        <f t="shared" si="52"/>
        <v>0</v>
      </c>
      <c r="AZ160" s="789" t="str">
        <f t="shared" si="52"/>
        <v/>
      </c>
      <c r="BA160" s="789" t="str">
        <f t="shared" si="52"/>
        <v/>
      </c>
      <c r="BB160" s="789" t="str">
        <f t="shared" si="52"/>
        <v/>
      </c>
      <c r="BC160" s="789" t="str">
        <f t="shared" si="52"/>
        <v/>
      </c>
      <c r="BE160" s="535" t="s">
        <v>610</v>
      </c>
      <c r="BF160" s="789">
        <f t="shared" ref="BF160:BK160" si="53">IF(B98&gt;0,INDEX($D$54:$D$94,B98,1),"")</f>
        <v>0</v>
      </c>
      <c r="BG160" s="789">
        <f t="shared" si="53"/>
        <v>0</v>
      </c>
      <c r="BH160" s="789" t="str">
        <f t="shared" si="53"/>
        <v/>
      </c>
      <c r="BI160" s="789" t="str">
        <f t="shared" si="53"/>
        <v/>
      </c>
      <c r="BJ160" s="789" t="str">
        <f t="shared" si="53"/>
        <v/>
      </c>
      <c r="BK160" s="789" t="str">
        <f t="shared" si="53"/>
        <v/>
      </c>
      <c r="BM160" s="535" t="s">
        <v>610</v>
      </c>
      <c r="BN160" s="789">
        <f t="shared" ref="BN160:BS160" si="54">IF(B98&gt;0,INDEX($D$54:$D$94,B98,1),"")</f>
        <v>0</v>
      </c>
      <c r="BO160" s="789">
        <f t="shared" si="54"/>
        <v>0</v>
      </c>
      <c r="BP160" s="789" t="str">
        <f t="shared" si="54"/>
        <v/>
      </c>
      <c r="BQ160" s="789" t="str">
        <f t="shared" si="54"/>
        <v/>
      </c>
      <c r="BR160" s="789" t="str">
        <f t="shared" si="54"/>
        <v/>
      </c>
      <c r="BS160" s="789" t="str">
        <f t="shared" si="54"/>
        <v/>
      </c>
      <c r="BU160" s="535" t="s">
        <v>610</v>
      </c>
      <c r="BV160" s="789">
        <f t="shared" ref="BV160:CA160" si="55">IF(B98&gt;0,INDEX($D$54:$D$94,B98,1),"")</f>
        <v>0</v>
      </c>
      <c r="BW160" s="789">
        <f t="shared" si="55"/>
        <v>0</v>
      </c>
      <c r="BX160" s="789" t="str">
        <f t="shared" si="55"/>
        <v/>
      </c>
      <c r="BY160" s="789" t="str">
        <f t="shared" si="55"/>
        <v/>
      </c>
      <c r="BZ160" s="789" t="str">
        <f t="shared" si="55"/>
        <v/>
      </c>
      <c r="CA160" s="789" t="str">
        <f t="shared" si="55"/>
        <v/>
      </c>
      <c r="CC160" s="535" t="s">
        <v>610</v>
      </c>
      <c r="CD160" s="789">
        <f t="shared" ref="CD160:CI160" si="56">IF(B98&gt;0,INDEX($D$54:$D$94,B98,1),"")</f>
        <v>0</v>
      </c>
      <c r="CE160" s="789">
        <f t="shared" si="56"/>
        <v>0</v>
      </c>
      <c r="CF160" s="789" t="str">
        <f t="shared" si="56"/>
        <v/>
      </c>
      <c r="CG160" s="789" t="str">
        <f t="shared" si="56"/>
        <v/>
      </c>
      <c r="CH160" s="789" t="str">
        <f t="shared" si="56"/>
        <v/>
      </c>
      <c r="CI160" s="789" t="str">
        <f t="shared" si="56"/>
        <v/>
      </c>
      <c r="CK160" s="535" t="s">
        <v>610</v>
      </c>
      <c r="CL160" s="789">
        <f t="shared" ref="CL160:CQ160" si="57">IF(B98&gt;0,INDEX($D$54:$D$94,B98,1),"")</f>
        <v>0</v>
      </c>
      <c r="CM160" s="789">
        <f t="shared" si="57"/>
        <v>0</v>
      </c>
      <c r="CN160" s="789" t="str">
        <f t="shared" si="57"/>
        <v/>
      </c>
      <c r="CO160" s="789" t="str">
        <f t="shared" si="57"/>
        <v/>
      </c>
      <c r="CP160" s="789" t="str">
        <f t="shared" si="57"/>
        <v/>
      </c>
      <c r="CQ160" s="789" t="str">
        <f t="shared" si="57"/>
        <v/>
      </c>
    </row>
    <row r="161" spans="1:95">
      <c r="A161" s="535" t="s">
        <v>611</v>
      </c>
      <c r="B161" s="789">
        <f t="shared" ref="B161:G161" si="58">IF(B99&gt;0,INDEX($D$54:$D$94,B99,1),"")</f>
        <v>0</v>
      </c>
      <c r="C161" s="789" t="str">
        <f t="shared" si="58"/>
        <v/>
      </c>
      <c r="D161" s="789" t="str">
        <f t="shared" si="58"/>
        <v/>
      </c>
      <c r="E161" s="789" t="str">
        <f t="shared" si="58"/>
        <v/>
      </c>
      <c r="F161" s="789" t="str">
        <f t="shared" si="58"/>
        <v/>
      </c>
      <c r="G161" s="789" t="str">
        <f t="shared" si="58"/>
        <v/>
      </c>
      <c r="I161" s="535" t="s">
        <v>611</v>
      </c>
      <c r="J161" s="789">
        <f t="shared" ref="J161:J186" si="59">IF(B99&gt;0,INDEX($D$54:$D$94,B99,1),"")</f>
        <v>0</v>
      </c>
      <c r="K161" s="789" t="str">
        <f t="shared" ref="K161:K186" si="60">IF(C99&gt;0,INDEX($D$54:$D$94,C99,1),"")</f>
        <v/>
      </c>
      <c r="L161" s="789" t="str">
        <f t="shared" ref="L161:L186" si="61">IF(D99&gt;0,INDEX($D$54:$D$94,D99,1),"")</f>
        <v/>
      </c>
      <c r="M161" s="789" t="str">
        <f t="shared" ref="M161:M186" si="62">IF(E99&gt;0,INDEX($D$54:$D$94,E99,1),"")</f>
        <v/>
      </c>
      <c r="N161" s="789" t="str">
        <f t="shared" ref="N161:N186" si="63">IF(F99&gt;0,INDEX($D$54:$D$94,F99,1),"")</f>
        <v/>
      </c>
      <c r="O161" s="789" t="str">
        <f t="shared" ref="O161:O186" si="64">IF(G99&gt;0,INDEX($D$54:$D$94,G99,1),"")</f>
        <v/>
      </c>
      <c r="Q161" s="535" t="s">
        <v>611</v>
      </c>
      <c r="R161" s="789">
        <f t="shared" ref="R161:R186" si="65">IF(B99&gt;0,INDEX($D$54:$D$94,B99,1),"")</f>
        <v>0</v>
      </c>
      <c r="S161" s="789" t="str">
        <f t="shared" ref="S161:S186" si="66">IF(C99&gt;0,INDEX($D$54:$D$94,C99,1),"")</f>
        <v/>
      </c>
      <c r="T161" s="789" t="str">
        <f t="shared" ref="T161:T186" si="67">IF(D99&gt;0,INDEX($D$54:$D$94,D99,1),"")</f>
        <v/>
      </c>
      <c r="U161" s="789" t="str">
        <f t="shared" ref="U161:U186" si="68">IF(E99&gt;0,INDEX($D$54:$D$94,E99,1),"")</f>
        <v/>
      </c>
      <c r="V161" s="789" t="str">
        <f t="shared" ref="V161:V186" si="69">IF(F99&gt;0,INDEX($D$54:$D$94,F99,1),"")</f>
        <v/>
      </c>
      <c r="W161" s="789" t="str">
        <f t="shared" ref="W161:W186" si="70">IF(G99&gt;0,INDEX($D$54:$D$94,G99,1),"")</f>
        <v/>
      </c>
      <c r="Y161" s="535" t="s">
        <v>611</v>
      </c>
      <c r="Z161" s="789">
        <f t="shared" ref="Z161:Z186" si="71">IF(B99&gt;0,INDEX($D$54:$D$94,B99,1),"")</f>
        <v>0</v>
      </c>
      <c r="AA161" s="789" t="str">
        <f t="shared" ref="AA161:AA186" si="72">IF(C99&gt;0,INDEX($D$54:$D$94,C99,1),"")</f>
        <v/>
      </c>
      <c r="AB161" s="789" t="str">
        <f t="shared" ref="AB161:AB186" si="73">IF(D99&gt;0,INDEX($D$54:$D$94,D99,1),"")</f>
        <v/>
      </c>
      <c r="AC161" s="789" t="str">
        <f t="shared" ref="AC161:AC186" si="74">IF(E99&gt;0,INDEX($D$54:$D$94,E99,1),"")</f>
        <v/>
      </c>
      <c r="AD161" s="789" t="str">
        <f t="shared" ref="AD161:AD186" si="75">IF(F99&gt;0,INDEX($D$54:$D$94,F99,1),"")</f>
        <v/>
      </c>
      <c r="AE161" s="789" t="str">
        <f t="shared" ref="AE161:AE186" si="76">IF(G99&gt;0,INDEX($D$54:$D$94,G99,1),"")</f>
        <v/>
      </c>
      <c r="AG161" s="535" t="s">
        <v>611</v>
      </c>
      <c r="AH161" s="789">
        <f t="shared" ref="AH161:AH186" si="77">IF(B99&gt;0,INDEX($D$54:$D$94,B99,1),"")</f>
        <v>0</v>
      </c>
      <c r="AI161" s="789" t="str">
        <f t="shared" ref="AI161:AI186" si="78">IF(C99&gt;0,INDEX($D$54:$D$94,C99,1),"")</f>
        <v/>
      </c>
      <c r="AJ161" s="789" t="str">
        <f t="shared" ref="AJ161:AJ186" si="79">IF(D99&gt;0,INDEX($D$54:$D$94,D99,1),"")</f>
        <v/>
      </c>
      <c r="AK161" s="789" t="str">
        <f t="shared" ref="AK161:AK186" si="80">IF(E99&gt;0,INDEX($D$54:$D$94,E99,1),"")</f>
        <v/>
      </c>
      <c r="AL161" s="789" t="str">
        <f t="shared" ref="AL161:AL186" si="81">IF(F99&gt;0,INDEX($D$54:$D$94,F99,1),"")</f>
        <v/>
      </c>
      <c r="AM161" s="789" t="str">
        <f t="shared" ref="AM161:AM186" si="82">IF(G99&gt;0,INDEX($D$54:$D$94,G99,1),"")</f>
        <v/>
      </c>
      <c r="AO161" s="535" t="s">
        <v>611</v>
      </c>
      <c r="AP161" s="789">
        <f t="shared" ref="AP161:AP186" si="83">IF(B99&gt;0,INDEX($D$54:$D$94,B99,1),"")</f>
        <v>0</v>
      </c>
      <c r="AQ161" s="789" t="str">
        <f t="shared" ref="AQ161:AQ186" si="84">IF(C99&gt;0,INDEX($D$54:$D$94,C99,1),"")</f>
        <v/>
      </c>
      <c r="AR161" s="789" t="str">
        <f t="shared" ref="AR161:AR186" si="85">IF(D99&gt;0,INDEX($D$54:$D$94,D99,1),"")</f>
        <v/>
      </c>
      <c r="AS161" s="789" t="str">
        <f t="shared" ref="AS161:AS186" si="86">IF(E99&gt;0,INDEX($D$54:$D$94,E99,1),"")</f>
        <v/>
      </c>
      <c r="AT161" s="789" t="str">
        <f t="shared" ref="AT161:AT186" si="87">IF(F99&gt;0,INDEX($D$54:$D$94,F99,1),"")</f>
        <v/>
      </c>
      <c r="AU161" s="789" t="str">
        <f t="shared" ref="AU161:AU186" si="88">IF(G99&gt;0,INDEX($D$54:$D$94,G99,1),"")</f>
        <v/>
      </c>
      <c r="AW161" s="535" t="s">
        <v>611</v>
      </c>
      <c r="AX161" s="789">
        <f t="shared" ref="AX161:AX186" si="89">IF(B99&gt;0,INDEX($D$54:$D$94,B99,1),"")</f>
        <v>0</v>
      </c>
      <c r="AY161" s="789" t="str">
        <f t="shared" ref="AY161:AY186" si="90">IF(C99&gt;0,INDEX($D$54:$D$94,C99,1),"")</f>
        <v/>
      </c>
      <c r="AZ161" s="789" t="str">
        <f t="shared" ref="AZ161:AZ186" si="91">IF(D99&gt;0,INDEX($D$54:$D$94,D99,1),"")</f>
        <v/>
      </c>
      <c r="BA161" s="789" t="str">
        <f t="shared" ref="BA161:BA186" si="92">IF(E99&gt;0,INDEX($D$54:$D$94,E99,1),"")</f>
        <v/>
      </c>
      <c r="BB161" s="789" t="str">
        <f t="shared" ref="BB161:BB186" si="93">IF(F99&gt;0,INDEX($D$54:$D$94,F99,1),"")</f>
        <v/>
      </c>
      <c r="BC161" s="789" t="str">
        <f t="shared" ref="BC161:BC186" si="94">IF(G99&gt;0,INDEX($D$54:$D$94,G99,1),"")</f>
        <v/>
      </c>
      <c r="BE161" s="535" t="s">
        <v>611</v>
      </c>
      <c r="BF161" s="789">
        <f t="shared" ref="BF161:BF186" si="95">IF(B99&gt;0,INDEX($D$54:$D$94,B99,1),"")</f>
        <v>0</v>
      </c>
      <c r="BG161" s="789" t="str">
        <f t="shared" ref="BG161:BG186" si="96">IF(C99&gt;0,INDEX($D$54:$D$94,C99,1),"")</f>
        <v/>
      </c>
      <c r="BH161" s="789" t="str">
        <f t="shared" ref="BH161:BH186" si="97">IF(D99&gt;0,INDEX($D$54:$D$94,D99,1),"")</f>
        <v/>
      </c>
      <c r="BI161" s="789" t="str">
        <f t="shared" ref="BI161:BI186" si="98">IF(E99&gt;0,INDEX($D$54:$D$94,E99,1),"")</f>
        <v/>
      </c>
      <c r="BJ161" s="789" t="str">
        <f t="shared" ref="BJ161:BJ186" si="99">IF(F99&gt;0,INDEX($D$54:$D$94,F99,1),"")</f>
        <v/>
      </c>
      <c r="BK161" s="789" t="str">
        <f t="shared" ref="BK161:BK186" si="100">IF(G99&gt;0,INDEX($D$54:$D$94,G99,1),"")</f>
        <v/>
      </c>
      <c r="BM161" s="535" t="s">
        <v>611</v>
      </c>
      <c r="BN161" s="789">
        <f t="shared" ref="BN161:BN186" si="101">IF(B99&gt;0,INDEX($D$54:$D$94,B99,1),"")</f>
        <v>0</v>
      </c>
      <c r="BO161" s="789" t="str">
        <f t="shared" ref="BO161:BO186" si="102">IF(C99&gt;0,INDEX($D$54:$D$94,C99,1),"")</f>
        <v/>
      </c>
      <c r="BP161" s="789" t="str">
        <f t="shared" ref="BP161:BP186" si="103">IF(D99&gt;0,INDEX($D$54:$D$94,D99,1),"")</f>
        <v/>
      </c>
      <c r="BQ161" s="789" t="str">
        <f t="shared" ref="BQ161:BQ186" si="104">IF(E99&gt;0,INDEX($D$54:$D$94,E99,1),"")</f>
        <v/>
      </c>
      <c r="BR161" s="789" t="str">
        <f t="shared" ref="BR161:BR186" si="105">IF(F99&gt;0,INDEX($D$54:$D$94,F99,1),"")</f>
        <v/>
      </c>
      <c r="BS161" s="789" t="str">
        <f t="shared" ref="BS161:BS186" si="106">IF(G99&gt;0,INDEX($D$54:$D$94,G99,1),"")</f>
        <v/>
      </c>
      <c r="BU161" s="535" t="s">
        <v>611</v>
      </c>
      <c r="BV161" s="789">
        <f t="shared" ref="BV161:BV186" si="107">IF(B99&gt;0,INDEX($D$54:$D$94,B99,1),"")</f>
        <v>0</v>
      </c>
      <c r="BW161" s="789" t="str">
        <f t="shared" ref="BW161:BW186" si="108">IF(C99&gt;0,INDEX($D$54:$D$94,C99,1),"")</f>
        <v/>
      </c>
      <c r="BX161" s="789" t="str">
        <f t="shared" ref="BX161:BX186" si="109">IF(D99&gt;0,INDEX($D$54:$D$94,D99,1),"")</f>
        <v/>
      </c>
      <c r="BY161" s="789" t="str">
        <f t="shared" ref="BY161:BY186" si="110">IF(E99&gt;0,INDEX($D$54:$D$94,E99,1),"")</f>
        <v/>
      </c>
      <c r="BZ161" s="789" t="str">
        <f t="shared" ref="BZ161:BZ186" si="111">IF(F99&gt;0,INDEX($D$54:$D$94,F99,1),"")</f>
        <v/>
      </c>
      <c r="CA161" s="789" t="str">
        <f t="shared" ref="CA161:CA186" si="112">IF(G99&gt;0,INDEX($D$54:$D$94,G99,1),"")</f>
        <v/>
      </c>
      <c r="CC161" s="535" t="s">
        <v>611</v>
      </c>
      <c r="CD161" s="789">
        <f t="shared" ref="CD161:CD186" si="113">IF(B99&gt;0,INDEX($D$54:$D$94,B99,1),"")</f>
        <v>0</v>
      </c>
      <c r="CE161" s="789" t="str">
        <f t="shared" ref="CE161:CE186" si="114">IF(C99&gt;0,INDEX($D$54:$D$94,C99,1),"")</f>
        <v/>
      </c>
      <c r="CF161" s="789" t="str">
        <f t="shared" ref="CF161:CF186" si="115">IF(D99&gt;0,INDEX($D$54:$D$94,D99,1),"")</f>
        <v/>
      </c>
      <c r="CG161" s="789" t="str">
        <f t="shared" ref="CG161:CG186" si="116">IF(E99&gt;0,INDEX($D$54:$D$94,E99,1),"")</f>
        <v/>
      </c>
      <c r="CH161" s="789" t="str">
        <f t="shared" ref="CH161:CH186" si="117">IF(F99&gt;0,INDEX($D$54:$D$94,F99,1),"")</f>
        <v/>
      </c>
      <c r="CI161" s="789" t="str">
        <f t="shared" ref="CI161:CI186" si="118">IF(G99&gt;0,INDEX($D$54:$D$94,G99,1),"")</f>
        <v/>
      </c>
      <c r="CK161" s="535" t="s">
        <v>611</v>
      </c>
      <c r="CL161" s="789">
        <f t="shared" ref="CL161:CL186" si="119">IF(B99&gt;0,INDEX($D$54:$D$94,B99,1),"")</f>
        <v>0</v>
      </c>
      <c r="CM161" s="789" t="str">
        <f t="shared" ref="CM161:CM186" si="120">IF(C99&gt;0,INDEX($D$54:$D$94,C99,1),"")</f>
        <v/>
      </c>
      <c r="CN161" s="789" t="str">
        <f t="shared" ref="CN161:CN186" si="121">IF(D99&gt;0,INDEX($D$54:$D$94,D99,1),"")</f>
        <v/>
      </c>
      <c r="CO161" s="789" t="str">
        <f t="shared" ref="CO161:CO186" si="122">IF(E99&gt;0,INDEX($D$54:$D$94,E99,1),"")</f>
        <v/>
      </c>
      <c r="CP161" s="789" t="str">
        <f t="shared" ref="CP161:CP186" si="123">IF(F99&gt;0,INDEX($D$54:$D$94,F99,1),"")</f>
        <v/>
      </c>
      <c r="CQ161" s="789" t="str">
        <f t="shared" ref="CQ161:CQ186" si="124">IF(G99&gt;0,INDEX($D$54:$D$94,G99,1),"")</f>
        <v/>
      </c>
    </row>
    <row r="162" spans="1:95">
      <c r="A162" s="535" t="s">
        <v>612</v>
      </c>
      <c r="B162" s="789">
        <f t="shared" ref="B162:G162" si="125">IF(B100&gt;0,INDEX($D$54:$D$94,B100,1),"")</f>
        <v>0</v>
      </c>
      <c r="C162" s="789" t="str">
        <f t="shared" si="125"/>
        <v/>
      </c>
      <c r="D162" s="789" t="str">
        <f t="shared" si="125"/>
        <v/>
      </c>
      <c r="E162" s="789" t="str">
        <f t="shared" si="125"/>
        <v/>
      </c>
      <c r="F162" s="789" t="str">
        <f t="shared" si="125"/>
        <v/>
      </c>
      <c r="G162" s="789" t="str">
        <f t="shared" si="125"/>
        <v/>
      </c>
      <c r="I162" s="535" t="s">
        <v>612</v>
      </c>
      <c r="J162" s="789">
        <f t="shared" si="59"/>
        <v>0</v>
      </c>
      <c r="K162" s="789" t="str">
        <f t="shared" si="60"/>
        <v/>
      </c>
      <c r="L162" s="789" t="str">
        <f t="shared" si="61"/>
        <v/>
      </c>
      <c r="M162" s="789" t="str">
        <f t="shared" si="62"/>
        <v/>
      </c>
      <c r="N162" s="789" t="str">
        <f t="shared" si="63"/>
        <v/>
      </c>
      <c r="O162" s="789" t="str">
        <f t="shared" si="64"/>
        <v/>
      </c>
      <c r="Q162" s="535" t="s">
        <v>612</v>
      </c>
      <c r="R162" s="789">
        <f t="shared" si="65"/>
        <v>0</v>
      </c>
      <c r="S162" s="789" t="str">
        <f t="shared" si="66"/>
        <v/>
      </c>
      <c r="T162" s="789" t="str">
        <f t="shared" si="67"/>
        <v/>
      </c>
      <c r="U162" s="789" t="str">
        <f t="shared" si="68"/>
        <v/>
      </c>
      <c r="V162" s="789" t="str">
        <f t="shared" si="69"/>
        <v/>
      </c>
      <c r="W162" s="789" t="str">
        <f t="shared" si="70"/>
        <v/>
      </c>
      <c r="Y162" s="535" t="s">
        <v>612</v>
      </c>
      <c r="Z162" s="789">
        <f t="shared" si="71"/>
        <v>0</v>
      </c>
      <c r="AA162" s="789" t="str">
        <f t="shared" si="72"/>
        <v/>
      </c>
      <c r="AB162" s="789" t="str">
        <f t="shared" si="73"/>
        <v/>
      </c>
      <c r="AC162" s="789" t="str">
        <f t="shared" si="74"/>
        <v/>
      </c>
      <c r="AD162" s="789" t="str">
        <f t="shared" si="75"/>
        <v/>
      </c>
      <c r="AE162" s="789" t="str">
        <f t="shared" si="76"/>
        <v/>
      </c>
      <c r="AG162" s="535" t="s">
        <v>612</v>
      </c>
      <c r="AH162" s="789">
        <f t="shared" si="77"/>
        <v>0</v>
      </c>
      <c r="AI162" s="789" t="str">
        <f t="shared" si="78"/>
        <v/>
      </c>
      <c r="AJ162" s="789" t="str">
        <f t="shared" si="79"/>
        <v/>
      </c>
      <c r="AK162" s="789" t="str">
        <f t="shared" si="80"/>
        <v/>
      </c>
      <c r="AL162" s="789" t="str">
        <f t="shared" si="81"/>
        <v/>
      </c>
      <c r="AM162" s="789" t="str">
        <f t="shared" si="82"/>
        <v/>
      </c>
      <c r="AO162" s="535" t="s">
        <v>612</v>
      </c>
      <c r="AP162" s="789">
        <f t="shared" si="83"/>
        <v>0</v>
      </c>
      <c r="AQ162" s="789" t="str">
        <f t="shared" si="84"/>
        <v/>
      </c>
      <c r="AR162" s="789" t="str">
        <f t="shared" si="85"/>
        <v/>
      </c>
      <c r="AS162" s="789" t="str">
        <f t="shared" si="86"/>
        <v/>
      </c>
      <c r="AT162" s="789" t="str">
        <f t="shared" si="87"/>
        <v/>
      </c>
      <c r="AU162" s="789" t="str">
        <f t="shared" si="88"/>
        <v/>
      </c>
      <c r="AW162" s="535" t="s">
        <v>612</v>
      </c>
      <c r="AX162" s="789">
        <f t="shared" si="89"/>
        <v>0</v>
      </c>
      <c r="AY162" s="789" t="str">
        <f t="shared" si="90"/>
        <v/>
      </c>
      <c r="AZ162" s="789" t="str">
        <f t="shared" si="91"/>
        <v/>
      </c>
      <c r="BA162" s="789" t="str">
        <f t="shared" si="92"/>
        <v/>
      </c>
      <c r="BB162" s="789" t="str">
        <f t="shared" si="93"/>
        <v/>
      </c>
      <c r="BC162" s="789" t="str">
        <f t="shared" si="94"/>
        <v/>
      </c>
      <c r="BE162" s="535" t="s">
        <v>612</v>
      </c>
      <c r="BF162" s="789">
        <f t="shared" si="95"/>
        <v>0</v>
      </c>
      <c r="BG162" s="789" t="str">
        <f t="shared" si="96"/>
        <v/>
      </c>
      <c r="BH162" s="789" t="str">
        <f t="shared" si="97"/>
        <v/>
      </c>
      <c r="BI162" s="789" t="str">
        <f t="shared" si="98"/>
        <v/>
      </c>
      <c r="BJ162" s="789" t="str">
        <f t="shared" si="99"/>
        <v/>
      </c>
      <c r="BK162" s="789" t="str">
        <f t="shared" si="100"/>
        <v/>
      </c>
      <c r="BM162" s="535" t="s">
        <v>612</v>
      </c>
      <c r="BN162" s="789">
        <f t="shared" si="101"/>
        <v>0</v>
      </c>
      <c r="BO162" s="789" t="str">
        <f t="shared" si="102"/>
        <v/>
      </c>
      <c r="BP162" s="789" t="str">
        <f t="shared" si="103"/>
        <v/>
      </c>
      <c r="BQ162" s="789" t="str">
        <f t="shared" si="104"/>
        <v/>
      </c>
      <c r="BR162" s="789" t="str">
        <f t="shared" si="105"/>
        <v/>
      </c>
      <c r="BS162" s="789" t="str">
        <f t="shared" si="106"/>
        <v/>
      </c>
      <c r="BU162" s="535" t="s">
        <v>612</v>
      </c>
      <c r="BV162" s="789">
        <f t="shared" si="107"/>
        <v>0</v>
      </c>
      <c r="BW162" s="789" t="str">
        <f t="shared" si="108"/>
        <v/>
      </c>
      <c r="BX162" s="789" t="str">
        <f t="shared" si="109"/>
        <v/>
      </c>
      <c r="BY162" s="789" t="str">
        <f t="shared" si="110"/>
        <v/>
      </c>
      <c r="BZ162" s="789" t="str">
        <f t="shared" si="111"/>
        <v/>
      </c>
      <c r="CA162" s="789" t="str">
        <f t="shared" si="112"/>
        <v/>
      </c>
      <c r="CC162" s="535" t="s">
        <v>612</v>
      </c>
      <c r="CD162" s="789">
        <f t="shared" si="113"/>
        <v>0</v>
      </c>
      <c r="CE162" s="789" t="str">
        <f t="shared" si="114"/>
        <v/>
      </c>
      <c r="CF162" s="789" t="str">
        <f t="shared" si="115"/>
        <v/>
      </c>
      <c r="CG162" s="789" t="str">
        <f t="shared" si="116"/>
        <v/>
      </c>
      <c r="CH162" s="789" t="str">
        <f t="shared" si="117"/>
        <v/>
      </c>
      <c r="CI162" s="789" t="str">
        <f t="shared" si="118"/>
        <v/>
      </c>
      <c r="CK162" s="535" t="s">
        <v>612</v>
      </c>
      <c r="CL162" s="789">
        <f t="shared" si="119"/>
        <v>0</v>
      </c>
      <c r="CM162" s="789" t="str">
        <f t="shared" si="120"/>
        <v/>
      </c>
      <c r="CN162" s="789" t="str">
        <f t="shared" si="121"/>
        <v/>
      </c>
      <c r="CO162" s="789" t="str">
        <f t="shared" si="122"/>
        <v/>
      </c>
      <c r="CP162" s="789" t="str">
        <f t="shared" si="123"/>
        <v/>
      </c>
      <c r="CQ162" s="789" t="str">
        <f t="shared" si="124"/>
        <v/>
      </c>
    </row>
    <row r="163" spans="1:95">
      <c r="A163" s="535" t="s">
        <v>280</v>
      </c>
      <c r="B163" s="789">
        <f t="shared" ref="B163:G163" si="126">IF(B101&gt;0,INDEX($D$54:$D$94,B101,1),"")</f>
        <v>0</v>
      </c>
      <c r="C163" s="789">
        <f t="shared" si="126"/>
        <v>0</v>
      </c>
      <c r="D163" s="789" t="str">
        <f t="shared" si="126"/>
        <v/>
      </c>
      <c r="E163" s="789" t="str">
        <f t="shared" si="126"/>
        <v/>
      </c>
      <c r="F163" s="789" t="str">
        <f t="shared" si="126"/>
        <v/>
      </c>
      <c r="G163" s="789" t="str">
        <f t="shared" si="126"/>
        <v/>
      </c>
      <c r="I163" s="535" t="s">
        <v>280</v>
      </c>
      <c r="J163" s="789">
        <f t="shared" si="59"/>
        <v>0</v>
      </c>
      <c r="K163" s="789">
        <f t="shared" si="60"/>
        <v>0</v>
      </c>
      <c r="L163" s="789" t="str">
        <f t="shared" si="61"/>
        <v/>
      </c>
      <c r="M163" s="789" t="str">
        <f t="shared" si="62"/>
        <v/>
      </c>
      <c r="N163" s="789" t="str">
        <f t="shared" si="63"/>
        <v/>
      </c>
      <c r="O163" s="789" t="str">
        <f t="shared" si="64"/>
        <v/>
      </c>
      <c r="Q163" s="535" t="s">
        <v>280</v>
      </c>
      <c r="R163" s="789">
        <f t="shared" si="65"/>
        <v>0</v>
      </c>
      <c r="S163" s="789">
        <f t="shared" si="66"/>
        <v>0</v>
      </c>
      <c r="T163" s="789" t="str">
        <f t="shared" si="67"/>
        <v/>
      </c>
      <c r="U163" s="789" t="str">
        <f t="shared" si="68"/>
        <v/>
      </c>
      <c r="V163" s="789" t="str">
        <f t="shared" si="69"/>
        <v/>
      </c>
      <c r="W163" s="789" t="str">
        <f t="shared" si="70"/>
        <v/>
      </c>
      <c r="Y163" s="535" t="s">
        <v>280</v>
      </c>
      <c r="Z163" s="789">
        <f t="shared" si="71"/>
        <v>0</v>
      </c>
      <c r="AA163" s="789">
        <f t="shared" si="72"/>
        <v>0</v>
      </c>
      <c r="AB163" s="789" t="str">
        <f t="shared" si="73"/>
        <v/>
      </c>
      <c r="AC163" s="789" t="str">
        <f t="shared" si="74"/>
        <v/>
      </c>
      <c r="AD163" s="789" t="str">
        <f t="shared" si="75"/>
        <v/>
      </c>
      <c r="AE163" s="789" t="str">
        <f t="shared" si="76"/>
        <v/>
      </c>
      <c r="AG163" s="535" t="s">
        <v>280</v>
      </c>
      <c r="AH163" s="789">
        <f t="shared" si="77"/>
        <v>0</v>
      </c>
      <c r="AI163" s="789">
        <f t="shared" si="78"/>
        <v>0</v>
      </c>
      <c r="AJ163" s="789" t="str">
        <f t="shared" si="79"/>
        <v/>
      </c>
      <c r="AK163" s="789" t="str">
        <f t="shared" si="80"/>
        <v/>
      </c>
      <c r="AL163" s="789" t="str">
        <f t="shared" si="81"/>
        <v/>
      </c>
      <c r="AM163" s="789" t="str">
        <f t="shared" si="82"/>
        <v/>
      </c>
      <c r="AO163" s="535" t="s">
        <v>280</v>
      </c>
      <c r="AP163" s="789">
        <f t="shared" si="83"/>
        <v>0</v>
      </c>
      <c r="AQ163" s="789">
        <f t="shared" si="84"/>
        <v>0</v>
      </c>
      <c r="AR163" s="789" t="str">
        <f t="shared" si="85"/>
        <v/>
      </c>
      <c r="AS163" s="789" t="str">
        <f t="shared" si="86"/>
        <v/>
      </c>
      <c r="AT163" s="789" t="str">
        <f t="shared" si="87"/>
        <v/>
      </c>
      <c r="AU163" s="789" t="str">
        <f t="shared" si="88"/>
        <v/>
      </c>
      <c r="AW163" s="535" t="s">
        <v>280</v>
      </c>
      <c r="AX163" s="789">
        <f t="shared" si="89"/>
        <v>0</v>
      </c>
      <c r="AY163" s="789">
        <f t="shared" si="90"/>
        <v>0</v>
      </c>
      <c r="AZ163" s="789" t="str">
        <f t="shared" si="91"/>
        <v/>
      </c>
      <c r="BA163" s="789" t="str">
        <f t="shared" si="92"/>
        <v/>
      </c>
      <c r="BB163" s="789" t="str">
        <f t="shared" si="93"/>
        <v/>
      </c>
      <c r="BC163" s="789" t="str">
        <f t="shared" si="94"/>
        <v/>
      </c>
      <c r="BE163" s="535" t="s">
        <v>280</v>
      </c>
      <c r="BF163" s="789">
        <f t="shared" si="95"/>
        <v>0</v>
      </c>
      <c r="BG163" s="789">
        <f t="shared" si="96"/>
        <v>0</v>
      </c>
      <c r="BH163" s="789" t="str">
        <f t="shared" si="97"/>
        <v/>
      </c>
      <c r="BI163" s="789" t="str">
        <f t="shared" si="98"/>
        <v/>
      </c>
      <c r="BJ163" s="789" t="str">
        <f t="shared" si="99"/>
        <v/>
      </c>
      <c r="BK163" s="789" t="str">
        <f t="shared" si="100"/>
        <v/>
      </c>
      <c r="BM163" s="535" t="s">
        <v>280</v>
      </c>
      <c r="BN163" s="789">
        <f t="shared" si="101"/>
        <v>0</v>
      </c>
      <c r="BO163" s="789">
        <f t="shared" si="102"/>
        <v>0</v>
      </c>
      <c r="BP163" s="789" t="str">
        <f t="shared" si="103"/>
        <v/>
      </c>
      <c r="BQ163" s="789" t="str">
        <f t="shared" si="104"/>
        <v/>
      </c>
      <c r="BR163" s="789" t="str">
        <f t="shared" si="105"/>
        <v/>
      </c>
      <c r="BS163" s="789" t="str">
        <f t="shared" si="106"/>
        <v/>
      </c>
      <c r="BU163" s="535" t="s">
        <v>280</v>
      </c>
      <c r="BV163" s="789">
        <f t="shared" si="107"/>
        <v>0</v>
      </c>
      <c r="BW163" s="789">
        <f t="shared" si="108"/>
        <v>0</v>
      </c>
      <c r="BX163" s="789" t="str">
        <f t="shared" si="109"/>
        <v/>
      </c>
      <c r="BY163" s="789" t="str">
        <f t="shared" si="110"/>
        <v/>
      </c>
      <c r="BZ163" s="789" t="str">
        <f t="shared" si="111"/>
        <v/>
      </c>
      <c r="CA163" s="789" t="str">
        <f t="shared" si="112"/>
        <v/>
      </c>
      <c r="CC163" s="535" t="s">
        <v>280</v>
      </c>
      <c r="CD163" s="789">
        <f t="shared" si="113"/>
        <v>0</v>
      </c>
      <c r="CE163" s="789">
        <f t="shared" si="114"/>
        <v>0</v>
      </c>
      <c r="CF163" s="789" t="str">
        <f t="shared" si="115"/>
        <v/>
      </c>
      <c r="CG163" s="789" t="str">
        <f t="shared" si="116"/>
        <v/>
      </c>
      <c r="CH163" s="789" t="str">
        <f t="shared" si="117"/>
        <v/>
      </c>
      <c r="CI163" s="789" t="str">
        <f t="shared" si="118"/>
        <v/>
      </c>
      <c r="CK163" s="535" t="s">
        <v>280</v>
      </c>
      <c r="CL163" s="789">
        <f t="shared" si="119"/>
        <v>0</v>
      </c>
      <c r="CM163" s="789">
        <f t="shared" si="120"/>
        <v>0</v>
      </c>
      <c r="CN163" s="789" t="str">
        <f t="shared" si="121"/>
        <v/>
      </c>
      <c r="CO163" s="789" t="str">
        <f t="shared" si="122"/>
        <v/>
      </c>
      <c r="CP163" s="789" t="str">
        <f t="shared" si="123"/>
        <v/>
      </c>
      <c r="CQ163" s="789" t="str">
        <f t="shared" si="124"/>
        <v/>
      </c>
    </row>
    <row r="164" spans="1:95">
      <c r="A164" s="535" t="s">
        <v>613</v>
      </c>
      <c r="B164" s="789">
        <f t="shared" ref="B164:G164" si="127">IF(B102&gt;0,INDEX($D$54:$D$94,B102,1),"")</f>
        <v>0</v>
      </c>
      <c r="C164" s="789" t="str">
        <f t="shared" si="127"/>
        <v/>
      </c>
      <c r="D164" s="789" t="str">
        <f t="shared" si="127"/>
        <v/>
      </c>
      <c r="E164" s="789" t="str">
        <f t="shared" si="127"/>
        <v/>
      </c>
      <c r="F164" s="789" t="str">
        <f t="shared" si="127"/>
        <v/>
      </c>
      <c r="G164" s="789" t="str">
        <f t="shared" si="127"/>
        <v/>
      </c>
      <c r="I164" s="535" t="s">
        <v>613</v>
      </c>
      <c r="J164" s="789">
        <f t="shared" si="59"/>
        <v>0</v>
      </c>
      <c r="K164" s="789" t="str">
        <f t="shared" si="60"/>
        <v/>
      </c>
      <c r="L164" s="789" t="str">
        <f t="shared" si="61"/>
        <v/>
      </c>
      <c r="M164" s="789" t="str">
        <f t="shared" si="62"/>
        <v/>
      </c>
      <c r="N164" s="789" t="str">
        <f t="shared" si="63"/>
        <v/>
      </c>
      <c r="O164" s="789" t="str">
        <f t="shared" si="64"/>
        <v/>
      </c>
      <c r="Q164" s="535" t="s">
        <v>613</v>
      </c>
      <c r="R164" s="789">
        <f t="shared" si="65"/>
        <v>0</v>
      </c>
      <c r="S164" s="789" t="str">
        <f t="shared" si="66"/>
        <v/>
      </c>
      <c r="T164" s="789" t="str">
        <f t="shared" si="67"/>
        <v/>
      </c>
      <c r="U164" s="789" t="str">
        <f t="shared" si="68"/>
        <v/>
      </c>
      <c r="V164" s="789" t="str">
        <f t="shared" si="69"/>
        <v/>
      </c>
      <c r="W164" s="789" t="str">
        <f t="shared" si="70"/>
        <v/>
      </c>
      <c r="Y164" s="535" t="s">
        <v>613</v>
      </c>
      <c r="Z164" s="789">
        <f t="shared" si="71"/>
        <v>0</v>
      </c>
      <c r="AA164" s="789" t="str">
        <f t="shared" si="72"/>
        <v/>
      </c>
      <c r="AB164" s="789" t="str">
        <f t="shared" si="73"/>
        <v/>
      </c>
      <c r="AC164" s="789" t="str">
        <f t="shared" si="74"/>
        <v/>
      </c>
      <c r="AD164" s="789" t="str">
        <f t="shared" si="75"/>
        <v/>
      </c>
      <c r="AE164" s="789" t="str">
        <f t="shared" si="76"/>
        <v/>
      </c>
      <c r="AG164" s="535" t="s">
        <v>613</v>
      </c>
      <c r="AH164" s="789">
        <f t="shared" si="77"/>
        <v>0</v>
      </c>
      <c r="AI164" s="789" t="str">
        <f t="shared" si="78"/>
        <v/>
      </c>
      <c r="AJ164" s="789" t="str">
        <f t="shared" si="79"/>
        <v/>
      </c>
      <c r="AK164" s="789" t="str">
        <f t="shared" si="80"/>
        <v/>
      </c>
      <c r="AL164" s="789" t="str">
        <f t="shared" si="81"/>
        <v/>
      </c>
      <c r="AM164" s="789" t="str">
        <f t="shared" si="82"/>
        <v/>
      </c>
      <c r="AO164" s="535" t="s">
        <v>613</v>
      </c>
      <c r="AP164" s="789">
        <f t="shared" si="83"/>
        <v>0</v>
      </c>
      <c r="AQ164" s="789" t="str">
        <f t="shared" si="84"/>
        <v/>
      </c>
      <c r="AR164" s="789" t="str">
        <f t="shared" si="85"/>
        <v/>
      </c>
      <c r="AS164" s="789" t="str">
        <f t="shared" si="86"/>
        <v/>
      </c>
      <c r="AT164" s="789" t="str">
        <f t="shared" si="87"/>
        <v/>
      </c>
      <c r="AU164" s="789" t="str">
        <f t="shared" si="88"/>
        <v/>
      </c>
      <c r="AW164" s="535" t="s">
        <v>613</v>
      </c>
      <c r="AX164" s="789">
        <f t="shared" si="89"/>
        <v>0</v>
      </c>
      <c r="AY164" s="789" t="str">
        <f t="shared" si="90"/>
        <v/>
      </c>
      <c r="AZ164" s="789" t="str">
        <f t="shared" si="91"/>
        <v/>
      </c>
      <c r="BA164" s="789" t="str">
        <f t="shared" si="92"/>
        <v/>
      </c>
      <c r="BB164" s="789" t="str">
        <f t="shared" si="93"/>
        <v/>
      </c>
      <c r="BC164" s="789" t="str">
        <f t="shared" si="94"/>
        <v/>
      </c>
      <c r="BE164" s="535" t="s">
        <v>613</v>
      </c>
      <c r="BF164" s="789">
        <f t="shared" si="95"/>
        <v>0</v>
      </c>
      <c r="BG164" s="789" t="str">
        <f t="shared" si="96"/>
        <v/>
      </c>
      <c r="BH164" s="789" t="str">
        <f t="shared" si="97"/>
        <v/>
      </c>
      <c r="BI164" s="789" t="str">
        <f t="shared" si="98"/>
        <v/>
      </c>
      <c r="BJ164" s="789" t="str">
        <f t="shared" si="99"/>
        <v/>
      </c>
      <c r="BK164" s="789" t="str">
        <f t="shared" si="100"/>
        <v/>
      </c>
      <c r="BM164" s="535" t="s">
        <v>613</v>
      </c>
      <c r="BN164" s="789">
        <f t="shared" si="101"/>
        <v>0</v>
      </c>
      <c r="BO164" s="789" t="str">
        <f t="shared" si="102"/>
        <v/>
      </c>
      <c r="BP164" s="789" t="str">
        <f t="shared" si="103"/>
        <v/>
      </c>
      <c r="BQ164" s="789" t="str">
        <f t="shared" si="104"/>
        <v/>
      </c>
      <c r="BR164" s="789" t="str">
        <f t="shared" si="105"/>
        <v/>
      </c>
      <c r="BS164" s="789" t="str">
        <f t="shared" si="106"/>
        <v/>
      </c>
      <c r="BU164" s="535" t="s">
        <v>613</v>
      </c>
      <c r="BV164" s="789">
        <f t="shared" si="107"/>
        <v>0</v>
      </c>
      <c r="BW164" s="789" t="str">
        <f t="shared" si="108"/>
        <v/>
      </c>
      <c r="BX164" s="789" t="str">
        <f t="shared" si="109"/>
        <v/>
      </c>
      <c r="BY164" s="789" t="str">
        <f t="shared" si="110"/>
        <v/>
      </c>
      <c r="BZ164" s="789" t="str">
        <f t="shared" si="111"/>
        <v/>
      </c>
      <c r="CA164" s="789" t="str">
        <f t="shared" si="112"/>
        <v/>
      </c>
      <c r="CC164" s="535" t="s">
        <v>613</v>
      </c>
      <c r="CD164" s="789">
        <f t="shared" si="113"/>
        <v>0</v>
      </c>
      <c r="CE164" s="789" t="str">
        <f t="shared" si="114"/>
        <v/>
      </c>
      <c r="CF164" s="789" t="str">
        <f t="shared" si="115"/>
        <v/>
      </c>
      <c r="CG164" s="789" t="str">
        <f t="shared" si="116"/>
        <v/>
      </c>
      <c r="CH164" s="789" t="str">
        <f t="shared" si="117"/>
        <v/>
      </c>
      <c r="CI164" s="789" t="str">
        <f t="shared" si="118"/>
        <v/>
      </c>
      <c r="CK164" s="535" t="s">
        <v>613</v>
      </c>
      <c r="CL164" s="789">
        <f t="shared" si="119"/>
        <v>0</v>
      </c>
      <c r="CM164" s="789" t="str">
        <f t="shared" si="120"/>
        <v/>
      </c>
      <c r="CN164" s="789" t="str">
        <f t="shared" si="121"/>
        <v/>
      </c>
      <c r="CO164" s="789" t="str">
        <f t="shared" si="122"/>
        <v/>
      </c>
      <c r="CP164" s="789" t="str">
        <f t="shared" si="123"/>
        <v/>
      </c>
      <c r="CQ164" s="789" t="str">
        <f t="shared" si="124"/>
        <v/>
      </c>
    </row>
    <row r="165" spans="1:95">
      <c r="A165" s="535" t="s">
        <v>614</v>
      </c>
      <c r="B165" s="789">
        <f t="shared" ref="B165:G165" si="128">IF(B103&gt;0,INDEX($D$54:$D$94,B103,1),"")</f>
        <v>0</v>
      </c>
      <c r="C165" s="789" t="str">
        <f t="shared" si="128"/>
        <v/>
      </c>
      <c r="D165" s="789" t="str">
        <f t="shared" si="128"/>
        <v/>
      </c>
      <c r="E165" s="789" t="str">
        <f t="shared" si="128"/>
        <v/>
      </c>
      <c r="F165" s="789" t="str">
        <f t="shared" si="128"/>
        <v/>
      </c>
      <c r="G165" s="789" t="str">
        <f t="shared" si="128"/>
        <v/>
      </c>
      <c r="I165" s="535" t="s">
        <v>614</v>
      </c>
      <c r="J165" s="789">
        <f t="shared" si="59"/>
        <v>0</v>
      </c>
      <c r="K165" s="789" t="str">
        <f t="shared" si="60"/>
        <v/>
      </c>
      <c r="L165" s="789" t="str">
        <f t="shared" si="61"/>
        <v/>
      </c>
      <c r="M165" s="789" t="str">
        <f t="shared" si="62"/>
        <v/>
      </c>
      <c r="N165" s="789" t="str">
        <f t="shared" si="63"/>
        <v/>
      </c>
      <c r="O165" s="789" t="str">
        <f t="shared" si="64"/>
        <v/>
      </c>
      <c r="Q165" s="535" t="s">
        <v>614</v>
      </c>
      <c r="R165" s="789">
        <f t="shared" si="65"/>
        <v>0</v>
      </c>
      <c r="S165" s="789" t="str">
        <f t="shared" si="66"/>
        <v/>
      </c>
      <c r="T165" s="789" t="str">
        <f t="shared" si="67"/>
        <v/>
      </c>
      <c r="U165" s="789" t="str">
        <f t="shared" si="68"/>
        <v/>
      </c>
      <c r="V165" s="789" t="str">
        <f t="shared" si="69"/>
        <v/>
      </c>
      <c r="W165" s="789" t="str">
        <f t="shared" si="70"/>
        <v/>
      </c>
      <c r="Y165" s="535" t="s">
        <v>614</v>
      </c>
      <c r="Z165" s="789">
        <f t="shared" si="71"/>
        <v>0</v>
      </c>
      <c r="AA165" s="789" t="str">
        <f t="shared" si="72"/>
        <v/>
      </c>
      <c r="AB165" s="789" t="str">
        <f t="shared" si="73"/>
        <v/>
      </c>
      <c r="AC165" s="789" t="str">
        <f t="shared" si="74"/>
        <v/>
      </c>
      <c r="AD165" s="789" t="str">
        <f t="shared" si="75"/>
        <v/>
      </c>
      <c r="AE165" s="789" t="str">
        <f t="shared" si="76"/>
        <v/>
      </c>
      <c r="AG165" s="535" t="s">
        <v>614</v>
      </c>
      <c r="AH165" s="789">
        <f t="shared" si="77"/>
        <v>0</v>
      </c>
      <c r="AI165" s="789" t="str">
        <f t="shared" si="78"/>
        <v/>
      </c>
      <c r="AJ165" s="789" t="str">
        <f t="shared" si="79"/>
        <v/>
      </c>
      <c r="AK165" s="789" t="str">
        <f t="shared" si="80"/>
        <v/>
      </c>
      <c r="AL165" s="789" t="str">
        <f t="shared" si="81"/>
        <v/>
      </c>
      <c r="AM165" s="789" t="str">
        <f t="shared" si="82"/>
        <v/>
      </c>
      <c r="AO165" s="535" t="s">
        <v>614</v>
      </c>
      <c r="AP165" s="789">
        <f t="shared" si="83"/>
        <v>0</v>
      </c>
      <c r="AQ165" s="789" t="str">
        <f t="shared" si="84"/>
        <v/>
      </c>
      <c r="AR165" s="789" t="str">
        <f t="shared" si="85"/>
        <v/>
      </c>
      <c r="AS165" s="789" t="str">
        <f t="shared" si="86"/>
        <v/>
      </c>
      <c r="AT165" s="789" t="str">
        <f t="shared" si="87"/>
        <v/>
      </c>
      <c r="AU165" s="789" t="str">
        <f t="shared" si="88"/>
        <v/>
      </c>
      <c r="AW165" s="535" t="s">
        <v>614</v>
      </c>
      <c r="AX165" s="789">
        <f t="shared" si="89"/>
        <v>0</v>
      </c>
      <c r="AY165" s="789" t="str">
        <f t="shared" si="90"/>
        <v/>
      </c>
      <c r="AZ165" s="789" t="str">
        <f t="shared" si="91"/>
        <v/>
      </c>
      <c r="BA165" s="789" t="str">
        <f t="shared" si="92"/>
        <v/>
      </c>
      <c r="BB165" s="789" t="str">
        <f t="shared" si="93"/>
        <v/>
      </c>
      <c r="BC165" s="789" t="str">
        <f t="shared" si="94"/>
        <v/>
      </c>
      <c r="BE165" s="535" t="s">
        <v>614</v>
      </c>
      <c r="BF165" s="789">
        <f t="shared" si="95"/>
        <v>0</v>
      </c>
      <c r="BG165" s="789" t="str">
        <f t="shared" si="96"/>
        <v/>
      </c>
      <c r="BH165" s="789" t="str">
        <f t="shared" si="97"/>
        <v/>
      </c>
      <c r="BI165" s="789" t="str">
        <f t="shared" si="98"/>
        <v/>
      </c>
      <c r="BJ165" s="789" t="str">
        <f t="shared" si="99"/>
        <v/>
      </c>
      <c r="BK165" s="789" t="str">
        <f t="shared" si="100"/>
        <v/>
      </c>
      <c r="BM165" s="535" t="s">
        <v>614</v>
      </c>
      <c r="BN165" s="789">
        <f t="shared" si="101"/>
        <v>0</v>
      </c>
      <c r="BO165" s="789" t="str">
        <f t="shared" si="102"/>
        <v/>
      </c>
      <c r="BP165" s="789" t="str">
        <f t="shared" si="103"/>
        <v/>
      </c>
      <c r="BQ165" s="789" t="str">
        <f t="shared" si="104"/>
        <v/>
      </c>
      <c r="BR165" s="789" t="str">
        <f t="shared" si="105"/>
        <v/>
      </c>
      <c r="BS165" s="789" t="str">
        <f t="shared" si="106"/>
        <v/>
      </c>
      <c r="BU165" s="535" t="s">
        <v>614</v>
      </c>
      <c r="BV165" s="789">
        <f t="shared" si="107"/>
        <v>0</v>
      </c>
      <c r="BW165" s="789" t="str">
        <f t="shared" si="108"/>
        <v/>
      </c>
      <c r="BX165" s="789" t="str">
        <f t="shared" si="109"/>
        <v/>
      </c>
      <c r="BY165" s="789" t="str">
        <f t="shared" si="110"/>
        <v/>
      </c>
      <c r="BZ165" s="789" t="str">
        <f t="shared" si="111"/>
        <v/>
      </c>
      <c r="CA165" s="789" t="str">
        <f t="shared" si="112"/>
        <v/>
      </c>
      <c r="CC165" s="535" t="s">
        <v>614</v>
      </c>
      <c r="CD165" s="789">
        <f t="shared" si="113"/>
        <v>0</v>
      </c>
      <c r="CE165" s="789" t="str">
        <f t="shared" si="114"/>
        <v/>
      </c>
      <c r="CF165" s="789" t="str">
        <f t="shared" si="115"/>
        <v/>
      </c>
      <c r="CG165" s="789" t="str">
        <f t="shared" si="116"/>
        <v/>
      </c>
      <c r="CH165" s="789" t="str">
        <f t="shared" si="117"/>
        <v/>
      </c>
      <c r="CI165" s="789" t="str">
        <f t="shared" si="118"/>
        <v/>
      </c>
      <c r="CK165" s="535" t="s">
        <v>614</v>
      </c>
      <c r="CL165" s="789">
        <f t="shared" si="119"/>
        <v>0</v>
      </c>
      <c r="CM165" s="789" t="str">
        <f t="shared" si="120"/>
        <v/>
      </c>
      <c r="CN165" s="789" t="str">
        <f t="shared" si="121"/>
        <v/>
      </c>
      <c r="CO165" s="789" t="str">
        <f t="shared" si="122"/>
        <v/>
      </c>
      <c r="CP165" s="789" t="str">
        <f t="shared" si="123"/>
        <v/>
      </c>
      <c r="CQ165" s="789" t="str">
        <f t="shared" si="124"/>
        <v/>
      </c>
    </row>
    <row r="166" spans="1:95">
      <c r="A166" s="535" t="s">
        <v>283</v>
      </c>
      <c r="B166" s="789">
        <f t="shared" ref="B166:G166" si="129">IF(B104&gt;0,INDEX($D$54:$D$94,B104,1),"")</f>
        <v>0</v>
      </c>
      <c r="C166" s="789">
        <f t="shared" si="129"/>
        <v>0</v>
      </c>
      <c r="D166" s="789" t="str">
        <f t="shared" si="129"/>
        <v/>
      </c>
      <c r="E166" s="789" t="str">
        <f t="shared" si="129"/>
        <v/>
      </c>
      <c r="F166" s="789" t="str">
        <f t="shared" si="129"/>
        <v/>
      </c>
      <c r="G166" s="789" t="str">
        <f t="shared" si="129"/>
        <v/>
      </c>
      <c r="I166" s="535" t="s">
        <v>283</v>
      </c>
      <c r="J166" s="789">
        <f t="shared" si="59"/>
        <v>0</v>
      </c>
      <c r="K166" s="789">
        <f t="shared" si="60"/>
        <v>0</v>
      </c>
      <c r="L166" s="789" t="str">
        <f t="shared" si="61"/>
        <v/>
      </c>
      <c r="M166" s="789" t="str">
        <f t="shared" si="62"/>
        <v/>
      </c>
      <c r="N166" s="789" t="str">
        <f t="shared" si="63"/>
        <v/>
      </c>
      <c r="O166" s="789" t="str">
        <f t="shared" si="64"/>
        <v/>
      </c>
      <c r="Q166" s="535" t="s">
        <v>283</v>
      </c>
      <c r="R166" s="789">
        <f t="shared" si="65"/>
        <v>0</v>
      </c>
      <c r="S166" s="789">
        <f t="shared" si="66"/>
        <v>0</v>
      </c>
      <c r="T166" s="789" t="str">
        <f t="shared" si="67"/>
        <v/>
      </c>
      <c r="U166" s="789" t="str">
        <f t="shared" si="68"/>
        <v/>
      </c>
      <c r="V166" s="789" t="str">
        <f t="shared" si="69"/>
        <v/>
      </c>
      <c r="W166" s="789" t="str">
        <f t="shared" si="70"/>
        <v/>
      </c>
      <c r="Y166" s="535" t="s">
        <v>283</v>
      </c>
      <c r="Z166" s="789">
        <f t="shared" si="71"/>
        <v>0</v>
      </c>
      <c r="AA166" s="789">
        <f t="shared" si="72"/>
        <v>0</v>
      </c>
      <c r="AB166" s="789" t="str">
        <f t="shared" si="73"/>
        <v/>
      </c>
      <c r="AC166" s="789" t="str">
        <f t="shared" si="74"/>
        <v/>
      </c>
      <c r="AD166" s="789" t="str">
        <f t="shared" si="75"/>
        <v/>
      </c>
      <c r="AE166" s="789" t="str">
        <f t="shared" si="76"/>
        <v/>
      </c>
      <c r="AG166" s="535" t="s">
        <v>283</v>
      </c>
      <c r="AH166" s="789">
        <f t="shared" si="77"/>
        <v>0</v>
      </c>
      <c r="AI166" s="789">
        <f t="shared" si="78"/>
        <v>0</v>
      </c>
      <c r="AJ166" s="789" t="str">
        <f t="shared" si="79"/>
        <v/>
      </c>
      <c r="AK166" s="789" t="str">
        <f t="shared" si="80"/>
        <v/>
      </c>
      <c r="AL166" s="789" t="str">
        <f t="shared" si="81"/>
        <v/>
      </c>
      <c r="AM166" s="789" t="str">
        <f t="shared" si="82"/>
        <v/>
      </c>
      <c r="AO166" s="535" t="s">
        <v>283</v>
      </c>
      <c r="AP166" s="789">
        <f t="shared" si="83"/>
        <v>0</v>
      </c>
      <c r="AQ166" s="789">
        <f t="shared" si="84"/>
        <v>0</v>
      </c>
      <c r="AR166" s="789" t="str">
        <f t="shared" si="85"/>
        <v/>
      </c>
      <c r="AS166" s="789" t="str">
        <f t="shared" si="86"/>
        <v/>
      </c>
      <c r="AT166" s="789" t="str">
        <f t="shared" si="87"/>
        <v/>
      </c>
      <c r="AU166" s="789" t="str">
        <f t="shared" si="88"/>
        <v/>
      </c>
      <c r="AW166" s="535" t="s">
        <v>283</v>
      </c>
      <c r="AX166" s="789">
        <f t="shared" si="89"/>
        <v>0</v>
      </c>
      <c r="AY166" s="789">
        <f t="shared" si="90"/>
        <v>0</v>
      </c>
      <c r="AZ166" s="789" t="str">
        <f t="shared" si="91"/>
        <v/>
      </c>
      <c r="BA166" s="789" t="str">
        <f t="shared" si="92"/>
        <v/>
      </c>
      <c r="BB166" s="789" t="str">
        <f t="shared" si="93"/>
        <v/>
      </c>
      <c r="BC166" s="789" t="str">
        <f t="shared" si="94"/>
        <v/>
      </c>
      <c r="BE166" s="535" t="s">
        <v>283</v>
      </c>
      <c r="BF166" s="789">
        <f t="shared" si="95"/>
        <v>0</v>
      </c>
      <c r="BG166" s="789">
        <f t="shared" si="96"/>
        <v>0</v>
      </c>
      <c r="BH166" s="789" t="str">
        <f t="shared" si="97"/>
        <v/>
      </c>
      <c r="BI166" s="789" t="str">
        <f t="shared" si="98"/>
        <v/>
      </c>
      <c r="BJ166" s="789" t="str">
        <f t="shared" si="99"/>
        <v/>
      </c>
      <c r="BK166" s="789" t="str">
        <f t="shared" si="100"/>
        <v/>
      </c>
      <c r="BM166" s="535" t="s">
        <v>283</v>
      </c>
      <c r="BN166" s="789">
        <f t="shared" si="101"/>
        <v>0</v>
      </c>
      <c r="BO166" s="789">
        <f t="shared" si="102"/>
        <v>0</v>
      </c>
      <c r="BP166" s="789" t="str">
        <f t="shared" si="103"/>
        <v/>
      </c>
      <c r="BQ166" s="789" t="str">
        <f t="shared" si="104"/>
        <v/>
      </c>
      <c r="BR166" s="789" t="str">
        <f t="shared" si="105"/>
        <v/>
      </c>
      <c r="BS166" s="789" t="str">
        <f t="shared" si="106"/>
        <v/>
      </c>
      <c r="BU166" s="535" t="s">
        <v>283</v>
      </c>
      <c r="BV166" s="789">
        <f t="shared" si="107"/>
        <v>0</v>
      </c>
      <c r="BW166" s="789">
        <f t="shared" si="108"/>
        <v>0</v>
      </c>
      <c r="BX166" s="789" t="str">
        <f t="shared" si="109"/>
        <v/>
      </c>
      <c r="BY166" s="789" t="str">
        <f t="shared" si="110"/>
        <v/>
      </c>
      <c r="BZ166" s="789" t="str">
        <f t="shared" si="111"/>
        <v/>
      </c>
      <c r="CA166" s="789" t="str">
        <f t="shared" si="112"/>
        <v/>
      </c>
      <c r="CC166" s="535" t="s">
        <v>283</v>
      </c>
      <c r="CD166" s="789">
        <f t="shared" si="113"/>
        <v>0</v>
      </c>
      <c r="CE166" s="789">
        <f t="shared" si="114"/>
        <v>0</v>
      </c>
      <c r="CF166" s="789" t="str">
        <f t="shared" si="115"/>
        <v/>
      </c>
      <c r="CG166" s="789" t="str">
        <f t="shared" si="116"/>
        <v/>
      </c>
      <c r="CH166" s="789" t="str">
        <f t="shared" si="117"/>
        <v/>
      </c>
      <c r="CI166" s="789" t="str">
        <f t="shared" si="118"/>
        <v/>
      </c>
      <c r="CK166" s="535" t="s">
        <v>283</v>
      </c>
      <c r="CL166" s="789">
        <f t="shared" si="119"/>
        <v>0</v>
      </c>
      <c r="CM166" s="789">
        <f t="shared" si="120"/>
        <v>0</v>
      </c>
      <c r="CN166" s="789" t="str">
        <f t="shared" si="121"/>
        <v/>
      </c>
      <c r="CO166" s="789" t="str">
        <f t="shared" si="122"/>
        <v/>
      </c>
      <c r="CP166" s="789" t="str">
        <f t="shared" si="123"/>
        <v/>
      </c>
      <c r="CQ166" s="789" t="str">
        <f t="shared" si="124"/>
        <v/>
      </c>
    </row>
    <row r="167" spans="1:95">
      <c r="A167" s="535" t="s">
        <v>284</v>
      </c>
      <c r="B167" s="789">
        <f t="shared" ref="B167:G167" si="130">IF(B105&gt;0,INDEX($D$54:$D$94,B105,1),"")</f>
        <v>0</v>
      </c>
      <c r="C167" s="789" t="str">
        <f t="shared" si="130"/>
        <v/>
      </c>
      <c r="D167" s="789" t="str">
        <f t="shared" si="130"/>
        <v/>
      </c>
      <c r="E167" s="789" t="str">
        <f t="shared" si="130"/>
        <v/>
      </c>
      <c r="F167" s="789" t="str">
        <f t="shared" si="130"/>
        <v/>
      </c>
      <c r="G167" s="789" t="str">
        <f t="shared" si="130"/>
        <v/>
      </c>
      <c r="I167" s="535" t="s">
        <v>284</v>
      </c>
      <c r="J167" s="789">
        <f t="shared" si="59"/>
        <v>0</v>
      </c>
      <c r="K167" s="789" t="str">
        <f t="shared" si="60"/>
        <v/>
      </c>
      <c r="L167" s="789" t="str">
        <f t="shared" si="61"/>
        <v/>
      </c>
      <c r="M167" s="789" t="str">
        <f t="shared" si="62"/>
        <v/>
      </c>
      <c r="N167" s="789" t="str">
        <f t="shared" si="63"/>
        <v/>
      </c>
      <c r="O167" s="789" t="str">
        <f t="shared" si="64"/>
        <v/>
      </c>
      <c r="Q167" s="535" t="s">
        <v>284</v>
      </c>
      <c r="R167" s="789">
        <f t="shared" si="65"/>
        <v>0</v>
      </c>
      <c r="S167" s="789" t="str">
        <f t="shared" si="66"/>
        <v/>
      </c>
      <c r="T167" s="789" t="str">
        <f t="shared" si="67"/>
        <v/>
      </c>
      <c r="U167" s="789" t="str">
        <f t="shared" si="68"/>
        <v/>
      </c>
      <c r="V167" s="789" t="str">
        <f t="shared" si="69"/>
        <v/>
      </c>
      <c r="W167" s="789" t="str">
        <f t="shared" si="70"/>
        <v/>
      </c>
      <c r="Y167" s="535" t="s">
        <v>284</v>
      </c>
      <c r="Z167" s="789">
        <f t="shared" si="71"/>
        <v>0</v>
      </c>
      <c r="AA167" s="789" t="str">
        <f t="shared" si="72"/>
        <v/>
      </c>
      <c r="AB167" s="789" t="str">
        <f t="shared" si="73"/>
        <v/>
      </c>
      <c r="AC167" s="789" t="str">
        <f t="shared" si="74"/>
        <v/>
      </c>
      <c r="AD167" s="789" t="str">
        <f t="shared" si="75"/>
        <v/>
      </c>
      <c r="AE167" s="789" t="str">
        <f t="shared" si="76"/>
        <v/>
      </c>
      <c r="AG167" s="535" t="s">
        <v>284</v>
      </c>
      <c r="AH167" s="789">
        <f t="shared" si="77"/>
        <v>0</v>
      </c>
      <c r="AI167" s="789" t="str">
        <f t="shared" si="78"/>
        <v/>
      </c>
      <c r="AJ167" s="789" t="str">
        <f t="shared" si="79"/>
        <v/>
      </c>
      <c r="AK167" s="789" t="str">
        <f t="shared" si="80"/>
        <v/>
      </c>
      <c r="AL167" s="789" t="str">
        <f t="shared" si="81"/>
        <v/>
      </c>
      <c r="AM167" s="789" t="str">
        <f t="shared" si="82"/>
        <v/>
      </c>
      <c r="AO167" s="535" t="s">
        <v>284</v>
      </c>
      <c r="AP167" s="789">
        <f t="shared" si="83"/>
        <v>0</v>
      </c>
      <c r="AQ167" s="789" t="str">
        <f t="shared" si="84"/>
        <v/>
      </c>
      <c r="AR167" s="789" t="str">
        <f t="shared" si="85"/>
        <v/>
      </c>
      <c r="AS167" s="789" t="str">
        <f t="shared" si="86"/>
        <v/>
      </c>
      <c r="AT167" s="789" t="str">
        <f t="shared" si="87"/>
        <v/>
      </c>
      <c r="AU167" s="789" t="str">
        <f t="shared" si="88"/>
        <v/>
      </c>
      <c r="AW167" s="535" t="s">
        <v>284</v>
      </c>
      <c r="AX167" s="789">
        <f t="shared" si="89"/>
        <v>0</v>
      </c>
      <c r="AY167" s="789" t="str">
        <f t="shared" si="90"/>
        <v/>
      </c>
      <c r="AZ167" s="789" t="str">
        <f t="shared" si="91"/>
        <v/>
      </c>
      <c r="BA167" s="789" t="str">
        <f t="shared" si="92"/>
        <v/>
      </c>
      <c r="BB167" s="789" t="str">
        <f t="shared" si="93"/>
        <v/>
      </c>
      <c r="BC167" s="789" t="str">
        <f t="shared" si="94"/>
        <v/>
      </c>
      <c r="BE167" s="535" t="s">
        <v>284</v>
      </c>
      <c r="BF167" s="789">
        <f t="shared" si="95"/>
        <v>0</v>
      </c>
      <c r="BG167" s="789" t="str">
        <f t="shared" si="96"/>
        <v/>
      </c>
      <c r="BH167" s="789" t="str">
        <f t="shared" si="97"/>
        <v/>
      </c>
      <c r="BI167" s="789" t="str">
        <f t="shared" si="98"/>
        <v/>
      </c>
      <c r="BJ167" s="789" t="str">
        <f t="shared" si="99"/>
        <v/>
      </c>
      <c r="BK167" s="789" t="str">
        <f t="shared" si="100"/>
        <v/>
      </c>
      <c r="BM167" s="535" t="s">
        <v>284</v>
      </c>
      <c r="BN167" s="789">
        <f t="shared" si="101"/>
        <v>0</v>
      </c>
      <c r="BO167" s="789" t="str">
        <f t="shared" si="102"/>
        <v/>
      </c>
      <c r="BP167" s="789" t="str">
        <f t="shared" si="103"/>
        <v/>
      </c>
      <c r="BQ167" s="789" t="str">
        <f t="shared" si="104"/>
        <v/>
      </c>
      <c r="BR167" s="789" t="str">
        <f t="shared" si="105"/>
        <v/>
      </c>
      <c r="BS167" s="789" t="str">
        <f t="shared" si="106"/>
        <v/>
      </c>
      <c r="BU167" s="535" t="s">
        <v>284</v>
      </c>
      <c r="BV167" s="789">
        <f t="shared" si="107"/>
        <v>0</v>
      </c>
      <c r="BW167" s="789" t="str">
        <f t="shared" si="108"/>
        <v/>
      </c>
      <c r="BX167" s="789" t="str">
        <f t="shared" si="109"/>
        <v/>
      </c>
      <c r="BY167" s="789" t="str">
        <f t="shared" si="110"/>
        <v/>
      </c>
      <c r="BZ167" s="789" t="str">
        <f t="shared" si="111"/>
        <v/>
      </c>
      <c r="CA167" s="789" t="str">
        <f t="shared" si="112"/>
        <v/>
      </c>
      <c r="CC167" s="535" t="s">
        <v>284</v>
      </c>
      <c r="CD167" s="789">
        <f t="shared" si="113"/>
        <v>0</v>
      </c>
      <c r="CE167" s="789" t="str">
        <f t="shared" si="114"/>
        <v/>
      </c>
      <c r="CF167" s="789" t="str">
        <f t="shared" si="115"/>
        <v/>
      </c>
      <c r="CG167" s="789" t="str">
        <f t="shared" si="116"/>
        <v/>
      </c>
      <c r="CH167" s="789" t="str">
        <f t="shared" si="117"/>
        <v/>
      </c>
      <c r="CI167" s="789" t="str">
        <f t="shared" si="118"/>
        <v/>
      </c>
      <c r="CK167" s="535" t="s">
        <v>284</v>
      </c>
      <c r="CL167" s="789">
        <f t="shared" si="119"/>
        <v>0</v>
      </c>
      <c r="CM167" s="789" t="str">
        <f t="shared" si="120"/>
        <v/>
      </c>
      <c r="CN167" s="789" t="str">
        <f t="shared" si="121"/>
        <v/>
      </c>
      <c r="CO167" s="789" t="str">
        <f t="shared" si="122"/>
        <v/>
      </c>
      <c r="CP167" s="789" t="str">
        <f t="shared" si="123"/>
        <v/>
      </c>
      <c r="CQ167" s="789" t="str">
        <f t="shared" si="124"/>
        <v/>
      </c>
    </row>
    <row r="168" spans="1:95">
      <c r="A168" s="535" t="s">
        <v>288</v>
      </c>
      <c r="B168" s="789">
        <f t="shared" ref="B168:G168" si="131">IF(B106&gt;0,INDEX($D$54:$D$94,B106,1),"")</f>
        <v>0</v>
      </c>
      <c r="C168" s="789" t="str">
        <f t="shared" si="131"/>
        <v/>
      </c>
      <c r="D168" s="789" t="str">
        <f t="shared" si="131"/>
        <v/>
      </c>
      <c r="E168" s="789" t="str">
        <f t="shared" si="131"/>
        <v/>
      </c>
      <c r="F168" s="789" t="str">
        <f t="shared" si="131"/>
        <v/>
      </c>
      <c r="G168" s="789" t="str">
        <f t="shared" si="131"/>
        <v/>
      </c>
      <c r="I168" s="535" t="s">
        <v>288</v>
      </c>
      <c r="J168" s="789">
        <f t="shared" si="59"/>
        <v>0</v>
      </c>
      <c r="K168" s="789" t="str">
        <f t="shared" si="60"/>
        <v/>
      </c>
      <c r="L168" s="789" t="str">
        <f t="shared" si="61"/>
        <v/>
      </c>
      <c r="M168" s="789" t="str">
        <f t="shared" si="62"/>
        <v/>
      </c>
      <c r="N168" s="789" t="str">
        <f t="shared" si="63"/>
        <v/>
      </c>
      <c r="O168" s="789" t="str">
        <f t="shared" si="64"/>
        <v/>
      </c>
      <c r="Q168" s="535" t="s">
        <v>288</v>
      </c>
      <c r="R168" s="789">
        <f t="shared" si="65"/>
        <v>0</v>
      </c>
      <c r="S168" s="789" t="str">
        <f t="shared" si="66"/>
        <v/>
      </c>
      <c r="T168" s="789" t="str">
        <f t="shared" si="67"/>
        <v/>
      </c>
      <c r="U168" s="789" t="str">
        <f t="shared" si="68"/>
        <v/>
      </c>
      <c r="V168" s="789" t="str">
        <f t="shared" si="69"/>
        <v/>
      </c>
      <c r="W168" s="789" t="str">
        <f t="shared" si="70"/>
        <v/>
      </c>
      <c r="Y168" s="535" t="s">
        <v>288</v>
      </c>
      <c r="Z168" s="789">
        <f t="shared" si="71"/>
        <v>0</v>
      </c>
      <c r="AA168" s="789" t="str">
        <f t="shared" si="72"/>
        <v/>
      </c>
      <c r="AB168" s="789" t="str">
        <f t="shared" si="73"/>
        <v/>
      </c>
      <c r="AC168" s="789" t="str">
        <f t="shared" si="74"/>
        <v/>
      </c>
      <c r="AD168" s="789" t="str">
        <f t="shared" si="75"/>
        <v/>
      </c>
      <c r="AE168" s="789" t="str">
        <f t="shared" si="76"/>
        <v/>
      </c>
      <c r="AG168" s="535" t="s">
        <v>288</v>
      </c>
      <c r="AH168" s="789">
        <f t="shared" si="77"/>
        <v>0</v>
      </c>
      <c r="AI168" s="789" t="str">
        <f t="shared" si="78"/>
        <v/>
      </c>
      <c r="AJ168" s="789" t="str">
        <f t="shared" si="79"/>
        <v/>
      </c>
      <c r="AK168" s="789" t="str">
        <f t="shared" si="80"/>
        <v/>
      </c>
      <c r="AL168" s="789" t="str">
        <f t="shared" si="81"/>
        <v/>
      </c>
      <c r="AM168" s="789" t="str">
        <f t="shared" si="82"/>
        <v/>
      </c>
      <c r="AO168" s="535" t="s">
        <v>288</v>
      </c>
      <c r="AP168" s="789">
        <f t="shared" si="83"/>
        <v>0</v>
      </c>
      <c r="AQ168" s="789" t="str">
        <f t="shared" si="84"/>
        <v/>
      </c>
      <c r="AR168" s="789" t="str">
        <f t="shared" si="85"/>
        <v/>
      </c>
      <c r="AS168" s="789" t="str">
        <f t="shared" si="86"/>
        <v/>
      </c>
      <c r="AT168" s="789" t="str">
        <f t="shared" si="87"/>
        <v/>
      </c>
      <c r="AU168" s="789" t="str">
        <f t="shared" si="88"/>
        <v/>
      </c>
      <c r="AW168" s="535" t="s">
        <v>288</v>
      </c>
      <c r="AX168" s="789">
        <f t="shared" si="89"/>
        <v>0</v>
      </c>
      <c r="AY168" s="789" t="str">
        <f t="shared" si="90"/>
        <v/>
      </c>
      <c r="AZ168" s="789" t="str">
        <f t="shared" si="91"/>
        <v/>
      </c>
      <c r="BA168" s="789" t="str">
        <f t="shared" si="92"/>
        <v/>
      </c>
      <c r="BB168" s="789" t="str">
        <f t="shared" si="93"/>
        <v/>
      </c>
      <c r="BC168" s="789" t="str">
        <f t="shared" si="94"/>
        <v/>
      </c>
      <c r="BE168" s="535" t="s">
        <v>288</v>
      </c>
      <c r="BF168" s="789">
        <f t="shared" si="95"/>
        <v>0</v>
      </c>
      <c r="BG168" s="789" t="str">
        <f t="shared" si="96"/>
        <v/>
      </c>
      <c r="BH168" s="789" t="str">
        <f t="shared" si="97"/>
        <v/>
      </c>
      <c r="BI168" s="789" t="str">
        <f t="shared" si="98"/>
        <v/>
      </c>
      <c r="BJ168" s="789" t="str">
        <f t="shared" si="99"/>
        <v/>
      </c>
      <c r="BK168" s="789" t="str">
        <f t="shared" si="100"/>
        <v/>
      </c>
      <c r="BM168" s="535" t="s">
        <v>288</v>
      </c>
      <c r="BN168" s="789">
        <f t="shared" si="101"/>
        <v>0</v>
      </c>
      <c r="BO168" s="789" t="str">
        <f t="shared" si="102"/>
        <v/>
      </c>
      <c r="BP168" s="789" t="str">
        <f t="shared" si="103"/>
        <v/>
      </c>
      <c r="BQ168" s="789" t="str">
        <f t="shared" si="104"/>
        <v/>
      </c>
      <c r="BR168" s="789" t="str">
        <f t="shared" si="105"/>
        <v/>
      </c>
      <c r="BS168" s="789" t="str">
        <f t="shared" si="106"/>
        <v/>
      </c>
      <c r="BU168" s="535" t="s">
        <v>288</v>
      </c>
      <c r="BV168" s="789">
        <f t="shared" si="107"/>
        <v>0</v>
      </c>
      <c r="BW168" s="789" t="str">
        <f t="shared" si="108"/>
        <v/>
      </c>
      <c r="BX168" s="789" t="str">
        <f t="shared" si="109"/>
        <v/>
      </c>
      <c r="BY168" s="789" t="str">
        <f t="shared" si="110"/>
        <v/>
      </c>
      <c r="BZ168" s="789" t="str">
        <f t="shared" si="111"/>
        <v/>
      </c>
      <c r="CA168" s="789" t="str">
        <f t="shared" si="112"/>
        <v/>
      </c>
      <c r="CC168" s="535" t="s">
        <v>288</v>
      </c>
      <c r="CD168" s="789">
        <f t="shared" si="113"/>
        <v>0</v>
      </c>
      <c r="CE168" s="789" t="str">
        <f t="shared" si="114"/>
        <v/>
      </c>
      <c r="CF168" s="789" t="str">
        <f t="shared" si="115"/>
        <v/>
      </c>
      <c r="CG168" s="789" t="str">
        <f t="shared" si="116"/>
        <v/>
      </c>
      <c r="CH168" s="789" t="str">
        <f t="shared" si="117"/>
        <v/>
      </c>
      <c r="CI168" s="789" t="str">
        <f t="shared" si="118"/>
        <v/>
      </c>
      <c r="CK168" s="535" t="s">
        <v>288</v>
      </c>
      <c r="CL168" s="789">
        <f t="shared" si="119"/>
        <v>0</v>
      </c>
      <c r="CM168" s="789" t="str">
        <f t="shared" si="120"/>
        <v/>
      </c>
      <c r="CN168" s="789" t="str">
        <f t="shared" si="121"/>
        <v/>
      </c>
      <c r="CO168" s="789" t="str">
        <f t="shared" si="122"/>
        <v/>
      </c>
      <c r="CP168" s="789" t="str">
        <f t="shared" si="123"/>
        <v/>
      </c>
      <c r="CQ168" s="789" t="str">
        <f t="shared" si="124"/>
        <v/>
      </c>
    </row>
    <row r="169" spans="1:95">
      <c r="A169" s="535" t="s">
        <v>453</v>
      </c>
      <c r="B169" s="789">
        <f t="shared" ref="B169:G169" si="132">IF(B107&gt;0,INDEX($D$54:$D$94,B107,1),"")</f>
        <v>0</v>
      </c>
      <c r="C169" s="789">
        <f t="shared" si="132"/>
        <v>4</v>
      </c>
      <c r="D169" s="789">
        <f t="shared" si="132"/>
        <v>0</v>
      </c>
      <c r="E169" s="789">
        <f t="shared" si="132"/>
        <v>0</v>
      </c>
      <c r="F169" s="789">
        <f t="shared" si="132"/>
        <v>2</v>
      </c>
      <c r="G169" s="789">
        <f t="shared" si="132"/>
        <v>8</v>
      </c>
      <c r="I169" s="535" t="s">
        <v>453</v>
      </c>
      <c r="J169" s="789">
        <f t="shared" si="59"/>
        <v>0</v>
      </c>
      <c r="K169" s="789">
        <f t="shared" si="60"/>
        <v>4</v>
      </c>
      <c r="L169" s="789">
        <f t="shared" si="61"/>
        <v>0</v>
      </c>
      <c r="M169" s="789">
        <f t="shared" si="62"/>
        <v>0</v>
      </c>
      <c r="N169" s="789">
        <f t="shared" si="63"/>
        <v>2</v>
      </c>
      <c r="O169" s="789">
        <f t="shared" si="64"/>
        <v>8</v>
      </c>
      <c r="Q169" s="535" t="s">
        <v>453</v>
      </c>
      <c r="R169" s="789">
        <f t="shared" si="65"/>
        <v>0</v>
      </c>
      <c r="S169" s="789">
        <f t="shared" si="66"/>
        <v>4</v>
      </c>
      <c r="T169" s="789">
        <f t="shared" si="67"/>
        <v>0</v>
      </c>
      <c r="U169" s="789">
        <f t="shared" si="68"/>
        <v>0</v>
      </c>
      <c r="V169" s="789">
        <f t="shared" si="69"/>
        <v>2</v>
      </c>
      <c r="W169" s="789">
        <f t="shared" si="70"/>
        <v>8</v>
      </c>
      <c r="Y169" s="535" t="s">
        <v>453</v>
      </c>
      <c r="Z169" s="789">
        <f t="shared" si="71"/>
        <v>0</v>
      </c>
      <c r="AA169" s="789">
        <f t="shared" si="72"/>
        <v>4</v>
      </c>
      <c r="AB169" s="789">
        <f t="shared" si="73"/>
        <v>0</v>
      </c>
      <c r="AC169" s="789">
        <f t="shared" si="74"/>
        <v>0</v>
      </c>
      <c r="AD169" s="789">
        <f t="shared" si="75"/>
        <v>2</v>
      </c>
      <c r="AE169" s="789">
        <f t="shared" si="76"/>
        <v>8</v>
      </c>
      <c r="AG169" s="535" t="s">
        <v>453</v>
      </c>
      <c r="AH169" s="789">
        <f t="shared" si="77"/>
        <v>0</v>
      </c>
      <c r="AI169" s="789">
        <f t="shared" si="78"/>
        <v>4</v>
      </c>
      <c r="AJ169" s="789">
        <f t="shared" si="79"/>
        <v>0</v>
      </c>
      <c r="AK169" s="789">
        <f t="shared" si="80"/>
        <v>0</v>
      </c>
      <c r="AL169" s="789">
        <f t="shared" si="81"/>
        <v>2</v>
      </c>
      <c r="AM169" s="789">
        <f t="shared" si="82"/>
        <v>8</v>
      </c>
      <c r="AO169" s="535" t="s">
        <v>453</v>
      </c>
      <c r="AP169" s="789">
        <f t="shared" si="83"/>
        <v>0</v>
      </c>
      <c r="AQ169" s="789">
        <f t="shared" si="84"/>
        <v>4</v>
      </c>
      <c r="AR169" s="789">
        <f t="shared" si="85"/>
        <v>0</v>
      </c>
      <c r="AS169" s="789">
        <f t="shared" si="86"/>
        <v>0</v>
      </c>
      <c r="AT169" s="789">
        <f t="shared" si="87"/>
        <v>2</v>
      </c>
      <c r="AU169" s="789">
        <f t="shared" si="88"/>
        <v>8</v>
      </c>
      <c r="AW169" s="535" t="s">
        <v>453</v>
      </c>
      <c r="AX169" s="789">
        <f t="shared" si="89"/>
        <v>0</v>
      </c>
      <c r="AY169" s="789">
        <f t="shared" si="90"/>
        <v>4</v>
      </c>
      <c r="AZ169" s="789">
        <f t="shared" si="91"/>
        <v>0</v>
      </c>
      <c r="BA169" s="789">
        <f t="shared" si="92"/>
        <v>0</v>
      </c>
      <c r="BB169" s="789">
        <f t="shared" si="93"/>
        <v>2</v>
      </c>
      <c r="BC169" s="789">
        <f t="shared" si="94"/>
        <v>8</v>
      </c>
      <c r="BE169" s="535" t="s">
        <v>453</v>
      </c>
      <c r="BF169" s="789">
        <f t="shared" si="95"/>
        <v>0</v>
      </c>
      <c r="BG169" s="789">
        <f t="shared" si="96"/>
        <v>4</v>
      </c>
      <c r="BH169" s="789">
        <f t="shared" si="97"/>
        <v>0</v>
      </c>
      <c r="BI169" s="789">
        <f t="shared" si="98"/>
        <v>0</v>
      </c>
      <c r="BJ169" s="789">
        <f t="shared" si="99"/>
        <v>2</v>
      </c>
      <c r="BK169" s="789">
        <f t="shared" si="100"/>
        <v>8</v>
      </c>
      <c r="BM169" s="535" t="s">
        <v>453</v>
      </c>
      <c r="BN169" s="789">
        <f t="shared" si="101"/>
        <v>0</v>
      </c>
      <c r="BO169" s="789">
        <f t="shared" si="102"/>
        <v>4</v>
      </c>
      <c r="BP169" s="789">
        <f t="shared" si="103"/>
        <v>0</v>
      </c>
      <c r="BQ169" s="789">
        <f t="shared" si="104"/>
        <v>0</v>
      </c>
      <c r="BR169" s="789">
        <f t="shared" si="105"/>
        <v>2</v>
      </c>
      <c r="BS169" s="789">
        <f t="shared" si="106"/>
        <v>8</v>
      </c>
      <c r="BU169" s="535" t="s">
        <v>453</v>
      </c>
      <c r="BV169" s="789">
        <f t="shared" si="107"/>
        <v>0</v>
      </c>
      <c r="BW169" s="789">
        <f t="shared" si="108"/>
        <v>4</v>
      </c>
      <c r="BX169" s="789">
        <f t="shared" si="109"/>
        <v>0</v>
      </c>
      <c r="BY169" s="789">
        <f t="shared" si="110"/>
        <v>0</v>
      </c>
      <c r="BZ169" s="789">
        <f t="shared" si="111"/>
        <v>2</v>
      </c>
      <c r="CA169" s="789">
        <f t="shared" si="112"/>
        <v>8</v>
      </c>
      <c r="CC169" s="535" t="s">
        <v>453</v>
      </c>
      <c r="CD169" s="789">
        <f t="shared" si="113"/>
        <v>0</v>
      </c>
      <c r="CE169" s="789">
        <f t="shared" si="114"/>
        <v>4</v>
      </c>
      <c r="CF169" s="789">
        <f t="shared" si="115"/>
        <v>0</v>
      </c>
      <c r="CG169" s="789">
        <f t="shared" si="116"/>
        <v>0</v>
      </c>
      <c r="CH169" s="789">
        <f t="shared" si="117"/>
        <v>2</v>
      </c>
      <c r="CI169" s="789">
        <f t="shared" si="118"/>
        <v>8</v>
      </c>
      <c r="CK169" s="535" t="s">
        <v>453</v>
      </c>
      <c r="CL169" s="789">
        <f t="shared" si="119"/>
        <v>0</v>
      </c>
      <c r="CM169" s="789">
        <f t="shared" si="120"/>
        <v>4</v>
      </c>
      <c r="CN169" s="789">
        <f t="shared" si="121"/>
        <v>0</v>
      </c>
      <c r="CO169" s="789">
        <f t="shared" si="122"/>
        <v>0</v>
      </c>
      <c r="CP169" s="789">
        <f t="shared" si="123"/>
        <v>2</v>
      </c>
      <c r="CQ169" s="789">
        <f t="shared" si="124"/>
        <v>8</v>
      </c>
    </row>
    <row r="170" spans="1:95">
      <c r="A170" s="535" t="s">
        <v>435</v>
      </c>
      <c r="B170" s="789">
        <f t="shared" ref="B170:G170" si="133">IF(B108&gt;0,INDEX($D$54:$D$94,B108,1),"")</f>
        <v>0</v>
      </c>
      <c r="C170" s="789">
        <f t="shared" si="133"/>
        <v>0</v>
      </c>
      <c r="D170" s="789" t="str">
        <f t="shared" si="133"/>
        <v/>
      </c>
      <c r="E170" s="789" t="str">
        <f t="shared" si="133"/>
        <v/>
      </c>
      <c r="F170" s="789" t="str">
        <f t="shared" si="133"/>
        <v/>
      </c>
      <c r="G170" s="789" t="str">
        <f t="shared" si="133"/>
        <v/>
      </c>
      <c r="I170" s="535" t="s">
        <v>435</v>
      </c>
      <c r="J170" s="789">
        <f t="shared" si="59"/>
        <v>0</v>
      </c>
      <c r="K170" s="789">
        <f t="shared" si="60"/>
        <v>0</v>
      </c>
      <c r="L170" s="789" t="str">
        <f t="shared" si="61"/>
        <v/>
      </c>
      <c r="M170" s="789" t="str">
        <f t="shared" si="62"/>
        <v/>
      </c>
      <c r="N170" s="789" t="str">
        <f t="shared" si="63"/>
        <v/>
      </c>
      <c r="O170" s="789" t="str">
        <f t="shared" si="64"/>
        <v/>
      </c>
      <c r="Q170" s="535" t="s">
        <v>435</v>
      </c>
      <c r="R170" s="789">
        <f t="shared" si="65"/>
        <v>0</v>
      </c>
      <c r="S170" s="789">
        <f t="shared" si="66"/>
        <v>0</v>
      </c>
      <c r="T170" s="789" t="str">
        <f t="shared" si="67"/>
        <v/>
      </c>
      <c r="U170" s="789" t="str">
        <f t="shared" si="68"/>
        <v/>
      </c>
      <c r="V170" s="789" t="str">
        <f t="shared" si="69"/>
        <v/>
      </c>
      <c r="W170" s="789" t="str">
        <f t="shared" si="70"/>
        <v/>
      </c>
      <c r="Y170" s="535" t="s">
        <v>435</v>
      </c>
      <c r="Z170" s="789">
        <f t="shared" si="71"/>
        <v>0</v>
      </c>
      <c r="AA170" s="789">
        <f t="shared" si="72"/>
        <v>0</v>
      </c>
      <c r="AB170" s="789" t="str">
        <f t="shared" si="73"/>
        <v/>
      </c>
      <c r="AC170" s="789" t="str">
        <f t="shared" si="74"/>
        <v/>
      </c>
      <c r="AD170" s="789" t="str">
        <f t="shared" si="75"/>
        <v/>
      </c>
      <c r="AE170" s="789" t="str">
        <f t="shared" si="76"/>
        <v/>
      </c>
      <c r="AG170" s="535" t="s">
        <v>435</v>
      </c>
      <c r="AH170" s="789">
        <f t="shared" si="77"/>
        <v>0</v>
      </c>
      <c r="AI170" s="789">
        <f t="shared" si="78"/>
        <v>0</v>
      </c>
      <c r="AJ170" s="789" t="str">
        <f t="shared" si="79"/>
        <v/>
      </c>
      <c r="AK170" s="789" t="str">
        <f t="shared" si="80"/>
        <v/>
      </c>
      <c r="AL170" s="789" t="str">
        <f t="shared" si="81"/>
        <v/>
      </c>
      <c r="AM170" s="789" t="str">
        <f t="shared" si="82"/>
        <v/>
      </c>
      <c r="AO170" s="535" t="s">
        <v>435</v>
      </c>
      <c r="AP170" s="789">
        <f t="shared" si="83"/>
        <v>0</v>
      </c>
      <c r="AQ170" s="789">
        <f t="shared" si="84"/>
        <v>0</v>
      </c>
      <c r="AR170" s="789" t="str">
        <f t="shared" si="85"/>
        <v/>
      </c>
      <c r="AS170" s="789" t="str">
        <f t="shared" si="86"/>
        <v/>
      </c>
      <c r="AT170" s="789" t="str">
        <f t="shared" si="87"/>
        <v/>
      </c>
      <c r="AU170" s="789" t="str">
        <f t="shared" si="88"/>
        <v/>
      </c>
      <c r="AW170" s="535" t="s">
        <v>435</v>
      </c>
      <c r="AX170" s="789">
        <f t="shared" si="89"/>
        <v>0</v>
      </c>
      <c r="AY170" s="789">
        <f t="shared" si="90"/>
        <v>0</v>
      </c>
      <c r="AZ170" s="789" t="str">
        <f t="shared" si="91"/>
        <v/>
      </c>
      <c r="BA170" s="789" t="str">
        <f t="shared" si="92"/>
        <v/>
      </c>
      <c r="BB170" s="789" t="str">
        <f t="shared" si="93"/>
        <v/>
      </c>
      <c r="BC170" s="789" t="str">
        <f t="shared" si="94"/>
        <v/>
      </c>
      <c r="BE170" s="535" t="s">
        <v>435</v>
      </c>
      <c r="BF170" s="789">
        <f t="shared" si="95"/>
        <v>0</v>
      </c>
      <c r="BG170" s="789">
        <f t="shared" si="96"/>
        <v>0</v>
      </c>
      <c r="BH170" s="789" t="str">
        <f t="shared" si="97"/>
        <v/>
      </c>
      <c r="BI170" s="789" t="str">
        <f t="shared" si="98"/>
        <v/>
      </c>
      <c r="BJ170" s="789" t="str">
        <f t="shared" si="99"/>
        <v/>
      </c>
      <c r="BK170" s="789" t="str">
        <f t="shared" si="100"/>
        <v/>
      </c>
      <c r="BM170" s="535" t="s">
        <v>435</v>
      </c>
      <c r="BN170" s="789">
        <f t="shared" si="101"/>
        <v>0</v>
      </c>
      <c r="BO170" s="789">
        <f t="shared" si="102"/>
        <v>0</v>
      </c>
      <c r="BP170" s="789" t="str">
        <f t="shared" si="103"/>
        <v/>
      </c>
      <c r="BQ170" s="789" t="str">
        <f t="shared" si="104"/>
        <v/>
      </c>
      <c r="BR170" s="789" t="str">
        <f t="shared" si="105"/>
        <v/>
      </c>
      <c r="BS170" s="789" t="str">
        <f t="shared" si="106"/>
        <v/>
      </c>
      <c r="BU170" s="535" t="s">
        <v>435</v>
      </c>
      <c r="BV170" s="789">
        <f t="shared" si="107"/>
        <v>0</v>
      </c>
      <c r="BW170" s="789">
        <f t="shared" si="108"/>
        <v>0</v>
      </c>
      <c r="BX170" s="789" t="str">
        <f t="shared" si="109"/>
        <v/>
      </c>
      <c r="BY170" s="789" t="str">
        <f t="shared" si="110"/>
        <v/>
      </c>
      <c r="BZ170" s="789" t="str">
        <f t="shared" si="111"/>
        <v/>
      </c>
      <c r="CA170" s="789" t="str">
        <f t="shared" si="112"/>
        <v/>
      </c>
      <c r="CC170" s="535" t="s">
        <v>435</v>
      </c>
      <c r="CD170" s="789">
        <f t="shared" si="113"/>
        <v>0</v>
      </c>
      <c r="CE170" s="789">
        <f t="shared" si="114"/>
        <v>0</v>
      </c>
      <c r="CF170" s="789" t="str">
        <f t="shared" si="115"/>
        <v/>
      </c>
      <c r="CG170" s="789" t="str">
        <f t="shared" si="116"/>
        <v/>
      </c>
      <c r="CH170" s="789" t="str">
        <f t="shared" si="117"/>
        <v/>
      </c>
      <c r="CI170" s="789" t="str">
        <f t="shared" si="118"/>
        <v/>
      </c>
      <c r="CK170" s="535" t="s">
        <v>435</v>
      </c>
      <c r="CL170" s="789">
        <f t="shared" si="119"/>
        <v>0</v>
      </c>
      <c r="CM170" s="789">
        <f t="shared" si="120"/>
        <v>0</v>
      </c>
      <c r="CN170" s="789" t="str">
        <f t="shared" si="121"/>
        <v/>
      </c>
      <c r="CO170" s="789" t="str">
        <f t="shared" si="122"/>
        <v/>
      </c>
      <c r="CP170" s="789" t="str">
        <f t="shared" si="123"/>
        <v/>
      </c>
      <c r="CQ170" s="789" t="str">
        <f t="shared" si="124"/>
        <v/>
      </c>
    </row>
    <row r="171" spans="1:95">
      <c r="A171" s="535" t="s">
        <v>281</v>
      </c>
      <c r="B171" s="789">
        <f t="shared" ref="B171:G171" si="134">IF(B109&gt;0,INDEX($D$54:$D$94,B109,1),"")</f>
        <v>0</v>
      </c>
      <c r="C171" s="789" t="str">
        <f t="shared" si="134"/>
        <v/>
      </c>
      <c r="D171" s="789" t="str">
        <f t="shared" si="134"/>
        <v/>
      </c>
      <c r="E171" s="789" t="str">
        <f t="shared" si="134"/>
        <v/>
      </c>
      <c r="F171" s="789" t="str">
        <f t="shared" si="134"/>
        <v/>
      </c>
      <c r="G171" s="789" t="str">
        <f t="shared" si="134"/>
        <v/>
      </c>
      <c r="I171" s="535" t="s">
        <v>281</v>
      </c>
      <c r="J171" s="789">
        <f t="shared" si="59"/>
        <v>0</v>
      </c>
      <c r="K171" s="789" t="str">
        <f t="shared" si="60"/>
        <v/>
      </c>
      <c r="L171" s="789" t="str">
        <f t="shared" si="61"/>
        <v/>
      </c>
      <c r="M171" s="789" t="str">
        <f t="shared" si="62"/>
        <v/>
      </c>
      <c r="N171" s="789" t="str">
        <f t="shared" si="63"/>
        <v/>
      </c>
      <c r="O171" s="789" t="str">
        <f t="shared" si="64"/>
        <v/>
      </c>
      <c r="Q171" s="535" t="s">
        <v>281</v>
      </c>
      <c r="R171" s="789">
        <f t="shared" si="65"/>
        <v>0</v>
      </c>
      <c r="S171" s="789" t="str">
        <f t="shared" si="66"/>
        <v/>
      </c>
      <c r="T171" s="789" t="str">
        <f t="shared" si="67"/>
        <v/>
      </c>
      <c r="U171" s="789" t="str">
        <f t="shared" si="68"/>
        <v/>
      </c>
      <c r="V171" s="789" t="str">
        <f t="shared" si="69"/>
        <v/>
      </c>
      <c r="W171" s="789" t="str">
        <f t="shared" si="70"/>
        <v/>
      </c>
      <c r="Y171" s="535" t="s">
        <v>281</v>
      </c>
      <c r="Z171" s="789">
        <f t="shared" si="71"/>
        <v>0</v>
      </c>
      <c r="AA171" s="789" t="str">
        <f t="shared" si="72"/>
        <v/>
      </c>
      <c r="AB171" s="789" t="str">
        <f t="shared" si="73"/>
        <v/>
      </c>
      <c r="AC171" s="789" t="str">
        <f t="shared" si="74"/>
        <v/>
      </c>
      <c r="AD171" s="789" t="str">
        <f t="shared" si="75"/>
        <v/>
      </c>
      <c r="AE171" s="789" t="str">
        <f t="shared" si="76"/>
        <v/>
      </c>
      <c r="AG171" s="535" t="s">
        <v>281</v>
      </c>
      <c r="AH171" s="789">
        <f t="shared" si="77"/>
        <v>0</v>
      </c>
      <c r="AI171" s="789" t="str">
        <f t="shared" si="78"/>
        <v/>
      </c>
      <c r="AJ171" s="789" t="str">
        <f t="shared" si="79"/>
        <v/>
      </c>
      <c r="AK171" s="789" t="str">
        <f t="shared" si="80"/>
        <v/>
      </c>
      <c r="AL171" s="789" t="str">
        <f t="shared" si="81"/>
        <v/>
      </c>
      <c r="AM171" s="789" t="str">
        <f t="shared" si="82"/>
        <v/>
      </c>
      <c r="AO171" s="535" t="s">
        <v>281</v>
      </c>
      <c r="AP171" s="789">
        <f t="shared" si="83"/>
        <v>0</v>
      </c>
      <c r="AQ171" s="789" t="str">
        <f t="shared" si="84"/>
        <v/>
      </c>
      <c r="AR171" s="789" t="str">
        <f t="shared" si="85"/>
        <v/>
      </c>
      <c r="AS171" s="789" t="str">
        <f t="shared" si="86"/>
        <v/>
      </c>
      <c r="AT171" s="789" t="str">
        <f t="shared" si="87"/>
        <v/>
      </c>
      <c r="AU171" s="789" t="str">
        <f t="shared" si="88"/>
        <v/>
      </c>
      <c r="AW171" s="535" t="s">
        <v>281</v>
      </c>
      <c r="AX171" s="789">
        <f t="shared" si="89"/>
        <v>0</v>
      </c>
      <c r="AY171" s="789" t="str">
        <f t="shared" si="90"/>
        <v/>
      </c>
      <c r="AZ171" s="789" t="str">
        <f t="shared" si="91"/>
        <v/>
      </c>
      <c r="BA171" s="789" t="str">
        <f t="shared" si="92"/>
        <v/>
      </c>
      <c r="BB171" s="789" t="str">
        <f t="shared" si="93"/>
        <v/>
      </c>
      <c r="BC171" s="789" t="str">
        <f t="shared" si="94"/>
        <v/>
      </c>
      <c r="BE171" s="535" t="s">
        <v>281</v>
      </c>
      <c r="BF171" s="789">
        <f t="shared" si="95"/>
        <v>0</v>
      </c>
      <c r="BG171" s="789" t="str">
        <f t="shared" si="96"/>
        <v/>
      </c>
      <c r="BH171" s="789" t="str">
        <f t="shared" si="97"/>
        <v/>
      </c>
      <c r="BI171" s="789" t="str">
        <f t="shared" si="98"/>
        <v/>
      </c>
      <c r="BJ171" s="789" t="str">
        <f t="shared" si="99"/>
        <v/>
      </c>
      <c r="BK171" s="789" t="str">
        <f t="shared" si="100"/>
        <v/>
      </c>
      <c r="BM171" s="535" t="s">
        <v>281</v>
      </c>
      <c r="BN171" s="789">
        <f t="shared" si="101"/>
        <v>0</v>
      </c>
      <c r="BO171" s="789" t="str">
        <f t="shared" si="102"/>
        <v/>
      </c>
      <c r="BP171" s="789" t="str">
        <f t="shared" si="103"/>
        <v/>
      </c>
      <c r="BQ171" s="789" t="str">
        <f t="shared" si="104"/>
        <v/>
      </c>
      <c r="BR171" s="789" t="str">
        <f t="shared" si="105"/>
        <v/>
      </c>
      <c r="BS171" s="789" t="str">
        <f t="shared" si="106"/>
        <v/>
      </c>
      <c r="BU171" s="535" t="s">
        <v>281</v>
      </c>
      <c r="BV171" s="789">
        <f t="shared" si="107"/>
        <v>0</v>
      </c>
      <c r="BW171" s="789" t="str">
        <f t="shared" si="108"/>
        <v/>
      </c>
      <c r="BX171" s="789" t="str">
        <f t="shared" si="109"/>
        <v/>
      </c>
      <c r="BY171" s="789" t="str">
        <f t="shared" si="110"/>
        <v/>
      </c>
      <c r="BZ171" s="789" t="str">
        <f t="shared" si="111"/>
        <v/>
      </c>
      <c r="CA171" s="789" t="str">
        <f t="shared" si="112"/>
        <v/>
      </c>
      <c r="CC171" s="535" t="s">
        <v>281</v>
      </c>
      <c r="CD171" s="789">
        <f t="shared" si="113"/>
        <v>0</v>
      </c>
      <c r="CE171" s="789" t="str">
        <f t="shared" si="114"/>
        <v/>
      </c>
      <c r="CF171" s="789" t="str">
        <f t="shared" si="115"/>
        <v/>
      </c>
      <c r="CG171" s="789" t="str">
        <f t="shared" si="116"/>
        <v/>
      </c>
      <c r="CH171" s="789" t="str">
        <f t="shared" si="117"/>
        <v/>
      </c>
      <c r="CI171" s="789" t="str">
        <f t="shared" si="118"/>
        <v/>
      </c>
      <c r="CK171" s="535" t="s">
        <v>281</v>
      </c>
      <c r="CL171" s="789">
        <f t="shared" si="119"/>
        <v>0</v>
      </c>
      <c r="CM171" s="789" t="str">
        <f t="shared" si="120"/>
        <v/>
      </c>
      <c r="CN171" s="789" t="str">
        <f t="shared" si="121"/>
        <v/>
      </c>
      <c r="CO171" s="789" t="str">
        <f t="shared" si="122"/>
        <v/>
      </c>
      <c r="CP171" s="789" t="str">
        <f t="shared" si="123"/>
        <v/>
      </c>
      <c r="CQ171" s="789" t="str">
        <f t="shared" si="124"/>
        <v/>
      </c>
    </row>
    <row r="172" spans="1:95">
      <c r="A172" s="535" t="s">
        <v>436</v>
      </c>
      <c r="B172" s="789">
        <f t="shared" ref="B172:G172" si="135">IF(B110&gt;0,INDEX($D$54:$D$94,B110,1),"")</f>
        <v>0</v>
      </c>
      <c r="C172" s="789">
        <f t="shared" si="135"/>
        <v>0</v>
      </c>
      <c r="D172" s="789" t="str">
        <f t="shared" si="135"/>
        <v/>
      </c>
      <c r="E172" s="789" t="str">
        <f t="shared" si="135"/>
        <v/>
      </c>
      <c r="F172" s="789" t="str">
        <f t="shared" si="135"/>
        <v/>
      </c>
      <c r="G172" s="789" t="str">
        <f t="shared" si="135"/>
        <v/>
      </c>
      <c r="I172" s="535" t="s">
        <v>436</v>
      </c>
      <c r="J172" s="789">
        <f t="shared" si="59"/>
        <v>0</v>
      </c>
      <c r="K172" s="789">
        <f t="shared" si="60"/>
        <v>0</v>
      </c>
      <c r="L172" s="789" t="str">
        <f t="shared" si="61"/>
        <v/>
      </c>
      <c r="M172" s="789" t="str">
        <f t="shared" si="62"/>
        <v/>
      </c>
      <c r="N172" s="789" t="str">
        <f t="shared" si="63"/>
        <v/>
      </c>
      <c r="O172" s="789" t="str">
        <f t="shared" si="64"/>
        <v/>
      </c>
      <c r="Q172" s="535" t="s">
        <v>436</v>
      </c>
      <c r="R172" s="789">
        <f t="shared" si="65"/>
        <v>0</v>
      </c>
      <c r="S172" s="789">
        <f t="shared" si="66"/>
        <v>0</v>
      </c>
      <c r="T172" s="789" t="str">
        <f t="shared" si="67"/>
        <v/>
      </c>
      <c r="U172" s="789" t="str">
        <f t="shared" si="68"/>
        <v/>
      </c>
      <c r="V172" s="789" t="str">
        <f t="shared" si="69"/>
        <v/>
      </c>
      <c r="W172" s="789" t="str">
        <f t="shared" si="70"/>
        <v/>
      </c>
      <c r="Y172" s="535" t="s">
        <v>436</v>
      </c>
      <c r="Z172" s="789">
        <f t="shared" si="71"/>
        <v>0</v>
      </c>
      <c r="AA172" s="789">
        <f t="shared" si="72"/>
        <v>0</v>
      </c>
      <c r="AB172" s="789" t="str">
        <f t="shared" si="73"/>
        <v/>
      </c>
      <c r="AC172" s="789" t="str">
        <f t="shared" si="74"/>
        <v/>
      </c>
      <c r="AD172" s="789" t="str">
        <f t="shared" si="75"/>
        <v/>
      </c>
      <c r="AE172" s="789" t="str">
        <f t="shared" si="76"/>
        <v/>
      </c>
      <c r="AG172" s="535" t="s">
        <v>436</v>
      </c>
      <c r="AH172" s="789">
        <f t="shared" si="77"/>
        <v>0</v>
      </c>
      <c r="AI172" s="789">
        <f t="shared" si="78"/>
        <v>0</v>
      </c>
      <c r="AJ172" s="789" t="str">
        <f t="shared" si="79"/>
        <v/>
      </c>
      <c r="AK172" s="789" t="str">
        <f t="shared" si="80"/>
        <v/>
      </c>
      <c r="AL172" s="789" t="str">
        <f t="shared" si="81"/>
        <v/>
      </c>
      <c r="AM172" s="789" t="str">
        <f t="shared" si="82"/>
        <v/>
      </c>
      <c r="AO172" s="535" t="s">
        <v>436</v>
      </c>
      <c r="AP172" s="789">
        <f t="shared" si="83"/>
        <v>0</v>
      </c>
      <c r="AQ172" s="789">
        <f t="shared" si="84"/>
        <v>0</v>
      </c>
      <c r="AR172" s="789" t="str">
        <f t="shared" si="85"/>
        <v/>
      </c>
      <c r="AS172" s="789" t="str">
        <f t="shared" si="86"/>
        <v/>
      </c>
      <c r="AT172" s="789" t="str">
        <f t="shared" si="87"/>
        <v/>
      </c>
      <c r="AU172" s="789" t="str">
        <f t="shared" si="88"/>
        <v/>
      </c>
      <c r="AW172" s="535" t="s">
        <v>436</v>
      </c>
      <c r="AX172" s="789">
        <f t="shared" si="89"/>
        <v>0</v>
      </c>
      <c r="AY172" s="789">
        <f t="shared" si="90"/>
        <v>0</v>
      </c>
      <c r="AZ172" s="789" t="str">
        <f t="shared" si="91"/>
        <v/>
      </c>
      <c r="BA172" s="789" t="str">
        <f t="shared" si="92"/>
        <v/>
      </c>
      <c r="BB172" s="789" t="str">
        <f t="shared" si="93"/>
        <v/>
      </c>
      <c r="BC172" s="789" t="str">
        <f t="shared" si="94"/>
        <v/>
      </c>
      <c r="BE172" s="535" t="s">
        <v>436</v>
      </c>
      <c r="BF172" s="789">
        <f t="shared" si="95"/>
        <v>0</v>
      </c>
      <c r="BG172" s="789">
        <f t="shared" si="96"/>
        <v>0</v>
      </c>
      <c r="BH172" s="789" t="str">
        <f t="shared" si="97"/>
        <v/>
      </c>
      <c r="BI172" s="789" t="str">
        <f t="shared" si="98"/>
        <v/>
      </c>
      <c r="BJ172" s="789" t="str">
        <f t="shared" si="99"/>
        <v/>
      </c>
      <c r="BK172" s="789" t="str">
        <f t="shared" si="100"/>
        <v/>
      </c>
      <c r="BM172" s="535" t="s">
        <v>436</v>
      </c>
      <c r="BN172" s="789">
        <f t="shared" si="101"/>
        <v>0</v>
      </c>
      <c r="BO172" s="789">
        <f t="shared" si="102"/>
        <v>0</v>
      </c>
      <c r="BP172" s="789" t="str">
        <f t="shared" si="103"/>
        <v/>
      </c>
      <c r="BQ172" s="789" t="str">
        <f t="shared" si="104"/>
        <v/>
      </c>
      <c r="BR172" s="789" t="str">
        <f t="shared" si="105"/>
        <v/>
      </c>
      <c r="BS172" s="789" t="str">
        <f t="shared" si="106"/>
        <v/>
      </c>
      <c r="BU172" s="535" t="s">
        <v>436</v>
      </c>
      <c r="BV172" s="789">
        <f t="shared" si="107"/>
        <v>0</v>
      </c>
      <c r="BW172" s="789">
        <f t="shared" si="108"/>
        <v>0</v>
      </c>
      <c r="BX172" s="789" t="str">
        <f t="shared" si="109"/>
        <v/>
      </c>
      <c r="BY172" s="789" t="str">
        <f t="shared" si="110"/>
        <v/>
      </c>
      <c r="BZ172" s="789" t="str">
        <f t="shared" si="111"/>
        <v/>
      </c>
      <c r="CA172" s="789" t="str">
        <f t="shared" si="112"/>
        <v/>
      </c>
      <c r="CC172" s="535" t="s">
        <v>436</v>
      </c>
      <c r="CD172" s="789">
        <f t="shared" si="113"/>
        <v>0</v>
      </c>
      <c r="CE172" s="789">
        <f t="shared" si="114"/>
        <v>0</v>
      </c>
      <c r="CF172" s="789" t="str">
        <f t="shared" si="115"/>
        <v/>
      </c>
      <c r="CG172" s="789" t="str">
        <f t="shared" si="116"/>
        <v/>
      </c>
      <c r="CH172" s="789" t="str">
        <f t="shared" si="117"/>
        <v/>
      </c>
      <c r="CI172" s="789" t="str">
        <f t="shared" si="118"/>
        <v/>
      </c>
      <c r="CK172" s="535" t="s">
        <v>436</v>
      </c>
      <c r="CL172" s="789">
        <f t="shared" si="119"/>
        <v>0</v>
      </c>
      <c r="CM172" s="789">
        <f t="shared" si="120"/>
        <v>0</v>
      </c>
      <c r="CN172" s="789" t="str">
        <f t="shared" si="121"/>
        <v/>
      </c>
      <c r="CO172" s="789" t="str">
        <f t="shared" si="122"/>
        <v/>
      </c>
      <c r="CP172" s="789" t="str">
        <f t="shared" si="123"/>
        <v/>
      </c>
      <c r="CQ172" s="789" t="str">
        <f t="shared" si="124"/>
        <v/>
      </c>
    </row>
    <row r="173" spans="1:95">
      <c r="A173" s="535" t="s">
        <v>451</v>
      </c>
      <c r="B173" s="789">
        <f t="shared" ref="B173:G173" si="136">IF(B111&gt;0,INDEX($D$54:$D$94,B111,1),"")</f>
        <v>0</v>
      </c>
      <c r="C173" s="789" t="str">
        <f t="shared" si="136"/>
        <v/>
      </c>
      <c r="D173" s="789" t="str">
        <f t="shared" si="136"/>
        <v/>
      </c>
      <c r="E173" s="789" t="str">
        <f t="shared" si="136"/>
        <v/>
      </c>
      <c r="F173" s="789" t="str">
        <f t="shared" si="136"/>
        <v/>
      </c>
      <c r="G173" s="789" t="str">
        <f t="shared" si="136"/>
        <v/>
      </c>
      <c r="I173" s="535" t="s">
        <v>451</v>
      </c>
      <c r="J173" s="789">
        <f t="shared" si="59"/>
        <v>0</v>
      </c>
      <c r="K173" s="789" t="str">
        <f t="shared" si="60"/>
        <v/>
      </c>
      <c r="L173" s="789" t="str">
        <f t="shared" si="61"/>
        <v/>
      </c>
      <c r="M173" s="789" t="str">
        <f t="shared" si="62"/>
        <v/>
      </c>
      <c r="N173" s="789" t="str">
        <f t="shared" si="63"/>
        <v/>
      </c>
      <c r="O173" s="789" t="str">
        <f t="shared" si="64"/>
        <v/>
      </c>
      <c r="Q173" s="535" t="s">
        <v>451</v>
      </c>
      <c r="R173" s="789">
        <f t="shared" si="65"/>
        <v>0</v>
      </c>
      <c r="S173" s="789" t="str">
        <f t="shared" si="66"/>
        <v/>
      </c>
      <c r="T173" s="789" t="str">
        <f t="shared" si="67"/>
        <v/>
      </c>
      <c r="U173" s="789" t="str">
        <f t="shared" si="68"/>
        <v/>
      </c>
      <c r="V173" s="789" t="str">
        <f t="shared" si="69"/>
        <v/>
      </c>
      <c r="W173" s="789" t="str">
        <f t="shared" si="70"/>
        <v/>
      </c>
      <c r="Y173" s="535" t="s">
        <v>451</v>
      </c>
      <c r="Z173" s="789">
        <f t="shared" si="71"/>
        <v>0</v>
      </c>
      <c r="AA173" s="789" t="str">
        <f t="shared" si="72"/>
        <v/>
      </c>
      <c r="AB173" s="789" t="str">
        <f t="shared" si="73"/>
        <v/>
      </c>
      <c r="AC173" s="789" t="str">
        <f t="shared" si="74"/>
        <v/>
      </c>
      <c r="AD173" s="789" t="str">
        <f t="shared" si="75"/>
        <v/>
      </c>
      <c r="AE173" s="789" t="str">
        <f t="shared" si="76"/>
        <v/>
      </c>
      <c r="AG173" s="535" t="s">
        <v>451</v>
      </c>
      <c r="AH173" s="789">
        <f t="shared" si="77"/>
        <v>0</v>
      </c>
      <c r="AI173" s="789" t="str">
        <f t="shared" si="78"/>
        <v/>
      </c>
      <c r="AJ173" s="789" t="str">
        <f t="shared" si="79"/>
        <v/>
      </c>
      <c r="AK173" s="789" t="str">
        <f t="shared" si="80"/>
        <v/>
      </c>
      <c r="AL173" s="789" t="str">
        <f t="shared" si="81"/>
        <v/>
      </c>
      <c r="AM173" s="789" t="str">
        <f t="shared" si="82"/>
        <v/>
      </c>
      <c r="AO173" s="535" t="s">
        <v>451</v>
      </c>
      <c r="AP173" s="789">
        <f t="shared" si="83"/>
        <v>0</v>
      </c>
      <c r="AQ173" s="789" t="str">
        <f t="shared" si="84"/>
        <v/>
      </c>
      <c r="AR173" s="789" t="str">
        <f t="shared" si="85"/>
        <v/>
      </c>
      <c r="AS173" s="789" t="str">
        <f t="shared" si="86"/>
        <v/>
      </c>
      <c r="AT173" s="789" t="str">
        <f t="shared" si="87"/>
        <v/>
      </c>
      <c r="AU173" s="789" t="str">
        <f t="shared" si="88"/>
        <v/>
      </c>
      <c r="AW173" s="535" t="s">
        <v>451</v>
      </c>
      <c r="AX173" s="789">
        <f t="shared" si="89"/>
        <v>0</v>
      </c>
      <c r="AY173" s="789" t="str">
        <f t="shared" si="90"/>
        <v/>
      </c>
      <c r="AZ173" s="789" t="str">
        <f t="shared" si="91"/>
        <v/>
      </c>
      <c r="BA173" s="789" t="str">
        <f t="shared" si="92"/>
        <v/>
      </c>
      <c r="BB173" s="789" t="str">
        <f t="shared" si="93"/>
        <v/>
      </c>
      <c r="BC173" s="789" t="str">
        <f t="shared" si="94"/>
        <v/>
      </c>
      <c r="BE173" s="535" t="s">
        <v>451</v>
      </c>
      <c r="BF173" s="789">
        <f t="shared" si="95"/>
        <v>0</v>
      </c>
      <c r="BG173" s="789" t="str">
        <f t="shared" si="96"/>
        <v/>
      </c>
      <c r="BH173" s="789" t="str">
        <f t="shared" si="97"/>
        <v/>
      </c>
      <c r="BI173" s="789" t="str">
        <f t="shared" si="98"/>
        <v/>
      </c>
      <c r="BJ173" s="789" t="str">
        <f t="shared" si="99"/>
        <v/>
      </c>
      <c r="BK173" s="789" t="str">
        <f t="shared" si="100"/>
        <v/>
      </c>
      <c r="BM173" s="535" t="s">
        <v>451</v>
      </c>
      <c r="BN173" s="789">
        <f t="shared" si="101"/>
        <v>0</v>
      </c>
      <c r="BO173" s="789" t="str">
        <f t="shared" si="102"/>
        <v/>
      </c>
      <c r="BP173" s="789" t="str">
        <f t="shared" si="103"/>
        <v/>
      </c>
      <c r="BQ173" s="789" t="str">
        <f t="shared" si="104"/>
        <v/>
      </c>
      <c r="BR173" s="789" t="str">
        <f t="shared" si="105"/>
        <v/>
      </c>
      <c r="BS173" s="789" t="str">
        <f t="shared" si="106"/>
        <v/>
      </c>
      <c r="BU173" s="535" t="s">
        <v>451</v>
      </c>
      <c r="BV173" s="789">
        <f t="shared" si="107"/>
        <v>0</v>
      </c>
      <c r="BW173" s="789" t="str">
        <f t="shared" si="108"/>
        <v/>
      </c>
      <c r="BX173" s="789" t="str">
        <f t="shared" si="109"/>
        <v/>
      </c>
      <c r="BY173" s="789" t="str">
        <f t="shared" si="110"/>
        <v/>
      </c>
      <c r="BZ173" s="789" t="str">
        <f t="shared" si="111"/>
        <v/>
      </c>
      <c r="CA173" s="789" t="str">
        <f t="shared" si="112"/>
        <v/>
      </c>
      <c r="CC173" s="535" t="s">
        <v>451</v>
      </c>
      <c r="CD173" s="789">
        <f t="shared" si="113"/>
        <v>0</v>
      </c>
      <c r="CE173" s="789" t="str">
        <f t="shared" si="114"/>
        <v/>
      </c>
      <c r="CF173" s="789" t="str">
        <f t="shared" si="115"/>
        <v/>
      </c>
      <c r="CG173" s="789" t="str">
        <f t="shared" si="116"/>
        <v/>
      </c>
      <c r="CH173" s="789" t="str">
        <f t="shared" si="117"/>
        <v/>
      </c>
      <c r="CI173" s="789" t="str">
        <f t="shared" si="118"/>
        <v/>
      </c>
      <c r="CK173" s="535" t="s">
        <v>451</v>
      </c>
      <c r="CL173" s="789">
        <f t="shared" si="119"/>
        <v>0</v>
      </c>
      <c r="CM173" s="789" t="str">
        <f t="shared" si="120"/>
        <v/>
      </c>
      <c r="CN173" s="789" t="str">
        <f t="shared" si="121"/>
        <v/>
      </c>
      <c r="CO173" s="789" t="str">
        <f t="shared" si="122"/>
        <v/>
      </c>
      <c r="CP173" s="789" t="str">
        <f t="shared" si="123"/>
        <v/>
      </c>
      <c r="CQ173" s="789" t="str">
        <f t="shared" si="124"/>
        <v/>
      </c>
    </row>
    <row r="174" spans="1:95">
      <c r="A174" s="535" t="s">
        <v>450</v>
      </c>
      <c r="B174" s="789">
        <f t="shared" ref="B174:G174" si="137">IF(B112&gt;0,INDEX($D$54:$D$94,B112,1),"")</f>
        <v>0</v>
      </c>
      <c r="C174" s="789">
        <f t="shared" si="137"/>
        <v>2</v>
      </c>
      <c r="D174" s="789" t="str">
        <f t="shared" si="137"/>
        <v/>
      </c>
      <c r="E174" s="789" t="str">
        <f t="shared" si="137"/>
        <v/>
      </c>
      <c r="F174" s="789" t="str">
        <f t="shared" si="137"/>
        <v/>
      </c>
      <c r="G174" s="789" t="str">
        <f t="shared" si="137"/>
        <v/>
      </c>
      <c r="I174" s="535" t="s">
        <v>450</v>
      </c>
      <c r="J174" s="789">
        <f t="shared" si="59"/>
        <v>0</v>
      </c>
      <c r="K174" s="789">
        <f t="shared" si="60"/>
        <v>2</v>
      </c>
      <c r="L174" s="789" t="str">
        <f t="shared" si="61"/>
        <v/>
      </c>
      <c r="M174" s="789" t="str">
        <f t="shared" si="62"/>
        <v/>
      </c>
      <c r="N174" s="789" t="str">
        <f t="shared" si="63"/>
        <v/>
      </c>
      <c r="O174" s="789" t="str">
        <f t="shared" si="64"/>
        <v/>
      </c>
      <c r="Q174" s="535" t="s">
        <v>450</v>
      </c>
      <c r="R174" s="789">
        <f t="shared" si="65"/>
        <v>0</v>
      </c>
      <c r="S174" s="789">
        <f t="shared" si="66"/>
        <v>2</v>
      </c>
      <c r="T174" s="789" t="str">
        <f t="shared" si="67"/>
        <v/>
      </c>
      <c r="U174" s="789" t="str">
        <f t="shared" si="68"/>
        <v/>
      </c>
      <c r="V174" s="789" t="str">
        <f t="shared" si="69"/>
        <v/>
      </c>
      <c r="W174" s="789" t="str">
        <f t="shared" si="70"/>
        <v/>
      </c>
      <c r="Y174" s="535" t="s">
        <v>450</v>
      </c>
      <c r="Z174" s="789">
        <f t="shared" si="71"/>
        <v>0</v>
      </c>
      <c r="AA174" s="789">
        <f t="shared" si="72"/>
        <v>2</v>
      </c>
      <c r="AB174" s="789" t="str">
        <f t="shared" si="73"/>
        <v/>
      </c>
      <c r="AC174" s="789" t="str">
        <f t="shared" si="74"/>
        <v/>
      </c>
      <c r="AD174" s="789" t="str">
        <f t="shared" si="75"/>
        <v/>
      </c>
      <c r="AE174" s="789" t="str">
        <f t="shared" si="76"/>
        <v/>
      </c>
      <c r="AG174" s="535" t="s">
        <v>450</v>
      </c>
      <c r="AH174" s="789">
        <f t="shared" si="77"/>
        <v>0</v>
      </c>
      <c r="AI174" s="789">
        <f t="shared" si="78"/>
        <v>2</v>
      </c>
      <c r="AJ174" s="789" t="str">
        <f t="shared" si="79"/>
        <v/>
      </c>
      <c r="AK174" s="789" t="str">
        <f t="shared" si="80"/>
        <v/>
      </c>
      <c r="AL174" s="789" t="str">
        <f t="shared" si="81"/>
        <v/>
      </c>
      <c r="AM174" s="789" t="str">
        <f t="shared" si="82"/>
        <v/>
      </c>
      <c r="AO174" s="535" t="s">
        <v>450</v>
      </c>
      <c r="AP174" s="789">
        <f t="shared" si="83"/>
        <v>0</v>
      </c>
      <c r="AQ174" s="789">
        <f t="shared" si="84"/>
        <v>2</v>
      </c>
      <c r="AR174" s="789" t="str">
        <f t="shared" si="85"/>
        <v/>
      </c>
      <c r="AS174" s="789" t="str">
        <f t="shared" si="86"/>
        <v/>
      </c>
      <c r="AT174" s="789" t="str">
        <f t="shared" si="87"/>
        <v/>
      </c>
      <c r="AU174" s="789" t="str">
        <f t="shared" si="88"/>
        <v/>
      </c>
      <c r="AW174" s="535" t="s">
        <v>450</v>
      </c>
      <c r="AX174" s="789">
        <f t="shared" si="89"/>
        <v>0</v>
      </c>
      <c r="AY174" s="789">
        <f t="shared" si="90"/>
        <v>2</v>
      </c>
      <c r="AZ174" s="789" t="str">
        <f t="shared" si="91"/>
        <v/>
      </c>
      <c r="BA174" s="789" t="str">
        <f t="shared" si="92"/>
        <v/>
      </c>
      <c r="BB174" s="789" t="str">
        <f t="shared" si="93"/>
        <v/>
      </c>
      <c r="BC174" s="789" t="str">
        <f t="shared" si="94"/>
        <v/>
      </c>
      <c r="BE174" s="535" t="s">
        <v>450</v>
      </c>
      <c r="BF174" s="789">
        <f t="shared" si="95"/>
        <v>0</v>
      </c>
      <c r="BG174" s="789">
        <f t="shared" si="96"/>
        <v>2</v>
      </c>
      <c r="BH174" s="789" t="str">
        <f t="shared" si="97"/>
        <v/>
      </c>
      <c r="BI174" s="789" t="str">
        <f t="shared" si="98"/>
        <v/>
      </c>
      <c r="BJ174" s="789" t="str">
        <f t="shared" si="99"/>
        <v/>
      </c>
      <c r="BK174" s="789" t="str">
        <f t="shared" si="100"/>
        <v/>
      </c>
      <c r="BM174" s="535" t="s">
        <v>450</v>
      </c>
      <c r="BN174" s="789">
        <f t="shared" si="101"/>
        <v>0</v>
      </c>
      <c r="BO174" s="789">
        <f t="shared" si="102"/>
        <v>2</v>
      </c>
      <c r="BP174" s="789" t="str">
        <f t="shared" si="103"/>
        <v/>
      </c>
      <c r="BQ174" s="789" t="str">
        <f t="shared" si="104"/>
        <v/>
      </c>
      <c r="BR174" s="789" t="str">
        <f t="shared" si="105"/>
        <v/>
      </c>
      <c r="BS174" s="789" t="str">
        <f t="shared" si="106"/>
        <v/>
      </c>
      <c r="BU174" s="535" t="s">
        <v>450</v>
      </c>
      <c r="BV174" s="789">
        <f t="shared" si="107"/>
        <v>0</v>
      </c>
      <c r="BW174" s="789">
        <f t="shared" si="108"/>
        <v>2</v>
      </c>
      <c r="BX174" s="789" t="str">
        <f t="shared" si="109"/>
        <v/>
      </c>
      <c r="BY174" s="789" t="str">
        <f t="shared" si="110"/>
        <v/>
      </c>
      <c r="BZ174" s="789" t="str">
        <f t="shared" si="111"/>
        <v/>
      </c>
      <c r="CA174" s="789" t="str">
        <f t="shared" si="112"/>
        <v/>
      </c>
      <c r="CC174" s="535" t="s">
        <v>450</v>
      </c>
      <c r="CD174" s="789">
        <f t="shared" si="113"/>
        <v>0</v>
      </c>
      <c r="CE174" s="789">
        <f t="shared" si="114"/>
        <v>2</v>
      </c>
      <c r="CF174" s="789" t="str">
        <f t="shared" si="115"/>
        <v/>
      </c>
      <c r="CG174" s="789" t="str">
        <f t="shared" si="116"/>
        <v/>
      </c>
      <c r="CH174" s="789" t="str">
        <f t="shared" si="117"/>
        <v/>
      </c>
      <c r="CI174" s="789" t="str">
        <f t="shared" si="118"/>
        <v/>
      </c>
      <c r="CK174" s="535" t="s">
        <v>450</v>
      </c>
      <c r="CL174" s="789">
        <f t="shared" si="119"/>
        <v>0</v>
      </c>
      <c r="CM174" s="789">
        <f t="shared" si="120"/>
        <v>2</v>
      </c>
      <c r="CN174" s="789" t="str">
        <f t="shared" si="121"/>
        <v/>
      </c>
      <c r="CO174" s="789" t="str">
        <f t="shared" si="122"/>
        <v/>
      </c>
      <c r="CP174" s="789" t="str">
        <f t="shared" si="123"/>
        <v/>
      </c>
      <c r="CQ174" s="789" t="str">
        <f t="shared" si="124"/>
        <v/>
      </c>
    </row>
    <row r="175" spans="1:95">
      <c r="A175" s="535" t="s">
        <v>276</v>
      </c>
      <c r="B175" s="789">
        <f t="shared" ref="B175:G175" si="138">IF(B113&gt;0,INDEX($D$54:$D$94,B113,1),"")</f>
        <v>0</v>
      </c>
      <c r="C175" s="789" t="str">
        <f t="shared" si="138"/>
        <v/>
      </c>
      <c r="D175" s="789" t="str">
        <f t="shared" si="138"/>
        <v/>
      </c>
      <c r="E175" s="789" t="str">
        <f t="shared" si="138"/>
        <v/>
      </c>
      <c r="F175" s="789" t="str">
        <f t="shared" si="138"/>
        <v/>
      </c>
      <c r="G175" s="789" t="str">
        <f t="shared" si="138"/>
        <v/>
      </c>
      <c r="I175" s="535" t="s">
        <v>276</v>
      </c>
      <c r="J175" s="789">
        <f t="shared" si="59"/>
        <v>0</v>
      </c>
      <c r="K175" s="789" t="str">
        <f t="shared" si="60"/>
        <v/>
      </c>
      <c r="L175" s="789" t="str">
        <f t="shared" si="61"/>
        <v/>
      </c>
      <c r="M175" s="789" t="str">
        <f t="shared" si="62"/>
        <v/>
      </c>
      <c r="N175" s="789" t="str">
        <f t="shared" si="63"/>
        <v/>
      </c>
      <c r="O175" s="789" t="str">
        <f t="shared" si="64"/>
        <v/>
      </c>
      <c r="Q175" s="535" t="s">
        <v>276</v>
      </c>
      <c r="R175" s="789">
        <f t="shared" si="65"/>
        <v>0</v>
      </c>
      <c r="S175" s="789" t="str">
        <f t="shared" si="66"/>
        <v/>
      </c>
      <c r="T175" s="789" t="str">
        <f t="shared" si="67"/>
        <v/>
      </c>
      <c r="U175" s="789" t="str">
        <f t="shared" si="68"/>
        <v/>
      </c>
      <c r="V175" s="789" t="str">
        <f t="shared" si="69"/>
        <v/>
      </c>
      <c r="W175" s="789" t="str">
        <f t="shared" si="70"/>
        <v/>
      </c>
      <c r="Y175" s="535" t="s">
        <v>276</v>
      </c>
      <c r="Z175" s="789">
        <f t="shared" si="71"/>
        <v>0</v>
      </c>
      <c r="AA175" s="789" t="str">
        <f t="shared" si="72"/>
        <v/>
      </c>
      <c r="AB175" s="789" t="str">
        <f t="shared" si="73"/>
        <v/>
      </c>
      <c r="AC175" s="789" t="str">
        <f t="shared" si="74"/>
        <v/>
      </c>
      <c r="AD175" s="789" t="str">
        <f t="shared" si="75"/>
        <v/>
      </c>
      <c r="AE175" s="789" t="str">
        <f t="shared" si="76"/>
        <v/>
      </c>
      <c r="AG175" s="535" t="s">
        <v>276</v>
      </c>
      <c r="AH175" s="789">
        <f t="shared" si="77"/>
        <v>0</v>
      </c>
      <c r="AI175" s="789" t="str">
        <f t="shared" si="78"/>
        <v/>
      </c>
      <c r="AJ175" s="789" t="str">
        <f t="shared" si="79"/>
        <v/>
      </c>
      <c r="AK175" s="789" t="str">
        <f t="shared" si="80"/>
        <v/>
      </c>
      <c r="AL175" s="789" t="str">
        <f t="shared" si="81"/>
        <v/>
      </c>
      <c r="AM175" s="789" t="str">
        <f t="shared" si="82"/>
        <v/>
      </c>
      <c r="AO175" s="535" t="s">
        <v>276</v>
      </c>
      <c r="AP175" s="789">
        <f t="shared" si="83"/>
        <v>0</v>
      </c>
      <c r="AQ175" s="789" t="str">
        <f t="shared" si="84"/>
        <v/>
      </c>
      <c r="AR175" s="789" t="str">
        <f t="shared" si="85"/>
        <v/>
      </c>
      <c r="AS175" s="789" t="str">
        <f t="shared" si="86"/>
        <v/>
      </c>
      <c r="AT175" s="789" t="str">
        <f t="shared" si="87"/>
        <v/>
      </c>
      <c r="AU175" s="789" t="str">
        <f t="shared" si="88"/>
        <v/>
      </c>
      <c r="AW175" s="535" t="s">
        <v>276</v>
      </c>
      <c r="AX175" s="789">
        <f t="shared" si="89"/>
        <v>0</v>
      </c>
      <c r="AY175" s="789" t="str">
        <f t="shared" si="90"/>
        <v/>
      </c>
      <c r="AZ175" s="789" t="str">
        <f t="shared" si="91"/>
        <v/>
      </c>
      <c r="BA175" s="789" t="str">
        <f t="shared" si="92"/>
        <v/>
      </c>
      <c r="BB175" s="789" t="str">
        <f t="shared" si="93"/>
        <v/>
      </c>
      <c r="BC175" s="789" t="str">
        <f t="shared" si="94"/>
        <v/>
      </c>
      <c r="BE175" s="535" t="s">
        <v>276</v>
      </c>
      <c r="BF175" s="789">
        <f t="shared" si="95"/>
        <v>0</v>
      </c>
      <c r="BG175" s="789" t="str">
        <f t="shared" si="96"/>
        <v/>
      </c>
      <c r="BH175" s="789" t="str">
        <f t="shared" si="97"/>
        <v/>
      </c>
      <c r="BI175" s="789" t="str">
        <f t="shared" si="98"/>
        <v/>
      </c>
      <c r="BJ175" s="789" t="str">
        <f t="shared" si="99"/>
        <v/>
      </c>
      <c r="BK175" s="789" t="str">
        <f t="shared" si="100"/>
        <v/>
      </c>
      <c r="BM175" s="535" t="s">
        <v>276</v>
      </c>
      <c r="BN175" s="789">
        <f t="shared" si="101"/>
        <v>0</v>
      </c>
      <c r="BO175" s="789" t="str">
        <f t="shared" si="102"/>
        <v/>
      </c>
      <c r="BP175" s="789" t="str">
        <f t="shared" si="103"/>
        <v/>
      </c>
      <c r="BQ175" s="789" t="str">
        <f t="shared" si="104"/>
        <v/>
      </c>
      <c r="BR175" s="789" t="str">
        <f t="shared" si="105"/>
        <v/>
      </c>
      <c r="BS175" s="789" t="str">
        <f t="shared" si="106"/>
        <v/>
      </c>
      <c r="BU175" s="535" t="s">
        <v>276</v>
      </c>
      <c r="BV175" s="789">
        <f t="shared" si="107"/>
        <v>0</v>
      </c>
      <c r="BW175" s="789" t="str">
        <f t="shared" si="108"/>
        <v/>
      </c>
      <c r="BX175" s="789" t="str">
        <f t="shared" si="109"/>
        <v/>
      </c>
      <c r="BY175" s="789" t="str">
        <f t="shared" si="110"/>
        <v/>
      </c>
      <c r="BZ175" s="789" t="str">
        <f t="shared" si="111"/>
        <v/>
      </c>
      <c r="CA175" s="789" t="str">
        <f t="shared" si="112"/>
        <v/>
      </c>
      <c r="CC175" s="535" t="s">
        <v>276</v>
      </c>
      <c r="CD175" s="789">
        <f t="shared" si="113"/>
        <v>0</v>
      </c>
      <c r="CE175" s="789" t="str">
        <f t="shared" si="114"/>
        <v/>
      </c>
      <c r="CF175" s="789" t="str">
        <f t="shared" si="115"/>
        <v/>
      </c>
      <c r="CG175" s="789" t="str">
        <f t="shared" si="116"/>
        <v/>
      </c>
      <c r="CH175" s="789" t="str">
        <f t="shared" si="117"/>
        <v/>
      </c>
      <c r="CI175" s="789" t="str">
        <f t="shared" si="118"/>
        <v/>
      </c>
      <c r="CK175" s="535" t="s">
        <v>276</v>
      </c>
      <c r="CL175" s="789">
        <f t="shared" si="119"/>
        <v>0</v>
      </c>
      <c r="CM175" s="789" t="str">
        <f t="shared" si="120"/>
        <v/>
      </c>
      <c r="CN175" s="789" t="str">
        <f t="shared" si="121"/>
        <v/>
      </c>
      <c r="CO175" s="789" t="str">
        <f t="shared" si="122"/>
        <v/>
      </c>
      <c r="CP175" s="789" t="str">
        <f t="shared" si="123"/>
        <v/>
      </c>
      <c r="CQ175" s="789" t="str">
        <f t="shared" si="124"/>
        <v/>
      </c>
    </row>
    <row r="176" spans="1:95">
      <c r="A176" s="535" t="s">
        <v>274</v>
      </c>
      <c r="B176" s="789">
        <f t="shared" ref="B176:G176" si="139">IF(B114&gt;0,INDEX($D$54:$D$94,B114,1),"")</f>
        <v>0</v>
      </c>
      <c r="C176" s="789" t="str">
        <f t="shared" si="139"/>
        <v/>
      </c>
      <c r="D176" s="789" t="str">
        <f t="shared" si="139"/>
        <v/>
      </c>
      <c r="E176" s="789" t="str">
        <f t="shared" si="139"/>
        <v/>
      </c>
      <c r="F176" s="789" t="str">
        <f t="shared" si="139"/>
        <v/>
      </c>
      <c r="G176" s="789" t="str">
        <f t="shared" si="139"/>
        <v/>
      </c>
      <c r="I176" s="535" t="s">
        <v>274</v>
      </c>
      <c r="J176" s="789">
        <f t="shared" si="59"/>
        <v>0</v>
      </c>
      <c r="K176" s="789" t="str">
        <f t="shared" si="60"/>
        <v/>
      </c>
      <c r="L176" s="789" t="str">
        <f t="shared" si="61"/>
        <v/>
      </c>
      <c r="M176" s="789" t="str">
        <f t="shared" si="62"/>
        <v/>
      </c>
      <c r="N176" s="789" t="str">
        <f t="shared" si="63"/>
        <v/>
      </c>
      <c r="O176" s="789" t="str">
        <f t="shared" si="64"/>
        <v/>
      </c>
      <c r="Q176" s="535" t="s">
        <v>274</v>
      </c>
      <c r="R176" s="789">
        <f t="shared" si="65"/>
        <v>0</v>
      </c>
      <c r="S176" s="789" t="str">
        <f t="shared" si="66"/>
        <v/>
      </c>
      <c r="T176" s="789" t="str">
        <f t="shared" si="67"/>
        <v/>
      </c>
      <c r="U176" s="789" t="str">
        <f t="shared" si="68"/>
        <v/>
      </c>
      <c r="V176" s="789" t="str">
        <f t="shared" si="69"/>
        <v/>
      </c>
      <c r="W176" s="789" t="str">
        <f t="shared" si="70"/>
        <v/>
      </c>
      <c r="Y176" s="535" t="s">
        <v>274</v>
      </c>
      <c r="Z176" s="789">
        <f t="shared" si="71"/>
        <v>0</v>
      </c>
      <c r="AA176" s="789" t="str">
        <f t="shared" si="72"/>
        <v/>
      </c>
      <c r="AB176" s="789" t="str">
        <f t="shared" si="73"/>
        <v/>
      </c>
      <c r="AC176" s="789" t="str">
        <f t="shared" si="74"/>
        <v/>
      </c>
      <c r="AD176" s="789" t="str">
        <f t="shared" si="75"/>
        <v/>
      </c>
      <c r="AE176" s="789" t="str">
        <f t="shared" si="76"/>
        <v/>
      </c>
      <c r="AG176" s="535" t="s">
        <v>274</v>
      </c>
      <c r="AH176" s="789">
        <f t="shared" si="77"/>
        <v>0</v>
      </c>
      <c r="AI176" s="789" t="str">
        <f t="shared" si="78"/>
        <v/>
      </c>
      <c r="AJ176" s="789" t="str">
        <f t="shared" si="79"/>
        <v/>
      </c>
      <c r="AK176" s="789" t="str">
        <f t="shared" si="80"/>
        <v/>
      </c>
      <c r="AL176" s="789" t="str">
        <f t="shared" si="81"/>
        <v/>
      </c>
      <c r="AM176" s="789" t="str">
        <f t="shared" si="82"/>
        <v/>
      </c>
      <c r="AO176" s="535" t="s">
        <v>274</v>
      </c>
      <c r="AP176" s="789">
        <f t="shared" si="83"/>
        <v>0</v>
      </c>
      <c r="AQ176" s="789" t="str">
        <f t="shared" si="84"/>
        <v/>
      </c>
      <c r="AR176" s="789" t="str">
        <f t="shared" si="85"/>
        <v/>
      </c>
      <c r="AS176" s="789" t="str">
        <f t="shared" si="86"/>
        <v/>
      </c>
      <c r="AT176" s="789" t="str">
        <f t="shared" si="87"/>
        <v/>
      </c>
      <c r="AU176" s="789" t="str">
        <f t="shared" si="88"/>
        <v/>
      </c>
      <c r="AW176" s="535" t="s">
        <v>274</v>
      </c>
      <c r="AX176" s="789">
        <f t="shared" si="89"/>
        <v>0</v>
      </c>
      <c r="AY176" s="789" t="str">
        <f t="shared" si="90"/>
        <v/>
      </c>
      <c r="AZ176" s="789" t="str">
        <f t="shared" si="91"/>
        <v/>
      </c>
      <c r="BA176" s="789" t="str">
        <f t="shared" si="92"/>
        <v/>
      </c>
      <c r="BB176" s="789" t="str">
        <f t="shared" si="93"/>
        <v/>
      </c>
      <c r="BC176" s="789" t="str">
        <f t="shared" si="94"/>
        <v/>
      </c>
      <c r="BE176" s="535" t="s">
        <v>274</v>
      </c>
      <c r="BF176" s="789">
        <f t="shared" si="95"/>
        <v>0</v>
      </c>
      <c r="BG176" s="789" t="str">
        <f t="shared" si="96"/>
        <v/>
      </c>
      <c r="BH176" s="789" t="str">
        <f t="shared" si="97"/>
        <v/>
      </c>
      <c r="BI176" s="789" t="str">
        <f t="shared" si="98"/>
        <v/>
      </c>
      <c r="BJ176" s="789" t="str">
        <f t="shared" si="99"/>
        <v/>
      </c>
      <c r="BK176" s="789" t="str">
        <f t="shared" si="100"/>
        <v/>
      </c>
      <c r="BM176" s="535" t="s">
        <v>274</v>
      </c>
      <c r="BN176" s="789">
        <f t="shared" si="101"/>
        <v>0</v>
      </c>
      <c r="BO176" s="789" t="str">
        <f t="shared" si="102"/>
        <v/>
      </c>
      <c r="BP176" s="789" t="str">
        <f t="shared" si="103"/>
        <v/>
      </c>
      <c r="BQ176" s="789" t="str">
        <f t="shared" si="104"/>
        <v/>
      </c>
      <c r="BR176" s="789" t="str">
        <f t="shared" si="105"/>
        <v/>
      </c>
      <c r="BS176" s="789" t="str">
        <f t="shared" si="106"/>
        <v/>
      </c>
      <c r="BU176" s="535" t="s">
        <v>274</v>
      </c>
      <c r="BV176" s="789">
        <f t="shared" si="107"/>
        <v>0</v>
      </c>
      <c r="BW176" s="789" t="str">
        <f t="shared" si="108"/>
        <v/>
      </c>
      <c r="BX176" s="789" t="str">
        <f t="shared" si="109"/>
        <v/>
      </c>
      <c r="BY176" s="789" t="str">
        <f t="shared" si="110"/>
        <v/>
      </c>
      <c r="BZ176" s="789" t="str">
        <f t="shared" si="111"/>
        <v/>
      </c>
      <c r="CA176" s="789" t="str">
        <f t="shared" si="112"/>
        <v/>
      </c>
      <c r="CC176" s="535" t="s">
        <v>274</v>
      </c>
      <c r="CD176" s="789">
        <f t="shared" si="113"/>
        <v>0</v>
      </c>
      <c r="CE176" s="789" t="str">
        <f t="shared" si="114"/>
        <v/>
      </c>
      <c r="CF176" s="789" t="str">
        <f t="shared" si="115"/>
        <v/>
      </c>
      <c r="CG176" s="789" t="str">
        <f t="shared" si="116"/>
        <v/>
      </c>
      <c r="CH176" s="789" t="str">
        <f t="shared" si="117"/>
        <v/>
      </c>
      <c r="CI176" s="789" t="str">
        <f t="shared" si="118"/>
        <v/>
      </c>
      <c r="CK176" s="535" t="s">
        <v>274</v>
      </c>
      <c r="CL176" s="789">
        <f t="shared" si="119"/>
        <v>0</v>
      </c>
      <c r="CM176" s="789" t="str">
        <f t="shared" si="120"/>
        <v/>
      </c>
      <c r="CN176" s="789" t="str">
        <f t="shared" si="121"/>
        <v/>
      </c>
      <c r="CO176" s="789" t="str">
        <f t="shared" si="122"/>
        <v/>
      </c>
      <c r="CP176" s="789" t="str">
        <f t="shared" si="123"/>
        <v/>
      </c>
      <c r="CQ176" s="789" t="str">
        <f t="shared" si="124"/>
        <v/>
      </c>
    </row>
    <row r="177" spans="1:95">
      <c r="A177" s="535" t="s">
        <v>263</v>
      </c>
      <c r="B177" s="789">
        <f t="shared" ref="B177:G177" si="140">IF(B115&gt;0,INDEX($D$54:$D$94,B115,1),"")</f>
        <v>0</v>
      </c>
      <c r="C177" s="789" t="str">
        <f t="shared" si="140"/>
        <v/>
      </c>
      <c r="D177" s="789" t="str">
        <f t="shared" si="140"/>
        <v/>
      </c>
      <c r="E177" s="789" t="str">
        <f t="shared" si="140"/>
        <v/>
      </c>
      <c r="F177" s="789" t="str">
        <f t="shared" si="140"/>
        <v/>
      </c>
      <c r="G177" s="789" t="str">
        <f t="shared" si="140"/>
        <v/>
      </c>
      <c r="I177" s="535" t="s">
        <v>263</v>
      </c>
      <c r="J177" s="789">
        <f t="shared" si="59"/>
        <v>0</v>
      </c>
      <c r="K177" s="789" t="str">
        <f t="shared" si="60"/>
        <v/>
      </c>
      <c r="L177" s="789" t="str">
        <f t="shared" si="61"/>
        <v/>
      </c>
      <c r="M177" s="789" t="str">
        <f t="shared" si="62"/>
        <v/>
      </c>
      <c r="N177" s="789" t="str">
        <f t="shared" si="63"/>
        <v/>
      </c>
      <c r="O177" s="789" t="str">
        <f t="shared" si="64"/>
        <v/>
      </c>
      <c r="Q177" s="535" t="s">
        <v>263</v>
      </c>
      <c r="R177" s="789">
        <f t="shared" si="65"/>
        <v>0</v>
      </c>
      <c r="S177" s="789" t="str">
        <f t="shared" si="66"/>
        <v/>
      </c>
      <c r="T177" s="789" t="str">
        <f t="shared" si="67"/>
        <v/>
      </c>
      <c r="U177" s="789" t="str">
        <f t="shared" si="68"/>
        <v/>
      </c>
      <c r="V177" s="789" t="str">
        <f t="shared" si="69"/>
        <v/>
      </c>
      <c r="W177" s="789" t="str">
        <f t="shared" si="70"/>
        <v/>
      </c>
      <c r="Y177" s="535" t="s">
        <v>263</v>
      </c>
      <c r="Z177" s="789">
        <f t="shared" si="71"/>
        <v>0</v>
      </c>
      <c r="AA177" s="789" t="str">
        <f t="shared" si="72"/>
        <v/>
      </c>
      <c r="AB177" s="789" t="str">
        <f t="shared" si="73"/>
        <v/>
      </c>
      <c r="AC177" s="789" t="str">
        <f t="shared" si="74"/>
        <v/>
      </c>
      <c r="AD177" s="789" t="str">
        <f t="shared" si="75"/>
        <v/>
      </c>
      <c r="AE177" s="789" t="str">
        <f t="shared" si="76"/>
        <v/>
      </c>
      <c r="AG177" s="535" t="s">
        <v>263</v>
      </c>
      <c r="AH177" s="789">
        <f t="shared" si="77"/>
        <v>0</v>
      </c>
      <c r="AI177" s="789" t="str">
        <f t="shared" si="78"/>
        <v/>
      </c>
      <c r="AJ177" s="789" t="str">
        <f t="shared" si="79"/>
        <v/>
      </c>
      <c r="AK177" s="789" t="str">
        <f t="shared" si="80"/>
        <v/>
      </c>
      <c r="AL177" s="789" t="str">
        <f t="shared" si="81"/>
        <v/>
      </c>
      <c r="AM177" s="789" t="str">
        <f t="shared" si="82"/>
        <v/>
      </c>
      <c r="AO177" s="535" t="s">
        <v>263</v>
      </c>
      <c r="AP177" s="789">
        <f t="shared" si="83"/>
        <v>0</v>
      </c>
      <c r="AQ177" s="789" t="str">
        <f t="shared" si="84"/>
        <v/>
      </c>
      <c r="AR177" s="789" t="str">
        <f t="shared" si="85"/>
        <v/>
      </c>
      <c r="AS177" s="789" t="str">
        <f t="shared" si="86"/>
        <v/>
      </c>
      <c r="AT177" s="789" t="str">
        <f t="shared" si="87"/>
        <v/>
      </c>
      <c r="AU177" s="789" t="str">
        <f t="shared" si="88"/>
        <v/>
      </c>
      <c r="AW177" s="535" t="s">
        <v>263</v>
      </c>
      <c r="AX177" s="789">
        <f t="shared" si="89"/>
        <v>0</v>
      </c>
      <c r="AY177" s="789" t="str">
        <f t="shared" si="90"/>
        <v/>
      </c>
      <c r="AZ177" s="789" t="str">
        <f t="shared" si="91"/>
        <v/>
      </c>
      <c r="BA177" s="789" t="str">
        <f t="shared" si="92"/>
        <v/>
      </c>
      <c r="BB177" s="789" t="str">
        <f t="shared" si="93"/>
        <v/>
      </c>
      <c r="BC177" s="789" t="str">
        <f t="shared" si="94"/>
        <v/>
      </c>
      <c r="BE177" s="535" t="s">
        <v>263</v>
      </c>
      <c r="BF177" s="789">
        <f t="shared" si="95"/>
        <v>0</v>
      </c>
      <c r="BG177" s="789" t="str">
        <f t="shared" si="96"/>
        <v/>
      </c>
      <c r="BH177" s="789" t="str">
        <f t="shared" si="97"/>
        <v/>
      </c>
      <c r="BI177" s="789" t="str">
        <f t="shared" si="98"/>
        <v/>
      </c>
      <c r="BJ177" s="789" t="str">
        <f t="shared" si="99"/>
        <v/>
      </c>
      <c r="BK177" s="789" t="str">
        <f t="shared" si="100"/>
        <v/>
      </c>
      <c r="BM177" s="535" t="s">
        <v>263</v>
      </c>
      <c r="BN177" s="789">
        <f t="shared" si="101"/>
        <v>0</v>
      </c>
      <c r="BO177" s="789" t="str">
        <f t="shared" si="102"/>
        <v/>
      </c>
      <c r="BP177" s="789" t="str">
        <f t="shared" si="103"/>
        <v/>
      </c>
      <c r="BQ177" s="789" t="str">
        <f t="shared" si="104"/>
        <v/>
      </c>
      <c r="BR177" s="789" t="str">
        <f t="shared" si="105"/>
        <v/>
      </c>
      <c r="BS177" s="789" t="str">
        <f t="shared" si="106"/>
        <v/>
      </c>
      <c r="BU177" s="535" t="s">
        <v>263</v>
      </c>
      <c r="BV177" s="789">
        <f t="shared" si="107"/>
        <v>0</v>
      </c>
      <c r="BW177" s="789" t="str">
        <f t="shared" si="108"/>
        <v/>
      </c>
      <c r="BX177" s="789" t="str">
        <f t="shared" si="109"/>
        <v/>
      </c>
      <c r="BY177" s="789" t="str">
        <f t="shared" si="110"/>
        <v/>
      </c>
      <c r="BZ177" s="789" t="str">
        <f t="shared" si="111"/>
        <v/>
      </c>
      <c r="CA177" s="789" t="str">
        <f t="shared" si="112"/>
        <v/>
      </c>
      <c r="CC177" s="535" t="s">
        <v>263</v>
      </c>
      <c r="CD177" s="789">
        <f t="shared" si="113"/>
        <v>0</v>
      </c>
      <c r="CE177" s="789" t="str">
        <f t="shared" si="114"/>
        <v/>
      </c>
      <c r="CF177" s="789" t="str">
        <f t="shared" si="115"/>
        <v/>
      </c>
      <c r="CG177" s="789" t="str">
        <f t="shared" si="116"/>
        <v/>
      </c>
      <c r="CH177" s="789" t="str">
        <f t="shared" si="117"/>
        <v/>
      </c>
      <c r="CI177" s="789" t="str">
        <f t="shared" si="118"/>
        <v/>
      </c>
      <c r="CK177" s="535" t="s">
        <v>263</v>
      </c>
      <c r="CL177" s="789">
        <f t="shared" si="119"/>
        <v>0</v>
      </c>
      <c r="CM177" s="789" t="str">
        <f t="shared" si="120"/>
        <v/>
      </c>
      <c r="CN177" s="789" t="str">
        <f t="shared" si="121"/>
        <v/>
      </c>
      <c r="CO177" s="789" t="str">
        <f t="shared" si="122"/>
        <v/>
      </c>
      <c r="CP177" s="789" t="str">
        <f t="shared" si="123"/>
        <v/>
      </c>
      <c r="CQ177" s="789" t="str">
        <f t="shared" si="124"/>
        <v/>
      </c>
    </row>
    <row r="178" spans="1:95">
      <c r="A178" s="535" t="s">
        <v>449</v>
      </c>
      <c r="B178" s="789">
        <f t="shared" ref="B178:G178" si="141">IF(B116&gt;0,INDEX($D$54:$D$94,B116,1),"")</f>
        <v>0</v>
      </c>
      <c r="C178" s="789">
        <f t="shared" si="141"/>
        <v>0</v>
      </c>
      <c r="D178" s="789" t="str">
        <f t="shared" si="141"/>
        <v/>
      </c>
      <c r="E178" s="789" t="str">
        <f t="shared" si="141"/>
        <v/>
      </c>
      <c r="F178" s="789" t="str">
        <f t="shared" si="141"/>
        <v/>
      </c>
      <c r="G178" s="789" t="str">
        <f t="shared" si="141"/>
        <v/>
      </c>
      <c r="I178" s="535" t="s">
        <v>449</v>
      </c>
      <c r="J178" s="789">
        <f t="shared" si="59"/>
        <v>0</v>
      </c>
      <c r="K178" s="789">
        <f t="shared" si="60"/>
        <v>0</v>
      </c>
      <c r="L178" s="789" t="str">
        <f t="shared" si="61"/>
        <v/>
      </c>
      <c r="M178" s="789" t="str">
        <f t="shared" si="62"/>
        <v/>
      </c>
      <c r="N178" s="789" t="str">
        <f t="shared" si="63"/>
        <v/>
      </c>
      <c r="O178" s="789" t="str">
        <f t="shared" si="64"/>
        <v/>
      </c>
      <c r="Q178" s="535" t="s">
        <v>449</v>
      </c>
      <c r="R178" s="789">
        <f t="shared" si="65"/>
        <v>0</v>
      </c>
      <c r="S178" s="789">
        <f t="shared" si="66"/>
        <v>0</v>
      </c>
      <c r="T178" s="789" t="str">
        <f t="shared" si="67"/>
        <v/>
      </c>
      <c r="U178" s="789" t="str">
        <f t="shared" si="68"/>
        <v/>
      </c>
      <c r="V178" s="789" t="str">
        <f t="shared" si="69"/>
        <v/>
      </c>
      <c r="W178" s="789" t="str">
        <f t="shared" si="70"/>
        <v/>
      </c>
      <c r="Y178" s="535" t="s">
        <v>449</v>
      </c>
      <c r="Z178" s="789">
        <f t="shared" si="71"/>
        <v>0</v>
      </c>
      <c r="AA178" s="789">
        <f t="shared" si="72"/>
        <v>0</v>
      </c>
      <c r="AB178" s="789" t="str">
        <f t="shared" si="73"/>
        <v/>
      </c>
      <c r="AC178" s="789" t="str">
        <f t="shared" si="74"/>
        <v/>
      </c>
      <c r="AD178" s="789" t="str">
        <f t="shared" si="75"/>
        <v/>
      </c>
      <c r="AE178" s="789" t="str">
        <f t="shared" si="76"/>
        <v/>
      </c>
      <c r="AG178" s="535" t="s">
        <v>449</v>
      </c>
      <c r="AH178" s="789">
        <f t="shared" si="77"/>
        <v>0</v>
      </c>
      <c r="AI178" s="789">
        <f t="shared" si="78"/>
        <v>0</v>
      </c>
      <c r="AJ178" s="789" t="str">
        <f t="shared" si="79"/>
        <v/>
      </c>
      <c r="AK178" s="789" t="str">
        <f t="shared" si="80"/>
        <v/>
      </c>
      <c r="AL178" s="789" t="str">
        <f t="shared" si="81"/>
        <v/>
      </c>
      <c r="AM178" s="789" t="str">
        <f t="shared" si="82"/>
        <v/>
      </c>
      <c r="AO178" s="535" t="s">
        <v>449</v>
      </c>
      <c r="AP178" s="789">
        <f t="shared" si="83"/>
        <v>0</v>
      </c>
      <c r="AQ178" s="789">
        <f t="shared" si="84"/>
        <v>0</v>
      </c>
      <c r="AR178" s="789" t="str">
        <f t="shared" si="85"/>
        <v/>
      </c>
      <c r="AS178" s="789" t="str">
        <f t="shared" si="86"/>
        <v/>
      </c>
      <c r="AT178" s="789" t="str">
        <f t="shared" si="87"/>
        <v/>
      </c>
      <c r="AU178" s="789" t="str">
        <f t="shared" si="88"/>
        <v/>
      </c>
      <c r="AW178" s="535" t="s">
        <v>449</v>
      </c>
      <c r="AX178" s="789">
        <f t="shared" si="89"/>
        <v>0</v>
      </c>
      <c r="AY178" s="789">
        <f t="shared" si="90"/>
        <v>0</v>
      </c>
      <c r="AZ178" s="789" t="str">
        <f t="shared" si="91"/>
        <v/>
      </c>
      <c r="BA178" s="789" t="str">
        <f t="shared" si="92"/>
        <v/>
      </c>
      <c r="BB178" s="789" t="str">
        <f t="shared" si="93"/>
        <v/>
      </c>
      <c r="BC178" s="789" t="str">
        <f t="shared" si="94"/>
        <v/>
      </c>
      <c r="BE178" s="535" t="s">
        <v>449</v>
      </c>
      <c r="BF178" s="789">
        <f t="shared" si="95"/>
        <v>0</v>
      </c>
      <c r="BG178" s="789">
        <f t="shared" si="96"/>
        <v>0</v>
      </c>
      <c r="BH178" s="789" t="str">
        <f t="shared" si="97"/>
        <v/>
      </c>
      <c r="BI178" s="789" t="str">
        <f t="shared" si="98"/>
        <v/>
      </c>
      <c r="BJ178" s="789" t="str">
        <f t="shared" si="99"/>
        <v/>
      </c>
      <c r="BK178" s="789" t="str">
        <f t="shared" si="100"/>
        <v/>
      </c>
      <c r="BM178" s="535" t="s">
        <v>449</v>
      </c>
      <c r="BN178" s="789">
        <f t="shared" si="101"/>
        <v>0</v>
      </c>
      <c r="BO178" s="789">
        <f t="shared" si="102"/>
        <v>0</v>
      </c>
      <c r="BP178" s="789" t="str">
        <f t="shared" si="103"/>
        <v/>
      </c>
      <c r="BQ178" s="789" t="str">
        <f t="shared" si="104"/>
        <v/>
      </c>
      <c r="BR178" s="789" t="str">
        <f t="shared" si="105"/>
        <v/>
      </c>
      <c r="BS178" s="789" t="str">
        <f t="shared" si="106"/>
        <v/>
      </c>
      <c r="BU178" s="535" t="s">
        <v>449</v>
      </c>
      <c r="BV178" s="789">
        <f t="shared" si="107"/>
        <v>0</v>
      </c>
      <c r="BW178" s="789">
        <f t="shared" si="108"/>
        <v>0</v>
      </c>
      <c r="BX178" s="789" t="str">
        <f t="shared" si="109"/>
        <v/>
      </c>
      <c r="BY178" s="789" t="str">
        <f t="shared" si="110"/>
        <v/>
      </c>
      <c r="BZ178" s="789" t="str">
        <f t="shared" si="111"/>
        <v/>
      </c>
      <c r="CA178" s="789" t="str">
        <f t="shared" si="112"/>
        <v/>
      </c>
      <c r="CC178" s="535" t="s">
        <v>449</v>
      </c>
      <c r="CD178" s="789">
        <f t="shared" si="113"/>
        <v>0</v>
      </c>
      <c r="CE178" s="789">
        <f t="shared" si="114"/>
        <v>0</v>
      </c>
      <c r="CF178" s="789" t="str">
        <f t="shared" si="115"/>
        <v/>
      </c>
      <c r="CG178" s="789" t="str">
        <f t="shared" si="116"/>
        <v/>
      </c>
      <c r="CH178" s="789" t="str">
        <f t="shared" si="117"/>
        <v/>
      </c>
      <c r="CI178" s="789" t="str">
        <f t="shared" si="118"/>
        <v/>
      </c>
      <c r="CK178" s="535" t="s">
        <v>449</v>
      </c>
      <c r="CL178" s="789">
        <f t="shared" si="119"/>
        <v>0</v>
      </c>
      <c r="CM178" s="789">
        <f t="shared" si="120"/>
        <v>0</v>
      </c>
      <c r="CN178" s="789" t="str">
        <f t="shared" si="121"/>
        <v/>
      </c>
      <c r="CO178" s="789" t="str">
        <f t="shared" si="122"/>
        <v/>
      </c>
      <c r="CP178" s="789" t="str">
        <f t="shared" si="123"/>
        <v/>
      </c>
      <c r="CQ178" s="789" t="str">
        <f t="shared" si="124"/>
        <v/>
      </c>
    </row>
    <row r="179" spans="1:95">
      <c r="A179" s="535" t="s">
        <v>434</v>
      </c>
      <c r="B179" s="789">
        <f t="shared" ref="B179:G179" si="142">IF(B117&gt;0,INDEX($D$54:$D$94,B117,1),"")</f>
        <v>0</v>
      </c>
      <c r="C179" s="789" t="str">
        <f t="shared" si="142"/>
        <v/>
      </c>
      <c r="D179" s="789" t="str">
        <f t="shared" si="142"/>
        <v/>
      </c>
      <c r="E179" s="789" t="str">
        <f t="shared" si="142"/>
        <v/>
      </c>
      <c r="F179" s="789" t="str">
        <f t="shared" si="142"/>
        <v/>
      </c>
      <c r="G179" s="789" t="str">
        <f t="shared" si="142"/>
        <v/>
      </c>
      <c r="I179" s="535" t="s">
        <v>434</v>
      </c>
      <c r="J179" s="789">
        <f t="shared" si="59"/>
        <v>0</v>
      </c>
      <c r="K179" s="789" t="str">
        <f t="shared" si="60"/>
        <v/>
      </c>
      <c r="L179" s="789" t="str">
        <f t="shared" si="61"/>
        <v/>
      </c>
      <c r="M179" s="789" t="str">
        <f t="shared" si="62"/>
        <v/>
      </c>
      <c r="N179" s="789" t="str">
        <f t="shared" si="63"/>
        <v/>
      </c>
      <c r="O179" s="789" t="str">
        <f t="shared" si="64"/>
        <v/>
      </c>
      <c r="Q179" s="535" t="s">
        <v>434</v>
      </c>
      <c r="R179" s="789">
        <f t="shared" si="65"/>
        <v>0</v>
      </c>
      <c r="S179" s="789" t="str">
        <f t="shared" si="66"/>
        <v/>
      </c>
      <c r="T179" s="789" t="str">
        <f t="shared" si="67"/>
        <v/>
      </c>
      <c r="U179" s="789" t="str">
        <f t="shared" si="68"/>
        <v/>
      </c>
      <c r="V179" s="789" t="str">
        <f t="shared" si="69"/>
        <v/>
      </c>
      <c r="W179" s="789" t="str">
        <f t="shared" si="70"/>
        <v/>
      </c>
      <c r="Y179" s="535" t="s">
        <v>434</v>
      </c>
      <c r="Z179" s="789">
        <f t="shared" si="71"/>
        <v>0</v>
      </c>
      <c r="AA179" s="789" t="str">
        <f t="shared" si="72"/>
        <v/>
      </c>
      <c r="AB179" s="789" t="str">
        <f t="shared" si="73"/>
        <v/>
      </c>
      <c r="AC179" s="789" t="str">
        <f t="shared" si="74"/>
        <v/>
      </c>
      <c r="AD179" s="789" t="str">
        <f t="shared" si="75"/>
        <v/>
      </c>
      <c r="AE179" s="789" t="str">
        <f t="shared" si="76"/>
        <v/>
      </c>
      <c r="AG179" s="535" t="s">
        <v>434</v>
      </c>
      <c r="AH179" s="789">
        <f t="shared" si="77"/>
        <v>0</v>
      </c>
      <c r="AI179" s="789" t="str">
        <f t="shared" si="78"/>
        <v/>
      </c>
      <c r="AJ179" s="789" t="str">
        <f t="shared" si="79"/>
        <v/>
      </c>
      <c r="AK179" s="789" t="str">
        <f t="shared" si="80"/>
        <v/>
      </c>
      <c r="AL179" s="789" t="str">
        <f t="shared" si="81"/>
        <v/>
      </c>
      <c r="AM179" s="789" t="str">
        <f t="shared" si="82"/>
        <v/>
      </c>
      <c r="AO179" s="535" t="s">
        <v>434</v>
      </c>
      <c r="AP179" s="789">
        <f t="shared" si="83"/>
        <v>0</v>
      </c>
      <c r="AQ179" s="789" t="str">
        <f t="shared" si="84"/>
        <v/>
      </c>
      <c r="AR179" s="789" t="str">
        <f t="shared" si="85"/>
        <v/>
      </c>
      <c r="AS179" s="789" t="str">
        <f t="shared" si="86"/>
        <v/>
      </c>
      <c r="AT179" s="789" t="str">
        <f t="shared" si="87"/>
        <v/>
      </c>
      <c r="AU179" s="789" t="str">
        <f t="shared" si="88"/>
        <v/>
      </c>
      <c r="AW179" s="535" t="s">
        <v>434</v>
      </c>
      <c r="AX179" s="789">
        <f t="shared" si="89"/>
        <v>0</v>
      </c>
      <c r="AY179" s="789" t="str">
        <f t="shared" si="90"/>
        <v/>
      </c>
      <c r="AZ179" s="789" t="str">
        <f t="shared" si="91"/>
        <v/>
      </c>
      <c r="BA179" s="789" t="str">
        <f t="shared" si="92"/>
        <v/>
      </c>
      <c r="BB179" s="789" t="str">
        <f t="shared" si="93"/>
        <v/>
      </c>
      <c r="BC179" s="789" t="str">
        <f t="shared" si="94"/>
        <v/>
      </c>
      <c r="BE179" s="535" t="s">
        <v>434</v>
      </c>
      <c r="BF179" s="789">
        <f t="shared" si="95"/>
        <v>0</v>
      </c>
      <c r="BG179" s="789" t="str">
        <f t="shared" si="96"/>
        <v/>
      </c>
      <c r="BH179" s="789" t="str">
        <f t="shared" si="97"/>
        <v/>
      </c>
      <c r="BI179" s="789" t="str">
        <f t="shared" si="98"/>
        <v/>
      </c>
      <c r="BJ179" s="789" t="str">
        <f t="shared" si="99"/>
        <v/>
      </c>
      <c r="BK179" s="789" t="str">
        <f t="shared" si="100"/>
        <v/>
      </c>
      <c r="BM179" s="535" t="s">
        <v>434</v>
      </c>
      <c r="BN179" s="789">
        <f t="shared" si="101"/>
        <v>0</v>
      </c>
      <c r="BO179" s="789" t="str">
        <f t="shared" si="102"/>
        <v/>
      </c>
      <c r="BP179" s="789" t="str">
        <f t="shared" si="103"/>
        <v/>
      </c>
      <c r="BQ179" s="789" t="str">
        <f t="shared" si="104"/>
        <v/>
      </c>
      <c r="BR179" s="789" t="str">
        <f t="shared" si="105"/>
        <v/>
      </c>
      <c r="BS179" s="789" t="str">
        <f t="shared" si="106"/>
        <v/>
      </c>
      <c r="BU179" s="535" t="s">
        <v>434</v>
      </c>
      <c r="BV179" s="789">
        <f t="shared" si="107"/>
        <v>0</v>
      </c>
      <c r="BW179" s="789" t="str">
        <f t="shared" si="108"/>
        <v/>
      </c>
      <c r="BX179" s="789" t="str">
        <f t="shared" si="109"/>
        <v/>
      </c>
      <c r="BY179" s="789" t="str">
        <f t="shared" si="110"/>
        <v/>
      </c>
      <c r="BZ179" s="789" t="str">
        <f t="shared" si="111"/>
        <v/>
      </c>
      <c r="CA179" s="789" t="str">
        <f t="shared" si="112"/>
        <v/>
      </c>
      <c r="CC179" s="535" t="s">
        <v>434</v>
      </c>
      <c r="CD179" s="789">
        <f t="shared" si="113"/>
        <v>0</v>
      </c>
      <c r="CE179" s="789" t="str">
        <f t="shared" si="114"/>
        <v/>
      </c>
      <c r="CF179" s="789" t="str">
        <f t="shared" si="115"/>
        <v/>
      </c>
      <c r="CG179" s="789" t="str">
        <f t="shared" si="116"/>
        <v/>
      </c>
      <c r="CH179" s="789" t="str">
        <f t="shared" si="117"/>
        <v/>
      </c>
      <c r="CI179" s="789" t="str">
        <f t="shared" si="118"/>
        <v/>
      </c>
      <c r="CK179" s="535" t="s">
        <v>434</v>
      </c>
      <c r="CL179" s="789">
        <f t="shared" si="119"/>
        <v>0</v>
      </c>
      <c r="CM179" s="789" t="str">
        <f t="shared" si="120"/>
        <v/>
      </c>
      <c r="CN179" s="789" t="str">
        <f t="shared" si="121"/>
        <v/>
      </c>
      <c r="CO179" s="789" t="str">
        <f t="shared" si="122"/>
        <v/>
      </c>
      <c r="CP179" s="789" t="str">
        <f t="shared" si="123"/>
        <v/>
      </c>
      <c r="CQ179" s="789" t="str">
        <f t="shared" si="124"/>
        <v/>
      </c>
    </row>
    <row r="180" spans="1:95">
      <c r="A180" s="535" t="s">
        <v>454</v>
      </c>
      <c r="B180" s="789">
        <f t="shared" ref="B180:G180" si="143">IF(B118&gt;0,INDEX($D$54:$D$94,B118,1),"")</f>
        <v>0</v>
      </c>
      <c r="C180" s="789">
        <f t="shared" si="143"/>
        <v>0</v>
      </c>
      <c r="D180" s="789">
        <f t="shared" si="143"/>
        <v>0</v>
      </c>
      <c r="E180" s="789">
        <f t="shared" si="143"/>
        <v>0</v>
      </c>
      <c r="F180" s="789">
        <f t="shared" si="143"/>
        <v>2</v>
      </c>
      <c r="G180" s="789" t="str">
        <f t="shared" si="143"/>
        <v/>
      </c>
      <c r="I180" s="535" t="s">
        <v>454</v>
      </c>
      <c r="J180" s="789">
        <f t="shared" si="59"/>
        <v>0</v>
      </c>
      <c r="K180" s="789">
        <f t="shared" si="60"/>
        <v>0</v>
      </c>
      <c r="L180" s="789">
        <f t="shared" si="61"/>
        <v>0</v>
      </c>
      <c r="M180" s="789">
        <f t="shared" si="62"/>
        <v>0</v>
      </c>
      <c r="N180" s="789">
        <f t="shared" si="63"/>
        <v>2</v>
      </c>
      <c r="O180" s="789" t="str">
        <f t="shared" si="64"/>
        <v/>
      </c>
      <c r="Q180" s="535" t="s">
        <v>454</v>
      </c>
      <c r="R180" s="789">
        <f t="shared" si="65"/>
        <v>0</v>
      </c>
      <c r="S180" s="789">
        <f t="shared" si="66"/>
        <v>0</v>
      </c>
      <c r="T180" s="789">
        <f t="shared" si="67"/>
        <v>0</v>
      </c>
      <c r="U180" s="789">
        <f t="shared" si="68"/>
        <v>0</v>
      </c>
      <c r="V180" s="789">
        <f t="shared" si="69"/>
        <v>2</v>
      </c>
      <c r="W180" s="789" t="str">
        <f t="shared" si="70"/>
        <v/>
      </c>
      <c r="Y180" s="535" t="s">
        <v>454</v>
      </c>
      <c r="Z180" s="789">
        <f t="shared" si="71"/>
        <v>0</v>
      </c>
      <c r="AA180" s="789">
        <f t="shared" si="72"/>
        <v>0</v>
      </c>
      <c r="AB180" s="789">
        <f t="shared" si="73"/>
        <v>0</v>
      </c>
      <c r="AC180" s="789">
        <f t="shared" si="74"/>
        <v>0</v>
      </c>
      <c r="AD180" s="789">
        <f t="shared" si="75"/>
        <v>2</v>
      </c>
      <c r="AE180" s="789" t="str">
        <f t="shared" si="76"/>
        <v/>
      </c>
      <c r="AG180" s="535" t="s">
        <v>454</v>
      </c>
      <c r="AH180" s="789">
        <f t="shared" si="77"/>
        <v>0</v>
      </c>
      <c r="AI180" s="789">
        <f t="shared" si="78"/>
        <v>0</v>
      </c>
      <c r="AJ180" s="789">
        <f t="shared" si="79"/>
        <v>0</v>
      </c>
      <c r="AK180" s="789">
        <f t="shared" si="80"/>
        <v>0</v>
      </c>
      <c r="AL180" s="789">
        <f t="shared" si="81"/>
        <v>2</v>
      </c>
      <c r="AM180" s="789" t="str">
        <f t="shared" si="82"/>
        <v/>
      </c>
      <c r="AO180" s="535" t="s">
        <v>454</v>
      </c>
      <c r="AP180" s="789">
        <f t="shared" si="83"/>
        <v>0</v>
      </c>
      <c r="AQ180" s="789">
        <f t="shared" si="84"/>
        <v>0</v>
      </c>
      <c r="AR180" s="789">
        <f t="shared" si="85"/>
        <v>0</v>
      </c>
      <c r="AS180" s="789">
        <f t="shared" si="86"/>
        <v>0</v>
      </c>
      <c r="AT180" s="789">
        <f t="shared" si="87"/>
        <v>2</v>
      </c>
      <c r="AU180" s="789" t="str">
        <f t="shared" si="88"/>
        <v/>
      </c>
      <c r="AW180" s="535" t="s">
        <v>454</v>
      </c>
      <c r="AX180" s="789">
        <f t="shared" si="89"/>
        <v>0</v>
      </c>
      <c r="AY180" s="789">
        <f t="shared" si="90"/>
        <v>0</v>
      </c>
      <c r="AZ180" s="789">
        <f t="shared" si="91"/>
        <v>0</v>
      </c>
      <c r="BA180" s="789">
        <f t="shared" si="92"/>
        <v>0</v>
      </c>
      <c r="BB180" s="789">
        <f t="shared" si="93"/>
        <v>2</v>
      </c>
      <c r="BC180" s="789" t="str">
        <f t="shared" si="94"/>
        <v/>
      </c>
      <c r="BE180" s="535" t="s">
        <v>454</v>
      </c>
      <c r="BF180" s="789">
        <f t="shared" si="95"/>
        <v>0</v>
      </c>
      <c r="BG180" s="789">
        <f t="shared" si="96"/>
        <v>0</v>
      </c>
      <c r="BH180" s="789">
        <f t="shared" si="97"/>
        <v>0</v>
      </c>
      <c r="BI180" s="789">
        <f t="shared" si="98"/>
        <v>0</v>
      </c>
      <c r="BJ180" s="789">
        <f t="shared" si="99"/>
        <v>2</v>
      </c>
      <c r="BK180" s="789" t="str">
        <f t="shared" si="100"/>
        <v/>
      </c>
      <c r="BM180" s="535" t="s">
        <v>454</v>
      </c>
      <c r="BN180" s="789">
        <f t="shared" si="101"/>
        <v>0</v>
      </c>
      <c r="BO180" s="789">
        <f t="shared" si="102"/>
        <v>0</v>
      </c>
      <c r="BP180" s="789">
        <f t="shared" si="103"/>
        <v>0</v>
      </c>
      <c r="BQ180" s="789">
        <f t="shared" si="104"/>
        <v>0</v>
      </c>
      <c r="BR180" s="789">
        <f t="shared" si="105"/>
        <v>2</v>
      </c>
      <c r="BS180" s="789" t="str">
        <f t="shared" si="106"/>
        <v/>
      </c>
      <c r="BU180" s="535" t="s">
        <v>454</v>
      </c>
      <c r="BV180" s="789">
        <f t="shared" si="107"/>
        <v>0</v>
      </c>
      <c r="BW180" s="789">
        <f t="shared" si="108"/>
        <v>0</v>
      </c>
      <c r="BX180" s="789">
        <f t="shared" si="109"/>
        <v>0</v>
      </c>
      <c r="BY180" s="789">
        <f t="shared" si="110"/>
        <v>0</v>
      </c>
      <c r="BZ180" s="789">
        <f t="shared" si="111"/>
        <v>2</v>
      </c>
      <c r="CA180" s="789" t="str">
        <f t="shared" si="112"/>
        <v/>
      </c>
      <c r="CC180" s="535" t="s">
        <v>454</v>
      </c>
      <c r="CD180" s="789">
        <f t="shared" si="113"/>
        <v>0</v>
      </c>
      <c r="CE180" s="789">
        <f t="shared" si="114"/>
        <v>0</v>
      </c>
      <c r="CF180" s="789">
        <f t="shared" si="115"/>
        <v>0</v>
      </c>
      <c r="CG180" s="789">
        <f t="shared" si="116"/>
        <v>0</v>
      </c>
      <c r="CH180" s="789">
        <f t="shared" si="117"/>
        <v>2</v>
      </c>
      <c r="CI180" s="789" t="str">
        <f t="shared" si="118"/>
        <v/>
      </c>
      <c r="CK180" s="535" t="s">
        <v>454</v>
      </c>
      <c r="CL180" s="789">
        <f t="shared" si="119"/>
        <v>0</v>
      </c>
      <c r="CM180" s="789">
        <f t="shared" si="120"/>
        <v>0</v>
      </c>
      <c r="CN180" s="789">
        <f t="shared" si="121"/>
        <v>0</v>
      </c>
      <c r="CO180" s="789">
        <f t="shared" si="122"/>
        <v>0</v>
      </c>
      <c r="CP180" s="789">
        <f t="shared" si="123"/>
        <v>2</v>
      </c>
      <c r="CQ180" s="789" t="str">
        <f t="shared" si="124"/>
        <v/>
      </c>
    </row>
    <row r="181" spans="1:95">
      <c r="A181" s="535" t="s">
        <v>452</v>
      </c>
      <c r="B181" s="789">
        <f t="shared" ref="B181:G181" si="144">IF(B119&gt;0,INDEX($D$54:$D$94,B119,1),"")</f>
        <v>0</v>
      </c>
      <c r="C181" s="789" t="str">
        <f t="shared" si="144"/>
        <v/>
      </c>
      <c r="D181" s="789" t="str">
        <f t="shared" si="144"/>
        <v/>
      </c>
      <c r="E181" s="789" t="str">
        <f t="shared" si="144"/>
        <v/>
      </c>
      <c r="F181" s="789" t="str">
        <f t="shared" si="144"/>
        <v/>
      </c>
      <c r="G181" s="789" t="str">
        <f t="shared" si="144"/>
        <v/>
      </c>
      <c r="I181" s="535" t="s">
        <v>452</v>
      </c>
      <c r="J181" s="789">
        <f t="shared" si="59"/>
        <v>0</v>
      </c>
      <c r="K181" s="789" t="str">
        <f t="shared" si="60"/>
        <v/>
      </c>
      <c r="L181" s="789" t="str">
        <f t="shared" si="61"/>
        <v/>
      </c>
      <c r="M181" s="789" t="str">
        <f t="shared" si="62"/>
        <v/>
      </c>
      <c r="N181" s="789" t="str">
        <f t="shared" si="63"/>
        <v/>
      </c>
      <c r="O181" s="789" t="str">
        <f t="shared" si="64"/>
        <v/>
      </c>
      <c r="Q181" s="535" t="s">
        <v>452</v>
      </c>
      <c r="R181" s="789">
        <f t="shared" si="65"/>
        <v>0</v>
      </c>
      <c r="S181" s="789" t="str">
        <f t="shared" si="66"/>
        <v/>
      </c>
      <c r="T181" s="789" t="str">
        <f t="shared" si="67"/>
        <v/>
      </c>
      <c r="U181" s="789" t="str">
        <f t="shared" si="68"/>
        <v/>
      </c>
      <c r="V181" s="789" t="str">
        <f t="shared" si="69"/>
        <v/>
      </c>
      <c r="W181" s="789" t="str">
        <f t="shared" si="70"/>
        <v/>
      </c>
      <c r="Y181" s="535" t="s">
        <v>452</v>
      </c>
      <c r="Z181" s="789">
        <f t="shared" si="71"/>
        <v>0</v>
      </c>
      <c r="AA181" s="789" t="str">
        <f t="shared" si="72"/>
        <v/>
      </c>
      <c r="AB181" s="789" t="str">
        <f t="shared" si="73"/>
        <v/>
      </c>
      <c r="AC181" s="789" t="str">
        <f t="shared" si="74"/>
        <v/>
      </c>
      <c r="AD181" s="789" t="str">
        <f t="shared" si="75"/>
        <v/>
      </c>
      <c r="AE181" s="789" t="str">
        <f t="shared" si="76"/>
        <v/>
      </c>
      <c r="AG181" s="535" t="s">
        <v>452</v>
      </c>
      <c r="AH181" s="789">
        <f t="shared" si="77"/>
        <v>0</v>
      </c>
      <c r="AI181" s="789" t="str">
        <f t="shared" si="78"/>
        <v/>
      </c>
      <c r="AJ181" s="789" t="str">
        <f t="shared" si="79"/>
        <v/>
      </c>
      <c r="AK181" s="789" t="str">
        <f t="shared" si="80"/>
        <v/>
      </c>
      <c r="AL181" s="789" t="str">
        <f t="shared" si="81"/>
        <v/>
      </c>
      <c r="AM181" s="789" t="str">
        <f t="shared" si="82"/>
        <v/>
      </c>
      <c r="AO181" s="535" t="s">
        <v>452</v>
      </c>
      <c r="AP181" s="789">
        <f t="shared" si="83"/>
        <v>0</v>
      </c>
      <c r="AQ181" s="789" t="str">
        <f t="shared" si="84"/>
        <v/>
      </c>
      <c r="AR181" s="789" t="str">
        <f t="shared" si="85"/>
        <v/>
      </c>
      <c r="AS181" s="789" t="str">
        <f t="shared" si="86"/>
        <v/>
      </c>
      <c r="AT181" s="789" t="str">
        <f t="shared" si="87"/>
        <v/>
      </c>
      <c r="AU181" s="789" t="str">
        <f t="shared" si="88"/>
        <v/>
      </c>
      <c r="AW181" s="535" t="s">
        <v>452</v>
      </c>
      <c r="AX181" s="789">
        <f t="shared" si="89"/>
        <v>0</v>
      </c>
      <c r="AY181" s="789" t="str">
        <f t="shared" si="90"/>
        <v/>
      </c>
      <c r="AZ181" s="789" t="str">
        <f t="shared" si="91"/>
        <v/>
      </c>
      <c r="BA181" s="789" t="str">
        <f t="shared" si="92"/>
        <v/>
      </c>
      <c r="BB181" s="789" t="str">
        <f t="shared" si="93"/>
        <v/>
      </c>
      <c r="BC181" s="789" t="str">
        <f t="shared" si="94"/>
        <v/>
      </c>
      <c r="BE181" s="535" t="s">
        <v>452</v>
      </c>
      <c r="BF181" s="789">
        <f t="shared" si="95"/>
        <v>0</v>
      </c>
      <c r="BG181" s="789" t="str">
        <f t="shared" si="96"/>
        <v/>
      </c>
      <c r="BH181" s="789" t="str">
        <f t="shared" si="97"/>
        <v/>
      </c>
      <c r="BI181" s="789" t="str">
        <f t="shared" si="98"/>
        <v/>
      </c>
      <c r="BJ181" s="789" t="str">
        <f t="shared" si="99"/>
        <v/>
      </c>
      <c r="BK181" s="789" t="str">
        <f t="shared" si="100"/>
        <v/>
      </c>
      <c r="BM181" s="535" t="s">
        <v>452</v>
      </c>
      <c r="BN181" s="789">
        <f t="shared" si="101"/>
        <v>0</v>
      </c>
      <c r="BO181" s="789" t="str">
        <f t="shared" si="102"/>
        <v/>
      </c>
      <c r="BP181" s="789" t="str">
        <f t="shared" si="103"/>
        <v/>
      </c>
      <c r="BQ181" s="789" t="str">
        <f t="shared" si="104"/>
        <v/>
      </c>
      <c r="BR181" s="789" t="str">
        <f t="shared" si="105"/>
        <v/>
      </c>
      <c r="BS181" s="789" t="str">
        <f t="shared" si="106"/>
        <v/>
      </c>
      <c r="BU181" s="535" t="s">
        <v>452</v>
      </c>
      <c r="BV181" s="789">
        <f t="shared" si="107"/>
        <v>0</v>
      </c>
      <c r="BW181" s="789" t="str">
        <f t="shared" si="108"/>
        <v/>
      </c>
      <c r="BX181" s="789" t="str">
        <f t="shared" si="109"/>
        <v/>
      </c>
      <c r="BY181" s="789" t="str">
        <f t="shared" si="110"/>
        <v/>
      </c>
      <c r="BZ181" s="789" t="str">
        <f t="shared" si="111"/>
        <v/>
      </c>
      <c r="CA181" s="789" t="str">
        <f t="shared" si="112"/>
        <v/>
      </c>
      <c r="CC181" s="535" t="s">
        <v>452</v>
      </c>
      <c r="CD181" s="789">
        <f t="shared" si="113"/>
        <v>0</v>
      </c>
      <c r="CE181" s="789" t="str">
        <f t="shared" si="114"/>
        <v/>
      </c>
      <c r="CF181" s="789" t="str">
        <f t="shared" si="115"/>
        <v/>
      </c>
      <c r="CG181" s="789" t="str">
        <f t="shared" si="116"/>
        <v/>
      </c>
      <c r="CH181" s="789" t="str">
        <f t="shared" si="117"/>
        <v/>
      </c>
      <c r="CI181" s="789" t="str">
        <f t="shared" si="118"/>
        <v/>
      </c>
      <c r="CK181" s="535" t="s">
        <v>452</v>
      </c>
      <c r="CL181" s="789">
        <f t="shared" si="119"/>
        <v>0</v>
      </c>
      <c r="CM181" s="789" t="str">
        <f t="shared" si="120"/>
        <v/>
      </c>
      <c r="CN181" s="789" t="str">
        <f t="shared" si="121"/>
        <v/>
      </c>
      <c r="CO181" s="789" t="str">
        <f t="shared" si="122"/>
        <v/>
      </c>
      <c r="CP181" s="789" t="str">
        <f t="shared" si="123"/>
        <v/>
      </c>
      <c r="CQ181" s="789" t="str">
        <f t="shared" si="124"/>
        <v/>
      </c>
    </row>
    <row r="182" spans="1:95">
      <c r="A182" s="535" t="s">
        <v>615</v>
      </c>
      <c r="B182" s="789">
        <f t="shared" ref="B182:G182" si="145">IF(B120&gt;0,INDEX($D$54:$D$94,B120,1),"")</f>
        <v>0</v>
      </c>
      <c r="C182" s="789">
        <f t="shared" si="145"/>
        <v>0</v>
      </c>
      <c r="D182" s="789">
        <f t="shared" si="145"/>
        <v>0</v>
      </c>
      <c r="E182" s="789" t="str">
        <f t="shared" si="145"/>
        <v/>
      </c>
      <c r="F182" s="789" t="str">
        <f t="shared" si="145"/>
        <v/>
      </c>
      <c r="G182" s="789" t="str">
        <f t="shared" si="145"/>
        <v/>
      </c>
      <c r="I182" s="535" t="s">
        <v>615</v>
      </c>
      <c r="J182" s="789">
        <f t="shared" si="59"/>
        <v>0</v>
      </c>
      <c r="K182" s="789">
        <f t="shared" si="60"/>
        <v>0</v>
      </c>
      <c r="L182" s="789">
        <f t="shared" si="61"/>
        <v>0</v>
      </c>
      <c r="M182" s="789" t="str">
        <f t="shared" si="62"/>
        <v/>
      </c>
      <c r="N182" s="789" t="str">
        <f t="shared" si="63"/>
        <v/>
      </c>
      <c r="O182" s="789" t="str">
        <f t="shared" si="64"/>
        <v/>
      </c>
      <c r="Q182" s="535" t="s">
        <v>615</v>
      </c>
      <c r="R182" s="789">
        <f t="shared" si="65"/>
        <v>0</v>
      </c>
      <c r="S182" s="789">
        <f t="shared" si="66"/>
        <v>0</v>
      </c>
      <c r="T182" s="789">
        <f t="shared" si="67"/>
        <v>0</v>
      </c>
      <c r="U182" s="789" t="str">
        <f t="shared" si="68"/>
        <v/>
      </c>
      <c r="V182" s="789" t="str">
        <f t="shared" si="69"/>
        <v/>
      </c>
      <c r="W182" s="789" t="str">
        <f t="shared" si="70"/>
        <v/>
      </c>
      <c r="Y182" s="535" t="s">
        <v>615</v>
      </c>
      <c r="Z182" s="789">
        <f t="shared" si="71"/>
        <v>0</v>
      </c>
      <c r="AA182" s="789">
        <f t="shared" si="72"/>
        <v>0</v>
      </c>
      <c r="AB182" s="789">
        <f t="shared" si="73"/>
        <v>0</v>
      </c>
      <c r="AC182" s="789" t="str">
        <f t="shared" si="74"/>
        <v/>
      </c>
      <c r="AD182" s="789" t="str">
        <f t="shared" si="75"/>
        <v/>
      </c>
      <c r="AE182" s="789" t="str">
        <f t="shared" si="76"/>
        <v/>
      </c>
      <c r="AG182" s="535" t="s">
        <v>615</v>
      </c>
      <c r="AH182" s="789">
        <f t="shared" si="77"/>
        <v>0</v>
      </c>
      <c r="AI182" s="789">
        <f t="shared" si="78"/>
        <v>0</v>
      </c>
      <c r="AJ182" s="789">
        <f t="shared" si="79"/>
        <v>0</v>
      </c>
      <c r="AK182" s="789" t="str">
        <f t="shared" si="80"/>
        <v/>
      </c>
      <c r="AL182" s="789" t="str">
        <f t="shared" si="81"/>
        <v/>
      </c>
      <c r="AM182" s="789" t="str">
        <f t="shared" si="82"/>
        <v/>
      </c>
      <c r="AO182" s="535" t="s">
        <v>615</v>
      </c>
      <c r="AP182" s="789">
        <f t="shared" si="83"/>
        <v>0</v>
      </c>
      <c r="AQ182" s="789">
        <f t="shared" si="84"/>
        <v>0</v>
      </c>
      <c r="AR182" s="789">
        <f t="shared" si="85"/>
        <v>0</v>
      </c>
      <c r="AS182" s="789" t="str">
        <f t="shared" si="86"/>
        <v/>
      </c>
      <c r="AT182" s="789" t="str">
        <f t="shared" si="87"/>
        <v/>
      </c>
      <c r="AU182" s="789" t="str">
        <f t="shared" si="88"/>
        <v/>
      </c>
      <c r="AW182" s="535" t="s">
        <v>615</v>
      </c>
      <c r="AX182" s="789">
        <f t="shared" si="89"/>
        <v>0</v>
      </c>
      <c r="AY182" s="789">
        <f t="shared" si="90"/>
        <v>0</v>
      </c>
      <c r="AZ182" s="789">
        <f t="shared" si="91"/>
        <v>0</v>
      </c>
      <c r="BA182" s="789" t="str">
        <f t="shared" si="92"/>
        <v/>
      </c>
      <c r="BB182" s="789" t="str">
        <f t="shared" si="93"/>
        <v/>
      </c>
      <c r="BC182" s="789" t="str">
        <f t="shared" si="94"/>
        <v/>
      </c>
      <c r="BE182" s="535" t="s">
        <v>615</v>
      </c>
      <c r="BF182" s="789">
        <f t="shared" si="95"/>
        <v>0</v>
      </c>
      <c r="BG182" s="789">
        <f t="shared" si="96"/>
        <v>0</v>
      </c>
      <c r="BH182" s="789">
        <f t="shared" si="97"/>
        <v>0</v>
      </c>
      <c r="BI182" s="789" t="str">
        <f t="shared" si="98"/>
        <v/>
      </c>
      <c r="BJ182" s="789" t="str">
        <f t="shared" si="99"/>
        <v/>
      </c>
      <c r="BK182" s="789" t="str">
        <f t="shared" si="100"/>
        <v/>
      </c>
      <c r="BM182" s="535" t="s">
        <v>615</v>
      </c>
      <c r="BN182" s="789">
        <f t="shared" si="101"/>
        <v>0</v>
      </c>
      <c r="BO182" s="789">
        <f t="shared" si="102"/>
        <v>0</v>
      </c>
      <c r="BP182" s="789">
        <f t="shared" si="103"/>
        <v>0</v>
      </c>
      <c r="BQ182" s="789" t="str">
        <f t="shared" si="104"/>
        <v/>
      </c>
      <c r="BR182" s="789" t="str">
        <f t="shared" si="105"/>
        <v/>
      </c>
      <c r="BS182" s="789" t="str">
        <f t="shared" si="106"/>
        <v/>
      </c>
      <c r="BU182" s="535" t="s">
        <v>615</v>
      </c>
      <c r="BV182" s="789">
        <f t="shared" si="107"/>
        <v>0</v>
      </c>
      <c r="BW182" s="789">
        <f t="shared" si="108"/>
        <v>0</v>
      </c>
      <c r="BX182" s="789">
        <f t="shared" si="109"/>
        <v>0</v>
      </c>
      <c r="BY182" s="789" t="str">
        <f t="shared" si="110"/>
        <v/>
      </c>
      <c r="BZ182" s="789" t="str">
        <f t="shared" si="111"/>
        <v/>
      </c>
      <c r="CA182" s="789" t="str">
        <f t="shared" si="112"/>
        <v/>
      </c>
      <c r="CC182" s="535" t="s">
        <v>615</v>
      </c>
      <c r="CD182" s="789">
        <f t="shared" si="113"/>
        <v>0</v>
      </c>
      <c r="CE182" s="789">
        <f t="shared" si="114"/>
        <v>0</v>
      </c>
      <c r="CF182" s="789">
        <f t="shared" si="115"/>
        <v>0</v>
      </c>
      <c r="CG182" s="789" t="str">
        <f t="shared" si="116"/>
        <v/>
      </c>
      <c r="CH182" s="789" t="str">
        <f t="shared" si="117"/>
        <v/>
      </c>
      <c r="CI182" s="789" t="str">
        <f t="shared" si="118"/>
        <v/>
      </c>
      <c r="CK182" s="535" t="s">
        <v>615</v>
      </c>
      <c r="CL182" s="789">
        <f t="shared" si="119"/>
        <v>0</v>
      </c>
      <c r="CM182" s="789">
        <f t="shared" si="120"/>
        <v>0</v>
      </c>
      <c r="CN182" s="789">
        <f t="shared" si="121"/>
        <v>0</v>
      </c>
      <c r="CO182" s="789" t="str">
        <f t="shared" si="122"/>
        <v/>
      </c>
      <c r="CP182" s="789" t="str">
        <f t="shared" si="123"/>
        <v/>
      </c>
      <c r="CQ182" s="789" t="str">
        <f t="shared" si="124"/>
        <v/>
      </c>
    </row>
    <row r="183" spans="1:95">
      <c r="A183" s="535" t="s">
        <v>431</v>
      </c>
      <c r="B183" s="789">
        <f t="shared" ref="B183:G183" si="146">IF(B121&gt;0,INDEX($D$54:$D$94,B121,1),"")</f>
        <v>0</v>
      </c>
      <c r="C183" s="789">
        <f t="shared" si="146"/>
        <v>2</v>
      </c>
      <c r="D183" s="789">
        <f t="shared" si="146"/>
        <v>0</v>
      </c>
      <c r="E183" s="789">
        <f t="shared" si="146"/>
        <v>8</v>
      </c>
      <c r="F183" s="789" t="str">
        <f t="shared" si="146"/>
        <v/>
      </c>
      <c r="G183" s="789" t="str">
        <f t="shared" si="146"/>
        <v/>
      </c>
      <c r="I183" s="535" t="s">
        <v>431</v>
      </c>
      <c r="J183" s="789">
        <f t="shared" si="59"/>
        <v>0</v>
      </c>
      <c r="K183" s="789">
        <f t="shared" si="60"/>
        <v>2</v>
      </c>
      <c r="L183" s="789">
        <f t="shared" si="61"/>
        <v>0</v>
      </c>
      <c r="M183" s="789">
        <f t="shared" si="62"/>
        <v>8</v>
      </c>
      <c r="N183" s="789" t="str">
        <f t="shared" si="63"/>
        <v/>
      </c>
      <c r="O183" s="789" t="str">
        <f t="shared" si="64"/>
        <v/>
      </c>
      <c r="Q183" s="535" t="s">
        <v>431</v>
      </c>
      <c r="R183" s="789">
        <f t="shared" si="65"/>
        <v>0</v>
      </c>
      <c r="S183" s="789">
        <f t="shared" si="66"/>
        <v>2</v>
      </c>
      <c r="T183" s="789">
        <f t="shared" si="67"/>
        <v>0</v>
      </c>
      <c r="U183" s="789">
        <f t="shared" si="68"/>
        <v>8</v>
      </c>
      <c r="V183" s="789" t="str">
        <f t="shared" si="69"/>
        <v/>
      </c>
      <c r="W183" s="789" t="str">
        <f t="shared" si="70"/>
        <v/>
      </c>
      <c r="Y183" s="535" t="s">
        <v>431</v>
      </c>
      <c r="Z183" s="789">
        <f t="shared" si="71"/>
        <v>0</v>
      </c>
      <c r="AA183" s="789">
        <f t="shared" si="72"/>
        <v>2</v>
      </c>
      <c r="AB183" s="789">
        <f t="shared" si="73"/>
        <v>0</v>
      </c>
      <c r="AC183" s="789">
        <f t="shared" si="74"/>
        <v>8</v>
      </c>
      <c r="AD183" s="789" t="str">
        <f t="shared" si="75"/>
        <v/>
      </c>
      <c r="AE183" s="789" t="str">
        <f t="shared" si="76"/>
        <v/>
      </c>
      <c r="AG183" s="535" t="s">
        <v>431</v>
      </c>
      <c r="AH183" s="789">
        <f t="shared" si="77"/>
        <v>0</v>
      </c>
      <c r="AI183" s="789">
        <f t="shared" si="78"/>
        <v>2</v>
      </c>
      <c r="AJ183" s="789">
        <f t="shared" si="79"/>
        <v>0</v>
      </c>
      <c r="AK183" s="789">
        <f t="shared" si="80"/>
        <v>8</v>
      </c>
      <c r="AL183" s="789" t="str">
        <f t="shared" si="81"/>
        <v/>
      </c>
      <c r="AM183" s="789" t="str">
        <f t="shared" si="82"/>
        <v/>
      </c>
      <c r="AO183" s="535" t="s">
        <v>431</v>
      </c>
      <c r="AP183" s="789">
        <f t="shared" si="83"/>
        <v>0</v>
      </c>
      <c r="AQ183" s="789">
        <f t="shared" si="84"/>
        <v>2</v>
      </c>
      <c r="AR183" s="789">
        <f t="shared" si="85"/>
        <v>0</v>
      </c>
      <c r="AS183" s="789">
        <f t="shared" si="86"/>
        <v>8</v>
      </c>
      <c r="AT183" s="789" t="str">
        <f t="shared" si="87"/>
        <v/>
      </c>
      <c r="AU183" s="789" t="str">
        <f t="shared" si="88"/>
        <v/>
      </c>
      <c r="AW183" s="535" t="s">
        <v>431</v>
      </c>
      <c r="AX183" s="789">
        <f t="shared" si="89"/>
        <v>0</v>
      </c>
      <c r="AY183" s="789">
        <f t="shared" si="90"/>
        <v>2</v>
      </c>
      <c r="AZ183" s="789">
        <f t="shared" si="91"/>
        <v>0</v>
      </c>
      <c r="BA183" s="789">
        <f t="shared" si="92"/>
        <v>8</v>
      </c>
      <c r="BB183" s="789" t="str">
        <f t="shared" si="93"/>
        <v/>
      </c>
      <c r="BC183" s="789" t="str">
        <f t="shared" si="94"/>
        <v/>
      </c>
      <c r="BE183" s="535" t="s">
        <v>431</v>
      </c>
      <c r="BF183" s="789">
        <f t="shared" si="95"/>
        <v>0</v>
      </c>
      <c r="BG183" s="789">
        <f t="shared" si="96"/>
        <v>2</v>
      </c>
      <c r="BH183" s="789">
        <f t="shared" si="97"/>
        <v>0</v>
      </c>
      <c r="BI183" s="789">
        <f t="shared" si="98"/>
        <v>8</v>
      </c>
      <c r="BJ183" s="789" t="str">
        <f t="shared" si="99"/>
        <v/>
      </c>
      <c r="BK183" s="789" t="str">
        <f t="shared" si="100"/>
        <v/>
      </c>
      <c r="BM183" s="535" t="s">
        <v>431</v>
      </c>
      <c r="BN183" s="789">
        <f t="shared" si="101"/>
        <v>0</v>
      </c>
      <c r="BO183" s="789">
        <f t="shared" si="102"/>
        <v>2</v>
      </c>
      <c r="BP183" s="789">
        <f t="shared" si="103"/>
        <v>0</v>
      </c>
      <c r="BQ183" s="789">
        <f t="shared" si="104"/>
        <v>8</v>
      </c>
      <c r="BR183" s="789" t="str">
        <f t="shared" si="105"/>
        <v/>
      </c>
      <c r="BS183" s="789" t="str">
        <f t="shared" si="106"/>
        <v/>
      </c>
      <c r="BU183" s="535" t="s">
        <v>431</v>
      </c>
      <c r="BV183" s="789">
        <f t="shared" si="107"/>
        <v>0</v>
      </c>
      <c r="BW183" s="789">
        <f t="shared" si="108"/>
        <v>2</v>
      </c>
      <c r="BX183" s="789">
        <f t="shared" si="109"/>
        <v>0</v>
      </c>
      <c r="BY183" s="789">
        <f t="shared" si="110"/>
        <v>8</v>
      </c>
      <c r="BZ183" s="789" t="str">
        <f t="shared" si="111"/>
        <v/>
      </c>
      <c r="CA183" s="789" t="str">
        <f t="shared" si="112"/>
        <v/>
      </c>
      <c r="CC183" s="535" t="s">
        <v>431</v>
      </c>
      <c r="CD183" s="789">
        <f t="shared" si="113"/>
        <v>0</v>
      </c>
      <c r="CE183" s="789">
        <f t="shared" si="114"/>
        <v>2</v>
      </c>
      <c r="CF183" s="789">
        <f t="shared" si="115"/>
        <v>0</v>
      </c>
      <c r="CG183" s="789">
        <f t="shared" si="116"/>
        <v>8</v>
      </c>
      <c r="CH183" s="789" t="str">
        <f t="shared" si="117"/>
        <v/>
      </c>
      <c r="CI183" s="789" t="str">
        <f t="shared" si="118"/>
        <v/>
      </c>
      <c r="CK183" s="535" t="s">
        <v>431</v>
      </c>
      <c r="CL183" s="789">
        <f t="shared" si="119"/>
        <v>0</v>
      </c>
      <c r="CM183" s="789">
        <f t="shared" si="120"/>
        <v>2</v>
      </c>
      <c r="CN183" s="789">
        <f t="shared" si="121"/>
        <v>0</v>
      </c>
      <c r="CO183" s="789">
        <f t="shared" si="122"/>
        <v>8</v>
      </c>
      <c r="CP183" s="789" t="str">
        <f t="shared" si="123"/>
        <v/>
      </c>
      <c r="CQ183" s="789" t="str">
        <f t="shared" si="124"/>
        <v/>
      </c>
    </row>
    <row r="184" spans="1:95">
      <c r="A184" s="535" t="s">
        <v>432</v>
      </c>
      <c r="B184" s="789">
        <f t="shared" ref="B184:G184" si="147">IF(B122&gt;0,INDEX($D$54:$D$94,B122,1),"")</f>
        <v>0</v>
      </c>
      <c r="C184" s="789" t="str">
        <f t="shared" si="147"/>
        <v/>
      </c>
      <c r="D184" s="789" t="str">
        <f t="shared" si="147"/>
        <v/>
      </c>
      <c r="E184" s="789" t="str">
        <f t="shared" si="147"/>
        <v/>
      </c>
      <c r="F184" s="789" t="str">
        <f t="shared" si="147"/>
        <v/>
      </c>
      <c r="G184" s="789" t="str">
        <f t="shared" si="147"/>
        <v/>
      </c>
      <c r="I184" s="535" t="s">
        <v>432</v>
      </c>
      <c r="J184" s="789">
        <f t="shared" si="59"/>
        <v>0</v>
      </c>
      <c r="K184" s="789" t="str">
        <f t="shared" si="60"/>
        <v/>
      </c>
      <c r="L184" s="789" t="str">
        <f t="shared" si="61"/>
        <v/>
      </c>
      <c r="M184" s="789" t="str">
        <f t="shared" si="62"/>
        <v/>
      </c>
      <c r="N184" s="789" t="str">
        <f t="shared" si="63"/>
        <v/>
      </c>
      <c r="O184" s="789" t="str">
        <f t="shared" si="64"/>
        <v/>
      </c>
      <c r="Q184" s="535" t="s">
        <v>432</v>
      </c>
      <c r="R184" s="789">
        <f t="shared" si="65"/>
        <v>0</v>
      </c>
      <c r="S184" s="789" t="str">
        <f t="shared" si="66"/>
        <v/>
      </c>
      <c r="T184" s="789" t="str">
        <f t="shared" si="67"/>
        <v/>
      </c>
      <c r="U184" s="789" t="str">
        <f t="shared" si="68"/>
        <v/>
      </c>
      <c r="V184" s="789" t="str">
        <f t="shared" si="69"/>
        <v/>
      </c>
      <c r="W184" s="789" t="str">
        <f t="shared" si="70"/>
        <v/>
      </c>
      <c r="Y184" s="535" t="s">
        <v>432</v>
      </c>
      <c r="Z184" s="789">
        <f t="shared" si="71"/>
        <v>0</v>
      </c>
      <c r="AA184" s="789" t="str">
        <f t="shared" si="72"/>
        <v/>
      </c>
      <c r="AB184" s="789" t="str">
        <f t="shared" si="73"/>
        <v/>
      </c>
      <c r="AC184" s="789" t="str">
        <f t="shared" si="74"/>
        <v/>
      </c>
      <c r="AD184" s="789" t="str">
        <f t="shared" si="75"/>
        <v/>
      </c>
      <c r="AE184" s="789" t="str">
        <f t="shared" si="76"/>
        <v/>
      </c>
      <c r="AG184" s="535" t="s">
        <v>432</v>
      </c>
      <c r="AH184" s="789">
        <f t="shared" si="77"/>
        <v>0</v>
      </c>
      <c r="AI184" s="789" t="str">
        <f t="shared" si="78"/>
        <v/>
      </c>
      <c r="AJ184" s="789" t="str">
        <f t="shared" si="79"/>
        <v/>
      </c>
      <c r="AK184" s="789" t="str">
        <f t="shared" si="80"/>
        <v/>
      </c>
      <c r="AL184" s="789" t="str">
        <f t="shared" si="81"/>
        <v/>
      </c>
      <c r="AM184" s="789" t="str">
        <f t="shared" si="82"/>
        <v/>
      </c>
      <c r="AO184" s="535" t="s">
        <v>432</v>
      </c>
      <c r="AP184" s="789">
        <f t="shared" si="83"/>
        <v>0</v>
      </c>
      <c r="AQ184" s="789" t="str">
        <f t="shared" si="84"/>
        <v/>
      </c>
      <c r="AR184" s="789" t="str">
        <f t="shared" si="85"/>
        <v/>
      </c>
      <c r="AS184" s="789" t="str">
        <f t="shared" si="86"/>
        <v/>
      </c>
      <c r="AT184" s="789" t="str">
        <f t="shared" si="87"/>
        <v/>
      </c>
      <c r="AU184" s="789" t="str">
        <f t="shared" si="88"/>
        <v/>
      </c>
      <c r="AW184" s="535" t="s">
        <v>432</v>
      </c>
      <c r="AX184" s="789">
        <f t="shared" si="89"/>
        <v>0</v>
      </c>
      <c r="AY184" s="789" t="str">
        <f t="shared" si="90"/>
        <v/>
      </c>
      <c r="AZ184" s="789" t="str">
        <f t="shared" si="91"/>
        <v/>
      </c>
      <c r="BA184" s="789" t="str">
        <f t="shared" si="92"/>
        <v/>
      </c>
      <c r="BB184" s="789" t="str">
        <f t="shared" si="93"/>
        <v/>
      </c>
      <c r="BC184" s="789" t="str">
        <f t="shared" si="94"/>
        <v/>
      </c>
      <c r="BE184" s="535" t="s">
        <v>432</v>
      </c>
      <c r="BF184" s="789">
        <f t="shared" si="95"/>
        <v>0</v>
      </c>
      <c r="BG184" s="789" t="str">
        <f t="shared" si="96"/>
        <v/>
      </c>
      <c r="BH184" s="789" t="str">
        <f t="shared" si="97"/>
        <v/>
      </c>
      <c r="BI184" s="789" t="str">
        <f t="shared" si="98"/>
        <v/>
      </c>
      <c r="BJ184" s="789" t="str">
        <f t="shared" si="99"/>
        <v/>
      </c>
      <c r="BK184" s="789" t="str">
        <f t="shared" si="100"/>
        <v/>
      </c>
      <c r="BM184" s="535" t="s">
        <v>432</v>
      </c>
      <c r="BN184" s="789">
        <f t="shared" si="101"/>
        <v>0</v>
      </c>
      <c r="BO184" s="789" t="str">
        <f t="shared" si="102"/>
        <v/>
      </c>
      <c r="BP184" s="789" t="str">
        <f t="shared" si="103"/>
        <v/>
      </c>
      <c r="BQ184" s="789" t="str">
        <f t="shared" si="104"/>
        <v/>
      </c>
      <c r="BR184" s="789" t="str">
        <f t="shared" si="105"/>
        <v/>
      </c>
      <c r="BS184" s="789" t="str">
        <f t="shared" si="106"/>
        <v/>
      </c>
      <c r="BU184" s="535" t="s">
        <v>432</v>
      </c>
      <c r="BV184" s="789">
        <f t="shared" si="107"/>
        <v>0</v>
      </c>
      <c r="BW184" s="789" t="str">
        <f t="shared" si="108"/>
        <v/>
      </c>
      <c r="BX184" s="789" t="str">
        <f t="shared" si="109"/>
        <v/>
      </c>
      <c r="BY184" s="789" t="str">
        <f t="shared" si="110"/>
        <v/>
      </c>
      <c r="BZ184" s="789" t="str">
        <f t="shared" si="111"/>
        <v/>
      </c>
      <c r="CA184" s="789" t="str">
        <f t="shared" si="112"/>
        <v/>
      </c>
      <c r="CC184" s="535" t="s">
        <v>432</v>
      </c>
      <c r="CD184" s="789">
        <f t="shared" si="113"/>
        <v>0</v>
      </c>
      <c r="CE184" s="789" t="str">
        <f t="shared" si="114"/>
        <v/>
      </c>
      <c r="CF184" s="789" t="str">
        <f t="shared" si="115"/>
        <v/>
      </c>
      <c r="CG184" s="789" t="str">
        <f t="shared" si="116"/>
        <v/>
      </c>
      <c r="CH184" s="789" t="str">
        <f t="shared" si="117"/>
        <v/>
      </c>
      <c r="CI184" s="789" t="str">
        <f t="shared" si="118"/>
        <v/>
      </c>
      <c r="CK184" s="535" t="s">
        <v>432</v>
      </c>
      <c r="CL184" s="789">
        <f t="shared" si="119"/>
        <v>0</v>
      </c>
      <c r="CM184" s="789" t="str">
        <f t="shared" si="120"/>
        <v/>
      </c>
      <c r="CN184" s="789" t="str">
        <f t="shared" si="121"/>
        <v/>
      </c>
      <c r="CO184" s="789" t="str">
        <f t="shared" si="122"/>
        <v/>
      </c>
      <c r="CP184" s="789" t="str">
        <f t="shared" si="123"/>
        <v/>
      </c>
      <c r="CQ184" s="789" t="str">
        <f t="shared" si="124"/>
        <v/>
      </c>
    </row>
    <row r="185" spans="1:95">
      <c r="A185" s="535" t="s">
        <v>433</v>
      </c>
      <c r="B185" s="789">
        <f t="shared" ref="B185:G185" si="148">IF(B123&gt;0,INDEX($D$54:$D$94,B123,1),"")</f>
        <v>0</v>
      </c>
      <c r="C185" s="789" t="str">
        <f t="shared" si="148"/>
        <v/>
      </c>
      <c r="D185" s="789" t="str">
        <f t="shared" si="148"/>
        <v/>
      </c>
      <c r="E185" s="789" t="str">
        <f t="shared" si="148"/>
        <v/>
      </c>
      <c r="F185" s="789" t="str">
        <f t="shared" si="148"/>
        <v/>
      </c>
      <c r="G185" s="789" t="str">
        <f t="shared" si="148"/>
        <v/>
      </c>
      <c r="I185" s="535" t="s">
        <v>433</v>
      </c>
      <c r="J185" s="789">
        <f t="shared" si="59"/>
        <v>0</v>
      </c>
      <c r="K185" s="789" t="str">
        <f t="shared" si="60"/>
        <v/>
      </c>
      <c r="L185" s="789" t="str">
        <f t="shared" si="61"/>
        <v/>
      </c>
      <c r="M185" s="789" t="str">
        <f t="shared" si="62"/>
        <v/>
      </c>
      <c r="N185" s="789" t="str">
        <f t="shared" si="63"/>
        <v/>
      </c>
      <c r="O185" s="789" t="str">
        <f t="shared" si="64"/>
        <v/>
      </c>
      <c r="Q185" s="535" t="s">
        <v>433</v>
      </c>
      <c r="R185" s="789">
        <f t="shared" si="65"/>
        <v>0</v>
      </c>
      <c r="S185" s="789" t="str">
        <f t="shared" si="66"/>
        <v/>
      </c>
      <c r="T185" s="789" t="str">
        <f t="shared" si="67"/>
        <v/>
      </c>
      <c r="U185" s="789" t="str">
        <f t="shared" si="68"/>
        <v/>
      </c>
      <c r="V185" s="789" t="str">
        <f t="shared" si="69"/>
        <v/>
      </c>
      <c r="W185" s="789" t="str">
        <f t="shared" si="70"/>
        <v/>
      </c>
      <c r="Y185" s="535" t="s">
        <v>433</v>
      </c>
      <c r="Z185" s="789">
        <f t="shared" si="71"/>
        <v>0</v>
      </c>
      <c r="AA185" s="789" t="str">
        <f t="shared" si="72"/>
        <v/>
      </c>
      <c r="AB185" s="789" t="str">
        <f t="shared" si="73"/>
        <v/>
      </c>
      <c r="AC185" s="789" t="str">
        <f t="shared" si="74"/>
        <v/>
      </c>
      <c r="AD185" s="789" t="str">
        <f t="shared" si="75"/>
        <v/>
      </c>
      <c r="AE185" s="789" t="str">
        <f t="shared" si="76"/>
        <v/>
      </c>
      <c r="AG185" s="535" t="s">
        <v>433</v>
      </c>
      <c r="AH185" s="789">
        <f t="shared" si="77"/>
        <v>0</v>
      </c>
      <c r="AI185" s="789" t="str">
        <f t="shared" si="78"/>
        <v/>
      </c>
      <c r="AJ185" s="789" t="str">
        <f t="shared" si="79"/>
        <v/>
      </c>
      <c r="AK185" s="789" t="str">
        <f t="shared" si="80"/>
        <v/>
      </c>
      <c r="AL185" s="789" t="str">
        <f t="shared" si="81"/>
        <v/>
      </c>
      <c r="AM185" s="789" t="str">
        <f t="shared" si="82"/>
        <v/>
      </c>
      <c r="AO185" s="535" t="s">
        <v>433</v>
      </c>
      <c r="AP185" s="789">
        <f t="shared" si="83"/>
        <v>0</v>
      </c>
      <c r="AQ185" s="789" t="str">
        <f t="shared" si="84"/>
        <v/>
      </c>
      <c r="AR185" s="789" t="str">
        <f t="shared" si="85"/>
        <v/>
      </c>
      <c r="AS185" s="789" t="str">
        <f t="shared" si="86"/>
        <v/>
      </c>
      <c r="AT185" s="789" t="str">
        <f t="shared" si="87"/>
        <v/>
      </c>
      <c r="AU185" s="789" t="str">
        <f t="shared" si="88"/>
        <v/>
      </c>
      <c r="AW185" s="535" t="s">
        <v>433</v>
      </c>
      <c r="AX185" s="789">
        <f t="shared" si="89"/>
        <v>0</v>
      </c>
      <c r="AY185" s="789" t="str">
        <f t="shared" si="90"/>
        <v/>
      </c>
      <c r="AZ185" s="789" t="str">
        <f t="shared" si="91"/>
        <v/>
      </c>
      <c r="BA185" s="789" t="str">
        <f t="shared" si="92"/>
        <v/>
      </c>
      <c r="BB185" s="789" t="str">
        <f t="shared" si="93"/>
        <v/>
      </c>
      <c r="BC185" s="789" t="str">
        <f t="shared" si="94"/>
        <v/>
      </c>
      <c r="BE185" s="535" t="s">
        <v>433</v>
      </c>
      <c r="BF185" s="789">
        <f t="shared" si="95"/>
        <v>0</v>
      </c>
      <c r="BG185" s="789" t="str">
        <f t="shared" si="96"/>
        <v/>
      </c>
      <c r="BH185" s="789" t="str">
        <f t="shared" si="97"/>
        <v/>
      </c>
      <c r="BI185" s="789" t="str">
        <f t="shared" si="98"/>
        <v/>
      </c>
      <c r="BJ185" s="789" t="str">
        <f t="shared" si="99"/>
        <v/>
      </c>
      <c r="BK185" s="789" t="str">
        <f t="shared" si="100"/>
        <v/>
      </c>
      <c r="BM185" s="535" t="s">
        <v>433</v>
      </c>
      <c r="BN185" s="789">
        <f t="shared" si="101"/>
        <v>0</v>
      </c>
      <c r="BO185" s="789" t="str">
        <f t="shared" si="102"/>
        <v/>
      </c>
      <c r="BP185" s="789" t="str">
        <f t="shared" si="103"/>
        <v/>
      </c>
      <c r="BQ185" s="789" t="str">
        <f t="shared" si="104"/>
        <v/>
      </c>
      <c r="BR185" s="789" t="str">
        <f t="shared" si="105"/>
        <v/>
      </c>
      <c r="BS185" s="789" t="str">
        <f t="shared" si="106"/>
        <v/>
      </c>
      <c r="BU185" s="535" t="s">
        <v>433</v>
      </c>
      <c r="BV185" s="789">
        <f t="shared" si="107"/>
        <v>0</v>
      </c>
      <c r="BW185" s="789" t="str">
        <f t="shared" si="108"/>
        <v/>
      </c>
      <c r="BX185" s="789" t="str">
        <f t="shared" si="109"/>
        <v/>
      </c>
      <c r="BY185" s="789" t="str">
        <f t="shared" si="110"/>
        <v/>
      </c>
      <c r="BZ185" s="789" t="str">
        <f t="shared" si="111"/>
        <v/>
      </c>
      <c r="CA185" s="789" t="str">
        <f t="shared" si="112"/>
        <v/>
      </c>
      <c r="CC185" s="535" t="s">
        <v>433</v>
      </c>
      <c r="CD185" s="789">
        <f t="shared" si="113"/>
        <v>0</v>
      </c>
      <c r="CE185" s="789" t="str">
        <f t="shared" si="114"/>
        <v/>
      </c>
      <c r="CF185" s="789" t="str">
        <f t="shared" si="115"/>
        <v/>
      </c>
      <c r="CG185" s="789" t="str">
        <f t="shared" si="116"/>
        <v/>
      </c>
      <c r="CH185" s="789" t="str">
        <f t="shared" si="117"/>
        <v/>
      </c>
      <c r="CI185" s="789" t="str">
        <f t="shared" si="118"/>
        <v/>
      </c>
      <c r="CK185" s="535" t="s">
        <v>433</v>
      </c>
      <c r="CL185" s="789">
        <f t="shared" si="119"/>
        <v>0</v>
      </c>
      <c r="CM185" s="789" t="str">
        <f t="shared" si="120"/>
        <v/>
      </c>
      <c r="CN185" s="789" t="str">
        <f t="shared" si="121"/>
        <v/>
      </c>
      <c r="CO185" s="789" t="str">
        <f t="shared" si="122"/>
        <v/>
      </c>
      <c r="CP185" s="789" t="str">
        <f t="shared" si="123"/>
        <v/>
      </c>
      <c r="CQ185" s="789" t="str">
        <f t="shared" si="124"/>
        <v/>
      </c>
    </row>
    <row r="186" spans="1:95">
      <c r="A186" s="535" t="s">
        <v>616</v>
      </c>
      <c r="B186" s="789">
        <f t="shared" ref="B186:G186" si="149">IF(B124&gt;0,INDEX($D$54:$D$94,B124,1),"")</f>
        <v>0</v>
      </c>
      <c r="C186" s="789">
        <f t="shared" si="149"/>
        <v>2</v>
      </c>
      <c r="D186" s="789" t="str">
        <f t="shared" si="149"/>
        <v/>
      </c>
      <c r="E186" s="789" t="str">
        <f t="shared" si="149"/>
        <v/>
      </c>
      <c r="F186" s="789" t="str">
        <f t="shared" si="149"/>
        <v/>
      </c>
      <c r="G186" s="789" t="str">
        <f t="shared" si="149"/>
        <v/>
      </c>
      <c r="I186" s="535" t="s">
        <v>616</v>
      </c>
      <c r="J186" s="789">
        <f t="shared" si="59"/>
        <v>0</v>
      </c>
      <c r="K186" s="789">
        <f t="shared" si="60"/>
        <v>2</v>
      </c>
      <c r="L186" s="789" t="str">
        <f t="shared" si="61"/>
        <v/>
      </c>
      <c r="M186" s="789" t="str">
        <f t="shared" si="62"/>
        <v/>
      </c>
      <c r="N186" s="789" t="str">
        <f t="shared" si="63"/>
        <v/>
      </c>
      <c r="O186" s="789" t="str">
        <f t="shared" si="64"/>
        <v/>
      </c>
      <c r="Q186" s="535" t="s">
        <v>616</v>
      </c>
      <c r="R186" s="789">
        <f t="shared" si="65"/>
        <v>0</v>
      </c>
      <c r="S186" s="789">
        <f t="shared" si="66"/>
        <v>2</v>
      </c>
      <c r="T186" s="789" t="str">
        <f t="shared" si="67"/>
        <v/>
      </c>
      <c r="U186" s="789" t="str">
        <f t="shared" si="68"/>
        <v/>
      </c>
      <c r="V186" s="789" t="str">
        <f t="shared" si="69"/>
        <v/>
      </c>
      <c r="W186" s="789" t="str">
        <f t="shared" si="70"/>
        <v/>
      </c>
      <c r="Y186" s="535" t="s">
        <v>616</v>
      </c>
      <c r="Z186" s="789">
        <f t="shared" si="71"/>
        <v>0</v>
      </c>
      <c r="AA186" s="789">
        <f t="shared" si="72"/>
        <v>2</v>
      </c>
      <c r="AB186" s="789" t="str">
        <f t="shared" si="73"/>
        <v/>
      </c>
      <c r="AC186" s="789" t="str">
        <f t="shared" si="74"/>
        <v/>
      </c>
      <c r="AD186" s="789" t="str">
        <f t="shared" si="75"/>
        <v/>
      </c>
      <c r="AE186" s="789" t="str">
        <f t="shared" si="76"/>
        <v/>
      </c>
      <c r="AG186" s="535" t="s">
        <v>616</v>
      </c>
      <c r="AH186" s="789">
        <f t="shared" si="77"/>
        <v>0</v>
      </c>
      <c r="AI186" s="789">
        <f t="shared" si="78"/>
        <v>2</v>
      </c>
      <c r="AJ186" s="789" t="str">
        <f t="shared" si="79"/>
        <v/>
      </c>
      <c r="AK186" s="789" t="str">
        <f t="shared" si="80"/>
        <v/>
      </c>
      <c r="AL186" s="789" t="str">
        <f t="shared" si="81"/>
        <v/>
      </c>
      <c r="AM186" s="789" t="str">
        <f t="shared" si="82"/>
        <v/>
      </c>
      <c r="AO186" s="535" t="s">
        <v>616</v>
      </c>
      <c r="AP186" s="789">
        <f t="shared" si="83"/>
        <v>0</v>
      </c>
      <c r="AQ186" s="789">
        <f t="shared" si="84"/>
        <v>2</v>
      </c>
      <c r="AR186" s="789" t="str">
        <f t="shared" si="85"/>
        <v/>
      </c>
      <c r="AS186" s="789" t="str">
        <f t="shared" si="86"/>
        <v/>
      </c>
      <c r="AT186" s="789" t="str">
        <f t="shared" si="87"/>
        <v/>
      </c>
      <c r="AU186" s="789" t="str">
        <f t="shared" si="88"/>
        <v/>
      </c>
      <c r="AW186" s="535" t="s">
        <v>616</v>
      </c>
      <c r="AX186" s="789">
        <f t="shared" si="89"/>
        <v>0</v>
      </c>
      <c r="AY186" s="789">
        <f t="shared" si="90"/>
        <v>2</v>
      </c>
      <c r="AZ186" s="789" t="str">
        <f t="shared" si="91"/>
        <v/>
      </c>
      <c r="BA186" s="789" t="str">
        <f t="shared" si="92"/>
        <v/>
      </c>
      <c r="BB186" s="789" t="str">
        <f t="shared" si="93"/>
        <v/>
      </c>
      <c r="BC186" s="789" t="str">
        <f t="shared" si="94"/>
        <v/>
      </c>
      <c r="BE186" s="535" t="s">
        <v>616</v>
      </c>
      <c r="BF186" s="789">
        <f t="shared" si="95"/>
        <v>0</v>
      </c>
      <c r="BG186" s="789">
        <f t="shared" si="96"/>
        <v>2</v>
      </c>
      <c r="BH186" s="789" t="str">
        <f t="shared" si="97"/>
        <v/>
      </c>
      <c r="BI186" s="789" t="str">
        <f t="shared" si="98"/>
        <v/>
      </c>
      <c r="BJ186" s="789" t="str">
        <f t="shared" si="99"/>
        <v/>
      </c>
      <c r="BK186" s="789" t="str">
        <f t="shared" si="100"/>
        <v/>
      </c>
      <c r="BM186" s="535" t="s">
        <v>616</v>
      </c>
      <c r="BN186" s="789">
        <f t="shared" si="101"/>
        <v>0</v>
      </c>
      <c r="BO186" s="789">
        <f t="shared" si="102"/>
        <v>2</v>
      </c>
      <c r="BP186" s="789" t="str">
        <f t="shared" si="103"/>
        <v/>
      </c>
      <c r="BQ186" s="789" t="str">
        <f t="shared" si="104"/>
        <v/>
      </c>
      <c r="BR186" s="789" t="str">
        <f t="shared" si="105"/>
        <v/>
      </c>
      <c r="BS186" s="789" t="str">
        <f t="shared" si="106"/>
        <v/>
      </c>
      <c r="BU186" s="535" t="s">
        <v>616</v>
      </c>
      <c r="BV186" s="789">
        <f t="shared" si="107"/>
        <v>0</v>
      </c>
      <c r="BW186" s="789">
        <f t="shared" si="108"/>
        <v>2</v>
      </c>
      <c r="BX186" s="789" t="str">
        <f t="shared" si="109"/>
        <v/>
      </c>
      <c r="BY186" s="789" t="str">
        <f t="shared" si="110"/>
        <v/>
      </c>
      <c r="BZ186" s="789" t="str">
        <f t="shared" si="111"/>
        <v/>
      </c>
      <c r="CA186" s="789" t="str">
        <f t="shared" si="112"/>
        <v/>
      </c>
      <c r="CC186" s="535" t="s">
        <v>616</v>
      </c>
      <c r="CD186" s="789">
        <f t="shared" si="113"/>
        <v>0</v>
      </c>
      <c r="CE186" s="789">
        <f t="shared" si="114"/>
        <v>2</v>
      </c>
      <c r="CF186" s="789" t="str">
        <f t="shared" si="115"/>
        <v/>
      </c>
      <c r="CG186" s="789" t="str">
        <f t="shared" si="116"/>
        <v/>
      </c>
      <c r="CH186" s="789" t="str">
        <f t="shared" si="117"/>
        <v/>
      </c>
      <c r="CI186" s="789" t="str">
        <f t="shared" si="118"/>
        <v/>
      </c>
      <c r="CK186" s="535" t="s">
        <v>616</v>
      </c>
      <c r="CL186" s="789">
        <f t="shared" si="119"/>
        <v>0</v>
      </c>
      <c r="CM186" s="789">
        <f t="shared" si="120"/>
        <v>2</v>
      </c>
      <c r="CN186" s="789" t="str">
        <f t="shared" si="121"/>
        <v/>
      </c>
      <c r="CO186" s="789" t="str">
        <f t="shared" si="122"/>
        <v/>
      </c>
      <c r="CP186" s="789" t="str">
        <f t="shared" si="123"/>
        <v/>
      </c>
      <c r="CQ186" s="789" t="str">
        <f t="shared" si="124"/>
        <v/>
      </c>
    </row>
    <row r="187" spans="1:95">
      <c r="A187" s="536" t="s">
        <v>547</v>
      </c>
      <c r="B187" s="742"/>
      <c r="C187" s="742"/>
      <c r="D187" s="742"/>
      <c r="E187" s="551"/>
      <c r="F187" s="742"/>
      <c r="G187" s="49"/>
      <c r="I187" s="536" t="s">
        <v>547</v>
      </c>
      <c r="J187" s="742"/>
      <c r="K187" s="742"/>
      <c r="L187" s="742"/>
      <c r="M187" s="551"/>
      <c r="N187" s="742"/>
      <c r="O187" s="49"/>
      <c r="Q187" s="536" t="s">
        <v>547</v>
      </c>
      <c r="R187" s="742"/>
      <c r="S187" s="742"/>
      <c r="T187" s="742"/>
      <c r="U187" s="551"/>
      <c r="V187" s="742"/>
      <c r="W187" s="49"/>
      <c r="Y187" s="536" t="s">
        <v>547</v>
      </c>
      <c r="Z187" s="742"/>
      <c r="AA187" s="742"/>
      <c r="AB187" s="742"/>
      <c r="AC187" s="551"/>
      <c r="AD187" s="742"/>
      <c r="AE187" s="49"/>
      <c r="AG187" s="536" t="s">
        <v>547</v>
      </c>
      <c r="AH187" s="742"/>
      <c r="AI187" s="742"/>
      <c r="AJ187" s="742"/>
      <c r="AK187" s="551"/>
      <c r="AL187" s="742"/>
      <c r="AM187" s="49"/>
      <c r="AO187" s="536" t="s">
        <v>547</v>
      </c>
      <c r="AP187" s="742"/>
      <c r="AQ187" s="742"/>
      <c r="AR187" s="742"/>
      <c r="AS187" s="551"/>
      <c r="AT187" s="742"/>
      <c r="AU187" s="49"/>
      <c r="AW187" s="536" t="s">
        <v>547</v>
      </c>
      <c r="AX187" s="742"/>
      <c r="AY187" s="742"/>
      <c r="AZ187" s="742"/>
      <c r="BA187" s="551"/>
      <c r="BB187" s="742"/>
      <c r="BC187" s="49"/>
      <c r="BE187" s="536" t="s">
        <v>547</v>
      </c>
      <c r="BF187" s="742"/>
      <c r="BG187" s="742"/>
      <c r="BH187" s="742"/>
      <c r="BI187" s="551"/>
      <c r="BJ187" s="742"/>
      <c r="BK187" s="49"/>
      <c r="BM187" s="536" t="s">
        <v>547</v>
      </c>
      <c r="BN187" s="742"/>
      <c r="BO187" s="742"/>
      <c r="BP187" s="742"/>
      <c r="BQ187" s="551"/>
      <c r="BR187" s="742"/>
      <c r="BS187" s="49"/>
      <c r="BU187" s="536" t="s">
        <v>547</v>
      </c>
      <c r="BV187" s="742"/>
      <c r="BW187" s="742"/>
      <c r="BX187" s="742"/>
      <c r="BY187" s="551"/>
      <c r="BZ187" s="742"/>
      <c r="CA187" s="49"/>
      <c r="CC187" s="536" t="s">
        <v>547</v>
      </c>
      <c r="CD187" s="742"/>
      <c r="CE187" s="742"/>
      <c r="CF187" s="742"/>
      <c r="CG187" s="551"/>
      <c r="CH187" s="742"/>
      <c r="CI187" s="49"/>
      <c r="CK187" s="536" t="s">
        <v>547</v>
      </c>
      <c r="CL187" s="742"/>
      <c r="CM187" s="742"/>
      <c r="CN187" s="742"/>
      <c r="CO187" s="551"/>
      <c r="CP187" s="742"/>
      <c r="CQ187" s="49"/>
    </row>
    <row r="188" spans="1:95">
      <c r="A188" s="531"/>
      <c r="R188" s="27"/>
      <c r="S188" s="27"/>
      <c r="T188" s="27"/>
      <c r="U188" s="27"/>
      <c r="V188" s="27"/>
    </row>
    <row r="189" spans="1:95">
      <c r="A189" s="531"/>
    </row>
    <row r="190" spans="1:95">
      <c r="A190" s="531"/>
    </row>
    <row r="191" spans="1:95">
      <c r="A191" s="531"/>
    </row>
    <row r="192" spans="1:95">
      <c r="A192" s="531"/>
    </row>
    <row r="193" spans="1:9">
      <c r="A193" s="531"/>
    </row>
    <row r="194" spans="1:9">
      <c r="A194" s="531"/>
    </row>
    <row r="195" spans="1:9">
      <c r="A195" s="531"/>
    </row>
    <row r="196" spans="1:9">
      <c r="A196" s="531"/>
    </row>
    <row r="197" spans="1:9">
      <c r="A197" s="531"/>
    </row>
    <row r="199" spans="1:9">
      <c r="A199" s="1706" t="s">
        <v>719</v>
      </c>
      <c r="B199" s="139" t="str">
        <f>IF(OR(Eingaben!I14=" ",Eingaben!I14=""),"",VLOOKUP(Eingaben!I14,$A$201:$B$240,2,FALSE))</f>
        <v/>
      </c>
      <c r="D199" s="1801"/>
      <c r="E199" s="860"/>
      <c r="F199" s="2302" t="s">
        <v>3383</v>
      </c>
      <c r="G199" s="2305" t="s">
        <v>3384</v>
      </c>
      <c r="H199" s="2305" t="s">
        <v>3385</v>
      </c>
      <c r="I199" s="2308" t="s">
        <v>3386</v>
      </c>
    </row>
    <row r="200" spans="1:9">
      <c r="A200" s="1801" t="str">
        <f>A54</f>
        <v xml:space="preserve"> </v>
      </c>
      <c r="B200" s="1803"/>
      <c r="D200" s="43"/>
      <c r="E200" s="2311" t="s">
        <v>3387</v>
      </c>
      <c r="F200" s="2303"/>
      <c r="G200" s="2306"/>
      <c r="H200" s="2306"/>
      <c r="I200" s="2309"/>
    </row>
    <row r="201" spans="1:9">
      <c r="A201" s="43" t="str">
        <f>A55</f>
        <v>Adelboden</v>
      </c>
      <c r="B201" s="847" t="s">
        <v>3378</v>
      </c>
      <c r="D201" s="43"/>
      <c r="E201" s="2311"/>
      <c r="F201" s="2303"/>
      <c r="G201" s="2306"/>
      <c r="H201" s="2306"/>
      <c r="I201" s="2309"/>
    </row>
    <row r="202" spans="1:9">
      <c r="A202" s="43" t="str">
        <f t="shared" ref="A202:A239" si="150">A56</f>
        <v>Aigle</v>
      </c>
      <c r="B202" s="847" t="s">
        <v>3379</v>
      </c>
      <c r="D202" s="43"/>
      <c r="E202" s="2311"/>
      <c r="F202" s="2303"/>
      <c r="G202" s="2306"/>
      <c r="H202" s="2306"/>
      <c r="I202" s="2309"/>
    </row>
    <row r="203" spans="1:9">
      <c r="A203" s="43" t="str">
        <f t="shared" si="150"/>
        <v>Altdorf</v>
      </c>
      <c r="B203" s="847" t="s">
        <v>3379</v>
      </c>
      <c r="D203" s="95"/>
      <c r="E203" s="2312"/>
      <c r="F203" s="2304"/>
      <c r="G203" s="2307"/>
      <c r="H203" s="2307"/>
      <c r="I203" s="2310"/>
    </row>
    <row r="204" spans="1:9" ht="12.75" customHeight="1">
      <c r="A204" s="43" t="str">
        <f t="shared" si="150"/>
        <v>Basel-Binningen</v>
      </c>
      <c r="B204" s="847" t="s">
        <v>3379</v>
      </c>
      <c r="D204" s="2299" t="s">
        <v>3388</v>
      </c>
      <c r="E204" s="860" t="str">
        <f>""</f>
        <v/>
      </c>
      <c r="F204" s="1801" t="str">
        <f>""</f>
        <v/>
      </c>
      <c r="G204" s="860" t="str">
        <f>""</f>
        <v/>
      </c>
      <c r="H204" s="860" t="str">
        <f>""</f>
        <v/>
      </c>
      <c r="I204" s="1802" t="str">
        <f>""</f>
        <v/>
      </c>
    </row>
    <row r="205" spans="1:9">
      <c r="A205" s="43" t="str">
        <f t="shared" si="150"/>
        <v>Bern  Liebefeld</v>
      </c>
      <c r="B205" s="847" t="s">
        <v>3379</v>
      </c>
      <c r="D205" s="2300"/>
      <c r="E205" s="1757" t="s">
        <v>3382</v>
      </c>
      <c r="F205" s="1798">
        <v>0.17</v>
      </c>
      <c r="G205" s="85">
        <v>0.11</v>
      </c>
      <c r="H205" s="85">
        <v>0.22</v>
      </c>
      <c r="I205" s="1799">
        <v>0.13</v>
      </c>
    </row>
    <row r="206" spans="1:9">
      <c r="A206" s="43" t="str">
        <f t="shared" si="150"/>
        <v>Buchs Aarau</v>
      </c>
      <c r="B206" s="847" t="s">
        <v>3379</v>
      </c>
      <c r="D206" s="2300"/>
      <c r="E206" s="1757" t="s">
        <v>3381</v>
      </c>
      <c r="F206" s="1798">
        <v>0.19</v>
      </c>
      <c r="G206" s="85">
        <v>0.14000000000000001</v>
      </c>
      <c r="H206" s="85">
        <v>0.24</v>
      </c>
      <c r="I206" s="1799">
        <v>0.17</v>
      </c>
    </row>
    <row r="207" spans="1:9">
      <c r="A207" s="43" t="str">
        <f t="shared" si="150"/>
        <v>Chur</v>
      </c>
      <c r="B207" s="847" t="s">
        <v>3379</v>
      </c>
      <c r="D207" s="2300"/>
      <c r="E207" s="1757" t="s">
        <v>3379</v>
      </c>
      <c r="F207" s="1798">
        <v>0.24</v>
      </c>
      <c r="G207" s="85">
        <v>0.18</v>
      </c>
      <c r="H207" s="85">
        <v>0.3</v>
      </c>
      <c r="I207" s="1799">
        <v>0.23</v>
      </c>
    </row>
    <row r="208" spans="1:9">
      <c r="A208" s="43" t="str">
        <f t="shared" si="150"/>
        <v>Davos</v>
      </c>
      <c r="B208" s="847" t="s">
        <v>3380</v>
      </c>
      <c r="D208" s="2300"/>
      <c r="E208" s="1757" t="s">
        <v>3378</v>
      </c>
      <c r="F208" s="1798">
        <v>0.36</v>
      </c>
      <c r="G208" s="85">
        <v>0.3</v>
      </c>
      <c r="H208" s="85">
        <v>0.44</v>
      </c>
      <c r="I208" s="1799">
        <v>0.4</v>
      </c>
    </row>
    <row r="209" spans="1:9" ht="12.75" customHeight="1">
      <c r="A209" s="43" t="str">
        <f t="shared" si="150"/>
        <v>Disentis</v>
      </c>
      <c r="B209" s="847" t="s">
        <v>3378</v>
      </c>
      <c r="D209" s="2301"/>
      <c r="E209" s="1233" t="s">
        <v>3380</v>
      </c>
      <c r="F209" s="1798">
        <v>0.4</v>
      </c>
      <c r="G209" s="85">
        <v>0.34</v>
      </c>
      <c r="H209" s="85">
        <v>0.46</v>
      </c>
      <c r="I209" s="1799">
        <v>0.44</v>
      </c>
    </row>
    <row r="210" spans="1:9">
      <c r="A210" s="43" t="str">
        <f t="shared" si="150"/>
        <v>Engelberg</v>
      </c>
      <c r="B210" s="847" t="s">
        <v>3378</v>
      </c>
      <c r="D210" s="1706" t="s">
        <v>177</v>
      </c>
      <c r="E210" s="1027" t="str">
        <f>B199</f>
        <v/>
      </c>
      <c r="F210" s="1026" t="str">
        <f>VLOOKUP($B$199,$E$204:$I$209,2,FALSE)</f>
        <v/>
      </c>
      <c r="G210" s="1027" t="str">
        <f>VLOOKUP($B$199,$E$204:$I$209,3,FALSE)</f>
        <v/>
      </c>
      <c r="H210" s="1027" t="str">
        <f>VLOOKUP($B$199,$E$204:$I$209,4,FALSE)</f>
        <v/>
      </c>
      <c r="I210" s="455" t="str">
        <f>VLOOKUP($B$199,$E$204:$I$209,5,FALSE)</f>
        <v/>
      </c>
    </row>
    <row r="211" spans="1:9">
      <c r="A211" s="43" t="str">
        <f t="shared" si="150"/>
        <v>Genève</v>
      </c>
      <c r="B211" s="847" t="s">
        <v>3381</v>
      </c>
    </row>
    <row r="212" spans="1:9">
      <c r="A212" s="43" t="str">
        <f t="shared" si="150"/>
        <v>Glarus</v>
      </c>
      <c r="B212" s="847" t="s">
        <v>3379</v>
      </c>
    </row>
    <row r="213" spans="1:9">
      <c r="A213" s="43" t="str">
        <f t="shared" si="150"/>
        <v>Gr. St. Bernhard</v>
      </c>
      <c r="B213" s="847" t="s">
        <v>3380</v>
      </c>
    </row>
    <row r="214" spans="1:9">
      <c r="A214" s="43" t="str">
        <f t="shared" si="150"/>
        <v>Güttingen</v>
      </c>
      <c r="B214" s="847" t="s">
        <v>3379</v>
      </c>
    </row>
    <row r="215" spans="1:9">
      <c r="A215" s="43" t="str">
        <f t="shared" si="150"/>
        <v>Interlaken</v>
      </c>
      <c r="B215" s="847" t="s">
        <v>3379</v>
      </c>
    </row>
    <row r="216" spans="1:9">
      <c r="A216" s="43" t="str">
        <f t="shared" si="150"/>
        <v>La Chaux-de-Fonds</v>
      </c>
      <c r="B216" s="847" t="s">
        <v>3378</v>
      </c>
    </row>
    <row r="217" spans="1:9">
      <c r="A217" s="43" t="str">
        <f t="shared" si="150"/>
        <v>La Frêtaz</v>
      </c>
      <c r="B217" s="847" t="s">
        <v>3378</v>
      </c>
    </row>
    <row r="218" spans="1:9">
      <c r="A218" s="43" t="str">
        <f t="shared" si="150"/>
        <v>Locarno-Monti</v>
      </c>
      <c r="B218" s="847" t="s">
        <v>3382</v>
      </c>
    </row>
    <row r="219" spans="1:9">
      <c r="A219" s="43" t="str">
        <f t="shared" si="150"/>
        <v>Lugano</v>
      </c>
      <c r="B219" s="847" t="s">
        <v>3382</v>
      </c>
    </row>
    <row r="220" spans="1:9">
      <c r="A220" s="43" t="str">
        <f t="shared" si="150"/>
        <v>Luzern</v>
      </c>
      <c r="B220" s="847" t="s">
        <v>3379</v>
      </c>
    </row>
    <row r="221" spans="1:9">
      <c r="A221" s="43" t="str">
        <f t="shared" si="150"/>
        <v>Magadino</v>
      </c>
      <c r="B221" s="847" t="s">
        <v>3382</v>
      </c>
    </row>
    <row r="222" spans="1:9">
      <c r="A222" s="43" t="str">
        <f t="shared" si="150"/>
        <v>Montana</v>
      </c>
      <c r="B222" s="847" t="s">
        <v>3378</v>
      </c>
    </row>
    <row r="223" spans="1:9">
      <c r="A223" s="43" t="str">
        <f t="shared" si="150"/>
        <v>Neuchâtel</v>
      </c>
      <c r="B223" s="847" t="s">
        <v>3381</v>
      </c>
    </row>
    <row r="224" spans="1:9">
      <c r="A224" s="43" t="str">
        <f t="shared" si="150"/>
        <v>Payerne</v>
      </c>
      <c r="B224" s="847" t="s">
        <v>3379</v>
      </c>
    </row>
    <row r="225" spans="1:2">
      <c r="A225" s="43" t="str">
        <f t="shared" si="150"/>
        <v>Piotta</v>
      </c>
      <c r="B225" s="847" t="s">
        <v>3378</v>
      </c>
    </row>
    <row r="226" spans="1:2">
      <c r="A226" s="43" t="str">
        <f t="shared" si="150"/>
        <v>Pully</v>
      </c>
      <c r="B226" s="847" t="s">
        <v>3381</v>
      </c>
    </row>
    <row r="227" spans="1:2">
      <c r="A227" s="43" t="str">
        <f t="shared" si="150"/>
        <v>Robbia</v>
      </c>
      <c r="B227" s="847" t="s">
        <v>3378</v>
      </c>
    </row>
    <row r="228" spans="1:2">
      <c r="A228" s="43" t="str">
        <f t="shared" si="150"/>
        <v>Rünenberg</v>
      </c>
      <c r="B228" s="847" t="s">
        <v>3379</v>
      </c>
    </row>
    <row r="229" spans="1:2">
      <c r="A229" s="43" t="str">
        <f t="shared" si="150"/>
        <v>Samedan</v>
      </c>
      <c r="B229" s="847" t="s">
        <v>3380</v>
      </c>
    </row>
    <row r="230" spans="1:2">
      <c r="A230" s="43" t="str">
        <f t="shared" si="150"/>
        <v>San Bernardino</v>
      </c>
      <c r="B230" s="847" t="s">
        <v>3380</v>
      </c>
    </row>
    <row r="231" spans="1:2">
      <c r="A231" s="43" t="str">
        <f t="shared" si="150"/>
        <v>St. Gallen</v>
      </c>
      <c r="B231" s="847" t="s">
        <v>3379</v>
      </c>
    </row>
    <row r="232" spans="1:2">
      <c r="A232" s="43" t="str">
        <f t="shared" si="150"/>
        <v>Schaffhausen</v>
      </c>
      <c r="B232" s="847" t="s">
        <v>3379</v>
      </c>
    </row>
    <row r="233" spans="1:2">
      <c r="A233" s="43" t="str">
        <f t="shared" si="150"/>
        <v>Schuls</v>
      </c>
      <c r="B233" s="847" t="s">
        <v>3380</v>
      </c>
    </row>
    <row r="234" spans="1:2">
      <c r="A234" s="43" t="str">
        <f t="shared" si="150"/>
        <v>Sion</v>
      </c>
      <c r="B234" s="847" t="s">
        <v>3381</v>
      </c>
    </row>
    <row r="235" spans="1:2">
      <c r="A235" s="43" t="str">
        <f t="shared" si="150"/>
        <v>Ulrichen</v>
      </c>
      <c r="B235" s="847" t="s">
        <v>3380</v>
      </c>
    </row>
    <row r="236" spans="1:2">
      <c r="A236" s="43" t="str">
        <f t="shared" si="150"/>
        <v>Vaduz</v>
      </c>
      <c r="B236" s="847" t="s">
        <v>3379</v>
      </c>
    </row>
    <row r="237" spans="1:2">
      <c r="A237" s="43" t="str">
        <f t="shared" si="150"/>
        <v>Wynau</v>
      </c>
      <c r="B237" s="847" t="s">
        <v>3379</v>
      </c>
    </row>
    <row r="238" spans="1:2">
      <c r="A238" s="43" t="str">
        <f t="shared" si="150"/>
        <v>Zermatt</v>
      </c>
      <c r="B238" s="847" t="s">
        <v>3380</v>
      </c>
    </row>
    <row r="239" spans="1:2">
      <c r="A239" s="43" t="str">
        <f t="shared" si="150"/>
        <v>Zürich-Kloten</v>
      </c>
      <c r="B239" s="847" t="s">
        <v>3379</v>
      </c>
    </row>
    <row r="240" spans="1:2">
      <c r="A240" s="95" t="str">
        <f>A94</f>
        <v>Zürich SMA</v>
      </c>
      <c r="B240" s="848" t="s">
        <v>3379</v>
      </c>
    </row>
  </sheetData>
  <sheetProtection password="C616" sheet="1" objects="1" scenarios="1"/>
  <mergeCells count="68">
    <mergeCell ref="AB94:AC94"/>
    <mergeCell ref="AM42:AN42"/>
    <mergeCell ref="U54:V54"/>
    <mergeCell ref="AI49:AJ49"/>
    <mergeCell ref="AK42:AL42"/>
    <mergeCell ref="AG44:AH44"/>
    <mergeCell ref="AG45:AH45"/>
    <mergeCell ref="AD69:AF69"/>
    <mergeCell ref="X66:Y66"/>
    <mergeCell ref="Z66:AA66"/>
    <mergeCell ref="AB66:AC66"/>
    <mergeCell ref="AL68:AM68"/>
    <mergeCell ref="AO50:AP50"/>
    <mergeCell ref="AG50:AH50"/>
    <mergeCell ref="AI50:AJ50"/>
    <mergeCell ref="AK50:AL50"/>
    <mergeCell ref="AM50:AN50"/>
    <mergeCell ref="N122:Q122"/>
    <mergeCell ref="AI35:AJ35"/>
    <mergeCell ref="AG36:AH36"/>
    <mergeCell ref="O83:P83"/>
    <mergeCell ref="AM37:AN37"/>
    <mergeCell ref="AM38:AN38"/>
    <mergeCell ref="AI43:AJ43"/>
    <mergeCell ref="AI44:AJ44"/>
    <mergeCell ref="AI42:AJ42"/>
    <mergeCell ref="AK37:AL37"/>
    <mergeCell ref="AI38:AJ38"/>
    <mergeCell ref="AK38:AL38"/>
    <mergeCell ref="AM49:AN49"/>
    <mergeCell ref="AM43:AN43"/>
    <mergeCell ref="AM44:AN44"/>
    <mergeCell ref="AM45:AN45"/>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AM33:AN33"/>
    <mergeCell ref="BQ40:BR40"/>
    <mergeCell ref="AK35:AL35"/>
    <mergeCell ref="AV21:AW21"/>
    <mergeCell ref="AA34:AC34"/>
    <mergeCell ref="AG38:AH38"/>
    <mergeCell ref="AG37:AH37"/>
    <mergeCell ref="AI36:AJ36"/>
    <mergeCell ref="U34:X34"/>
    <mergeCell ref="U23:X23"/>
    <mergeCell ref="AI33:AJ33"/>
    <mergeCell ref="AK33:AL33"/>
    <mergeCell ref="X65:AC65"/>
    <mergeCell ref="D204:D209"/>
    <mergeCell ref="F199:F203"/>
    <mergeCell ref="G199:G203"/>
    <mergeCell ref="H199:H203"/>
    <mergeCell ref="I199:I203"/>
    <mergeCell ref="E200:E203"/>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dimension ref="A1:I573"/>
  <sheetViews>
    <sheetView zoomScale="80" zoomScaleNormal="80" workbookViewId="0">
      <pane xSplit="1" topLeftCell="C1" activePane="topRight" state="frozen"/>
      <selection activeCell="A294" sqref="A294"/>
      <selection pane="topRight" activeCell="C1" sqref="C1"/>
    </sheetView>
  </sheetViews>
  <sheetFormatPr baseColWidth="10" defaultColWidth="11.5703125" defaultRowHeight="25.9" customHeight="1"/>
  <cols>
    <col min="1" max="1" width="6.85546875" style="429" customWidth="1"/>
    <col min="2" max="2" width="12.7109375" style="990" customWidth="1"/>
    <col min="3" max="3" width="12.140625" style="990" customWidth="1"/>
    <col min="4" max="4" width="46.28515625" style="429" customWidth="1"/>
    <col min="5" max="5" width="51.28515625" style="430" customWidth="1"/>
    <col min="6" max="6" width="46.28515625" style="960" customWidth="1"/>
    <col min="7" max="7" width="46.28515625" style="431" customWidth="1"/>
    <col min="8" max="16384" width="11.5703125" style="432"/>
  </cols>
  <sheetData>
    <row r="1" spans="1:9" s="424" customFormat="1" ht="25.9" customHeight="1">
      <c r="A1" s="954">
        <f>VLOOKUP(C1,H1:I3,2)</f>
        <v>1</v>
      </c>
      <c r="B1" s="989" t="s">
        <v>844</v>
      </c>
      <c r="C1" s="994" t="s">
        <v>133</v>
      </c>
      <c r="D1" s="421"/>
      <c r="E1" s="422" t="s">
        <v>136</v>
      </c>
      <c r="F1" s="959"/>
      <c r="G1" s="423"/>
      <c r="H1" s="432" t="str">
        <f>E3</f>
        <v>deutsch</v>
      </c>
      <c r="I1" s="955">
        <v>1</v>
      </c>
    </row>
    <row r="2" spans="1:9" ht="34.5" customHeight="1">
      <c r="A2" s="1432">
        <v>3</v>
      </c>
      <c r="B2" s="1428"/>
      <c r="C2" s="1431">
        <v>2019</v>
      </c>
      <c r="D2" s="1429" t="s">
        <v>2151</v>
      </c>
      <c r="H2" s="432" t="str">
        <f>F3</f>
        <v>französisch</v>
      </c>
      <c r="I2" s="955">
        <v>2</v>
      </c>
    </row>
    <row r="3" spans="1:9" s="428" customFormat="1" ht="25.9" customHeight="1">
      <c r="A3" s="425"/>
      <c r="B3" s="991" t="s">
        <v>620</v>
      </c>
      <c r="C3" s="991" t="s">
        <v>621</v>
      </c>
      <c r="D3" s="425" t="s">
        <v>698</v>
      </c>
      <c r="E3" s="426" t="s">
        <v>133</v>
      </c>
      <c r="F3" s="961" t="s">
        <v>134</v>
      </c>
      <c r="G3" s="427" t="s">
        <v>135</v>
      </c>
      <c r="H3" s="432" t="str">
        <f>G3</f>
        <v>italienisch</v>
      </c>
      <c r="I3" s="955">
        <v>3</v>
      </c>
    </row>
    <row r="4" spans="1:9" ht="25.9" customHeight="1">
      <c r="A4" s="429">
        <v>1</v>
      </c>
      <c r="B4" s="990" t="s">
        <v>53</v>
      </c>
      <c r="C4" s="990" t="s">
        <v>1084</v>
      </c>
      <c r="D4" s="956" t="str">
        <f>INDEX($E$4:$G$503,$A4,$A$1)</f>
        <v>v2.3</v>
      </c>
      <c r="E4" s="1538" t="s">
        <v>3746</v>
      </c>
      <c r="F4" s="960" t="str">
        <f>E4</f>
        <v>v2.3</v>
      </c>
      <c r="G4" s="431" t="str">
        <f>E4</f>
        <v>v2.3</v>
      </c>
    </row>
    <row r="5" spans="1:9" ht="25.9" customHeight="1">
      <c r="A5" s="429">
        <v>2</v>
      </c>
      <c r="B5" s="990" t="s">
        <v>53</v>
      </c>
      <c r="C5" s="990" t="s">
        <v>846</v>
      </c>
      <c r="D5" s="956" t="str">
        <f t="shared" ref="D5:D68" si="0">INDEX($E$4:$G$503,$A5,$A$1)</f>
        <v>Formular EN101b, v2.3, zu verwenden bis 31. Dezember 2019</v>
      </c>
      <c r="E5" s="457" t="s">
        <v>3747</v>
      </c>
      <c r="F5" s="960" t="s">
        <v>3748</v>
      </c>
      <c r="G5" s="431" t="s">
        <v>3749</v>
      </c>
    </row>
    <row r="6" spans="1:9" ht="25.9" customHeight="1">
      <c r="A6" s="429">
        <v>3</v>
      </c>
      <c r="B6" s="990" t="s">
        <v>53</v>
      </c>
      <c r="C6" s="990" t="s">
        <v>847</v>
      </c>
      <c r="D6" s="956" t="str">
        <f t="shared" si="0"/>
        <v>Energienachweis</v>
      </c>
      <c r="E6" s="430" t="s">
        <v>755</v>
      </c>
      <c r="F6" s="960" t="s">
        <v>1503</v>
      </c>
      <c r="G6" s="431" t="s">
        <v>1248</v>
      </c>
    </row>
    <row r="7" spans="1:9" ht="25.9" customHeight="1">
      <c r="A7" s="429">
        <v>4</v>
      </c>
      <c r="B7" s="990" t="s">
        <v>53</v>
      </c>
      <c r="C7" s="990" t="s">
        <v>848</v>
      </c>
      <c r="D7" s="956" t="str">
        <f t="shared" si="0"/>
        <v>Energiebedarf</v>
      </c>
      <c r="E7" s="430" t="s">
        <v>1705</v>
      </c>
      <c r="F7" s="960" t="s">
        <v>1706</v>
      </c>
      <c r="G7" s="431" t="s">
        <v>1707</v>
      </c>
    </row>
    <row r="8" spans="1:9" ht="25.9" customHeight="1">
      <c r="A8" s="429">
        <v>5</v>
      </c>
      <c r="B8" s="990" t="s">
        <v>53</v>
      </c>
      <c r="C8" s="990" t="s">
        <v>849</v>
      </c>
      <c r="D8" s="956" t="str">
        <f t="shared" si="0"/>
        <v>Rechnerische Lösung</v>
      </c>
      <c r="E8" s="430" t="s">
        <v>757</v>
      </c>
      <c r="F8" s="960" t="s">
        <v>1504</v>
      </c>
      <c r="G8" s="431" t="s">
        <v>1249</v>
      </c>
    </row>
    <row r="9" spans="1:9" ht="25.9" customHeight="1">
      <c r="A9" s="429">
        <v>6</v>
      </c>
      <c r="B9" s="990" t="s">
        <v>53</v>
      </c>
      <c r="C9" s="990" t="s">
        <v>850</v>
      </c>
      <c r="D9" s="956" t="str">
        <f t="shared" si="0"/>
        <v xml:space="preserve">Gemeinde:             </v>
      </c>
      <c r="E9" s="430" t="s">
        <v>798</v>
      </c>
      <c r="F9" s="960" t="s">
        <v>1505</v>
      </c>
      <c r="G9" s="431" t="s">
        <v>1250</v>
      </c>
    </row>
    <row r="10" spans="1:9" ht="26.1" customHeight="1">
      <c r="A10" s="429">
        <v>7</v>
      </c>
      <c r="B10" s="990" t="s">
        <v>53</v>
      </c>
      <c r="C10" s="990" t="s">
        <v>1218</v>
      </c>
      <c r="D10" s="956" t="str">
        <f t="shared" si="0"/>
        <v xml:space="preserve">Parz.-Nr.:  </v>
      </c>
      <c r="E10" s="430" t="s">
        <v>801</v>
      </c>
      <c r="F10" s="960" t="s">
        <v>1506</v>
      </c>
      <c r="G10" s="431" t="s">
        <v>1251</v>
      </c>
    </row>
    <row r="11" spans="1:9" ht="26.1" customHeight="1">
      <c r="A11" s="429">
        <v>8</v>
      </c>
      <c r="B11" s="990" t="s">
        <v>53</v>
      </c>
      <c r="C11" s="990" t="s">
        <v>1053</v>
      </c>
      <c r="D11" s="956" t="str">
        <f t="shared" si="0"/>
        <v xml:space="preserve">Geb.-Nr.:  </v>
      </c>
      <c r="E11" s="430" t="s">
        <v>800</v>
      </c>
      <c r="F11" s="960" t="s">
        <v>1507</v>
      </c>
      <c r="G11" s="431" t="s">
        <v>1252</v>
      </c>
    </row>
    <row r="12" spans="1:9" ht="26.1" customHeight="1">
      <c r="A12" s="429">
        <v>9</v>
      </c>
      <c r="B12" s="990" t="s">
        <v>53</v>
      </c>
      <c r="C12" s="990" t="s">
        <v>843</v>
      </c>
      <c r="D12" s="956" t="str">
        <f t="shared" si="0"/>
        <v>Kanton:</v>
      </c>
      <c r="E12" s="501" t="s">
        <v>617</v>
      </c>
      <c r="F12" s="962" t="s">
        <v>842</v>
      </c>
      <c r="G12" s="431" t="s">
        <v>1253</v>
      </c>
    </row>
    <row r="13" spans="1:9" ht="26.1" customHeight="1">
      <c r="A13" s="429">
        <v>10</v>
      </c>
      <c r="B13" s="990" t="s">
        <v>53</v>
      </c>
      <c r="C13" s="990" t="s">
        <v>853</v>
      </c>
      <c r="D13" s="956" t="str">
        <f t="shared" si="0"/>
        <v xml:space="preserve">Bauvorhaben:            </v>
      </c>
      <c r="E13" s="430" t="s">
        <v>799</v>
      </c>
      <c r="F13" s="960" t="s">
        <v>1508</v>
      </c>
      <c r="G13" s="431" t="s">
        <v>1254</v>
      </c>
    </row>
    <row r="14" spans="1:9" ht="26.1" customHeight="1">
      <c r="A14" s="429">
        <v>11</v>
      </c>
      <c r="B14" s="990" t="s">
        <v>53</v>
      </c>
      <c r="C14" s="990" t="s">
        <v>854</v>
      </c>
      <c r="D14" s="956" t="str">
        <f t="shared" si="0"/>
        <v>Gebäudedaten</v>
      </c>
      <c r="E14" s="430" t="s">
        <v>489</v>
      </c>
      <c r="F14" s="960" t="s">
        <v>1509</v>
      </c>
      <c r="G14" s="431" t="s">
        <v>1255</v>
      </c>
    </row>
    <row r="15" spans="1:9" ht="26.1" customHeight="1">
      <c r="A15" s="429">
        <v>12</v>
      </c>
      <c r="B15" s="990" t="s">
        <v>53</v>
      </c>
      <c r="C15" s="990" t="s">
        <v>389</v>
      </c>
      <c r="D15" s="956" t="str">
        <f t="shared" si="0"/>
        <v xml:space="preserve">Gebäudestandort: </v>
      </c>
      <c r="E15" s="430" t="s">
        <v>833</v>
      </c>
      <c r="F15" s="960" t="s">
        <v>1510</v>
      </c>
      <c r="G15" s="431" t="s">
        <v>1256</v>
      </c>
    </row>
    <row r="16" spans="1:9" s="968" customFormat="1" ht="26.1" customHeight="1">
      <c r="A16" s="429">
        <v>13</v>
      </c>
      <c r="B16" s="990" t="s">
        <v>53</v>
      </c>
      <c r="C16" s="990" t="s">
        <v>856</v>
      </c>
      <c r="D16" s="956" t="str">
        <f t="shared" si="0"/>
        <v>m.ü.M.</v>
      </c>
      <c r="E16" s="965" t="s">
        <v>251</v>
      </c>
      <c r="F16" s="966" t="s">
        <v>1511</v>
      </c>
      <c r="G16" s="967" t="s">
        <v>3579</v>
      </c>
    </row>
    <row r="17" spans="1:7" ht="26.1" customHeight="1">
      <c r="A17" s="429">
        <v>14</v>
      </c>
      <c r="B17" s="990" t="s">
        <v>53</v>
      </c>
      <c r="C17" s="990" t="s">
        <v>466</v>
      </c>
      <c r="D17" s="956" t="str">
        <f t="shared" si="0"/>
        <v>( aus SIA 380/1 )</v>
      </c>
      <c r="E17" s="430" t="s">
        <v>829</v>
      </c>
      <c r="F17" s="960" t="s">
        <v>1512</v>
      </c>
      <c r="G17" s="431" t="s">
        <v>1257</v>
      </c>
    </row>
    <row r="18" spans="1:7" ht="26.1" customHeight="1">
      <c r="A18" s="429">
        <v>15</v>
      </c>
      <c r="B18" s="990" t="s">
        <v>53</v>
      </c>
      <c r="C18" s="990" t="s">
        <v>855</v>
      </c>
      <c r="D18" s="956" t="str">
        <f t="shared" si="0"/>
        <v xml:space="preserve">Art des Nachweises: </v>
      </c>
      <c r="E18" s="430" t="s">
        <v>834</v>
      </c>
      <c r="F18" s="960" t="s">
        <v>1513</v>
      </c>
      <c r="G18" s="431" t="s">
        <v>1258</v>
      </c>
    </row>
    <row r="19" spans="1:7" ht="26.1" customHeight="1">
      <c r="A19" s="429">
        <v>16</v>
      </c>
      <c r="B19" s="990" t="s">
        <v>622</v>
      </c>
      <c r="C19" s="990" t="s">
        <v>860</v>
      </c>
      <c r="D19" s="956" t="str">
        <f t="shared" si="0"/>
        <v>behördlicher Nachweis</v>
      </c>
      <c r="E19" s="430" t="s">
        <v>831</v>
      </c>
      <c r="F19" s="960" t="s">
        <v>1514</v>
      </c>
      <c r="G19" s="431" t="s">
        <v>1259</v>
      </c>
    </row>
    <row r="20" spans="1:7" ht="26.1" customHeight="1">
      <c r="A20" s="429">
        <v>17</v>
      </c>
      <c r="B20" s="990" t="s">
        <v>622</v>
      </c>
      <c r="C20" s="990" t="s">
        <v>861</v>
      </c>
      <c r="D20" s="956" t="str">
        <f t="shared" si="0"/>
        <v>MINERGIE</v>
      </c>
      <c r="E20" s="430" t="s">
        <v>313</v>
      </c>
      <c r="F20" s="960" t="s">
        <v>313</v>
      </c>
      <c r="G20" s="431" t="s">
        <v>313</v>
      </c>
    </row>
    <row r="21" spans="1:7" ht="26.1" customHeight="1">
      <c r="A21" s="429">
        <v>18</v>
      </c>
      <c r="B21" s="990" t="s">
        <v>622</v>
      </c>
      <c r="C21" s="990" t="s">
        <v>862</v>
      </c>
      <c r="D21" s="956" t="str">
        <f t="shared" si="0"/>
        <v>MINERGIE-P</v>
      </c>
      <c r="E21" s="430" t="s">
        <v>652</v>
      </c>
      <c r="F21" s="960" t="s">
        <v>652</v>
      </c>
      <c r="G21" s="431" t="s">
        <v>652</v>
      </c>
    </row>
    <row r="22" spans="1:7" ht="26.1" customHeight="1">
      <c r="A22" s="429">
        <v>19</v>
      </c>
      <c r="B22" s="990" t="s">
        <v>622</v>
      </c>
      <c r="C22" s="990" t="s">
        <v>863</v>
      </c>
      <c r="D22" s="956" t="str">
        <f t="shared" si="0"/>
        <v>MINERGIE-A</v>
      </c>
      <c r="E22" s="430" t="s">
        <v>832</v>
      </c>
      <c r="F22" s="960" t="s">
        <v>832</v>
      </c>
      <c r="G22" s="431" t="s">
        <v>832</v>
      </c>
    </row>
    <row r="23" spans="1:7" ht="26.1" customHeight="1">
      <c r="A23" s="429">
        <v>20</v>
      </c>
      <c r="B23" s="990" t="s">
        <v>313</v>
      </c>
      <c r="C23" s="990" t="s">
        <v>1872</v>
      </c>
      <c r="D23" s="956" t="str">
        <f t="shared" si="0"/>
        <v>erfüllt</v>
      </c>
      <c r="E23" s="430" t="s">
        <v>676</v>
      </c>
      <c r="F23" s="960" t="s">
        <v>1515</v>
      </c>
      <c r="G23" s="431" t="s">
        <v>1260</v>
      </c>
    </row>
    <row r="24" spans="1:7" ht="26.1" customHeight="1">
      <c r="A24" s="429">
        <v>21</v>
      </c>
      <c r="B24" s="990" t="s">
        <v>313</v>
      </c>
      <c r="C24" s="990" t="s">
        <v>1873</v>
      </c>
      <c r="D24" s="956" t="str">
        <f t="shared" si="0"/>
        <v>nicht erfüllt</v>
      </c>
      <c r="E24" s="430" t="s">
        <v>677</v>
      </c>
      <c r="F24" s="960" t="s">
        <v>1516</v>
      </c>
      <c r="G24" s="431" t="s">
        <v>1261</v>
      </c>
    </row>
    <row r="25" spans="1:7" ht="26.1" customHeight="1">
      <c r="A25" s="429">
        <v>22</v>
      </c>
      <c r="B25" s="990" t="s">
        <v>622</v>
      </c>
      <c r="C25" s="990" t="s">
        <v>864</v>
      </c>
      <c r="D25" s="956" t="str">
        <f t="shared" si="0"/>
        <v>Ja</v>
      </c>
      <c r="E25" s="430" t="s">
        <v>120</v>
      </c>
      <c r="F25" s="960" t="s">
        <v>329</v>
      </c>
      <c r="G25" s="431" t="s">
        <v>1262</v>
      </c>
    </row>
    <row r="26" spans="1:7" ht="26.1" customHeight="1">
      <c r="A26" s="429">
        <v>23</v>
      </c>
      <c r="B26" s="990" t="s">
        <v>622</v>
      </c>
      <c r="C26" s="990" t="s">
        <v>865</v>
      </c>
      <c r="D26" s="956" t="str">
        <f t="shared" si="0"/>
        <v>Nein</v>
      </c>
      <c r="E26" s="963" t="s">
        <v>122</v>
      </c>
      <c r="F26" s="964" t="s">
        <v>330</v>
      </c>
      <c r="G26" s="431" t="s">
        <v>1263</v>
      </c>
    </row>
    <row r="27" spans="1:7" ht="26.1" customHeight="1">
      <c r="A27" s="429">
        <v>24</v>
      </c>
      <c r="B27" s="990" t="s">
        <v>1770</v>
      </c>
      <c r="C27" s="990" t="s">
        <v>412</v>
      </c>
      <c r="D27" s="956" t="str">
        <f t="shared" si="0"/>
        <v>n.a.</v>
      </c>
      <c r="E27" s="430" t="s">
        <v>216</v>
      </c>
      <c r="F27" s="960" t="s">
        <v>216</v>
      </c>
      <c r="G27" s="431" t="s">
        <v>216</v>
      </c>
    </row>
    <row r="28" spans="1:7" ht="26.1" customHeight="1">
      <c r="A28" s="429">
        <v>25</v>
      </c>
      <c r="B28" s="990" t="s">
        <v>53</v>
      </c>
      <c r="C28" s="990" t="s">
        <v>852</v>
      </c>
      <c r="D28" s="956" t="str">
        <f t="shared" si="0"/>
        <v>Klimastation:</v>
      </c>
      <c r="E28" s="430" t="s">
        <v>719</v>
      </c>
      <c r="F28" s="960" t="s">
        <v>1517</v>
      </c>
      <c r="G28" s="431" t="s">
        <v>1264</v>
      </c>
    </row>
    <row r="29" spans="1:7" ht="26.1" customHeight="1">
      <c r="A29" s="429">
        <v>26</v>
      </c>
      <c r="B29" s="990" t="s">
        <v>53</v>
      </c>
      <c r="C29" s="990" t="s">
        <v>867</v>
      </c>
      <c r="D29" s="956" t="str">
        <f t="shared" si="0"/>
        <v>Zone</v>
      </c>
      <c r="E29" s="430" t="s">
        <v>312</v>
      </c>
      <c r="F29" s="960" t="s">
        <v>312</v>
      </c>
      <c r="G29" s="431" t="s">
        <v>312</v>
      </c>
    </row>
    <row r="30" spans="1:7" ht="26.1" customHeight="1">
      <c r="A30" s="429">
        <v>27</v>
      </c>
      <c r="B30" s="990" t="s">
        <v>53</v>
      </c>
      <c r="C30" s="990" t="s">
        <v>868</v>
      </c>
      <c r="D30" s="956" t="str">
        <f t="shared" si="0"/>
        <v>Summe</v>
      </c>
      <c r="E30" s="430" t="s">
        <v>490</v>
      </c>
      <c r="F30" s="960" t="s">
        <v>1518</v>
      </c>
      <c r="G30" s="431" t="s">
        <v>1265</v>
      </c>
    </row>
    <row r="31" spans="1:7" ht="26.1" customHeight="1">
      <c r="A31" s="429">
        <v>28</v>
      </c>
      <c r="B31" s="990" t="s">
        <v>53</v>
      </c>
      <c r="C31" s="990" t="s">
        <v>858</v>
      </c>
      <c r="D31" s="956" t="str">
        <f t="shared" si="0"/>
        <v>Gebäudekategorie</v>
      </c>
      <c r="E31" s="430" t="s">
        <v>331</v>
      </c>
      <c r="F31" s="960" t="s">
        <v>1519</v>
      </c>
      <c r="G31" s="431" t="s">
        <v>1266</v>
      </c>
    </row>
    <row r="32" spans="1:7" ht="26.1" customHeight="1">
      <c r="A32" s="429">
        <v>29</v>
      </c>
      <c r="B32" s="990" t="s">
        <v>53</v>
      </c>
      <c r="C32" s="990" t="s">
        <v>859</v>
      </c>
      <c r="D32" s="956" t="str">
        <f t="shared" si="0"/>
        <v>Mit Warmwasser ?</v>
      </c>
      <c r="E32" s="430" t="s">
        <v>364</v>
      </c>
      <c r="F32" s="960" t="s">
        <v>1520</v>
      </c>
      <c r="G32" s="431" t="s">
        <v>1267</v>
      </c>
    </row>
    <row r="33" spans="1:7" ht="26.1" customHeight="1">
      <c r="A33" s="429">
        <v>30</v>
      </c>
      <c r="B33" s="990" t="s">
        <v>53</v>
      </c>
      <c r="C33" s="990" t="s">
        <v>488</v>
      </c>
      <c r="D33" s="956" t="str">
        <f t="shared" si="0"/>
        <v>Energiebezugsfläche EBF</v>
      </c>
      <c r="E33" s="430" t="s">
        <v>137</v>
      </c>
      <c r="F33" s="960" t="s">
        <v>1521</v>
      </c>
      <c r="G33" s="431" t="s">
        <v>1268</v>
      </c>
    </row>
    <row r="34" spans="1:7" ht="26.1" customHeight="1">
      <c r="A34" s="429">
        <v>31</v>
      </c>
      <c r="B34" s="990" t="s">
        <v>53</v>
      </c>
      <c r="C34" s="990" t="s">
        <v>549</v>
      </c>
      <c r="D34" s="956" t="str">
        <f t="shared" si="0"/>
        <v>Neubau</v>
      </c>
      <c r="E34" s="430" t="s">
        <v>650</v>
      </c>
      <c r="F34" s="960" t="s">
        <v>1522</v>
      </c>
      <c r="G34" s="431" t="s">
        <v>1269</v>
      </c>
    </row>
    <row r="35" spans="1:7" ht="26.1" customHeight="1">
      <c r="A35" s="429">
        <v>32</v>
      </c>
      <c r="B35" s="990" t="s">
        <v>53</v>
      </c>
      <c r="C35" s="990" t="s">
        <v>869</v>
      </c>
      <c r="D35" s="956" t="str">
        <f t="shared" si="0"/>
        <v>(Mittel)</v>
      </c>
      <c r="E35" s="430" t="s">
        <v>492</v>
      </c>
      <c r="F35" s="960" t="s">
        <v>1523</v>
      </c>
      <c r="G35" s="431" t="s">
        <v>1270</v>
      </c>
    </row>
    <row r="36" spans="1:7" ht="26.1" customHeight="1">
      <c r="A36" s="429">
        <v>33</v>
      </c>
      <c r="B36" s="990" t="s">
        <v>53</v>
      </c>
      <c r="C36" s="990" t="s">
        <v>549</v>
      </c>
      <c r="D36" s="956" t="str">
        <f t="shared" si="0"/>
        <v>Neubau</v>
      </c>
      <c r="E36" s="430" t="s">
        <v>650</v>
      </c>
      <c r="F36" s="960" t="s">
        <v>1522</v>
      </c>
      <c r="G36" s="431" t="s">
        <v>1269</v>
      </c>
    </row>
    <row r="37" spans="1:7" ht="26.1" customHeight="1">
      <c r="A37" s="429">
        <v>34</v>
      </c>
      <c r="B37" s="990" t="s">
        <v>53</v>
      </c>
      <c r="C37" s="990" t="s">
        <v>551</v>
      </c>
      <c r="D37" s="956" t="str">
        <f t="shared" si="0"/>
        <v>Heizwärmebedarf mit Standardluftwechsel</v>
      </c>
      <c r="E37" s="430" t="s">
        <v>702</v>
      </c>
      <c r="F37" s="960" t="s">
        <v>1524</v>
      </c>
      <c r="G37" s="431" t="s">
        <v>1271</v>
      </c>
    </row>
    <row r="38" spans="1:7" ht="26.1" customHeight="1">
      <c r="A38" s="429">
        <v>35</v>
      </c>
      <c r="B38" s="990" t="s">
        <v>53</v>
      </c>
      <c r="C38" s="990" t="s">
        <v>870</v>
      </c>
      <c r="D38" s="956" t="str">
        <f t="shared" si="0"/>
        <v>Lüftung-Klima-Kälteanlagen</v>
      </c>
      <c r="E38" s="430" t="s">
        <v>514</v>
      </c>
      <c r="F38" s="960" t="s">
        <v>255</v>
      </c>
      <c r="G38" s="431" t="s">
        <v>2854</v>
      </c>
    </row>
    <row r="39" spans="1:7" ht="46.5" customHeight="1">
      <c r="A39" s="429">
        <v>36</v>
      </c>
      <c r="B39" s="990" t="s">
        <v>53</v>
      </c>
      <c r="C39" s="990" t="s">
        <v>871</v>
      </c>
      <c r="D39" s="956" t="str">
        <f t="shared" si="0"/>
        <v>Der thermisch wirksame Aussenluft-Volumenstrom ist in der Heizwärmebedarfsberechnung (SIA 380/1) entsprechend F45 - I45 einzusetzen</v>
      </c>
      <c r="E39" s="430" t="s">
        <v>1710</v>
      </c>
      <c r="F39" s="960" t="s">
        <v>3580</v>
      </c>
      <c r="G39" s="431" t="s">
        <v>1272</v>
      </c>
    </row>
    <row r="40" spans="1:7" ht="26.1" customHeight="1">
      <c r="A40" s="429">
        <v>37</v>
      </c>
      <c r="B40" s="990" t="s">
        <v>53</v>
      </c>
      <c r="C40" s="990" t="s">
        <v>872</v>
      </c>
      <c r="D40" s="956" t="str">
        <f t="shared" si="0"/>
        <v xml:space="preserve">Angaben bei Standard-Lüftungsanlagen </v>
      </c>
      <c r="E40" s="430" t="s">
        <v>840</v>
      </c>
      <c r="F40" s="960" t="s">
        <v>1525</v>
      </c>
      <c r="G40" s="431" t="s">
        <v>2853</v>
      </c>
    </row>
    <row r="41" spans="1:7" ht="26.1" customHeight="1">
      <c r="A41" s="429">
        <v>38</v>
      </c>
      <c r="B41" s="990" t="s">
        <v>53</v>
      </c>
      <c r="C41" s="990" t="s">
        <v>513</v>
      </c>
      <c r="D41" s="956" t="str">
        <f t="shared" si="0"/>
        <v>Standard-Lüftungsanlagentyp</v>
      </c>
      <c r="E41" s="430" t="s">
        <v>634</v>
      </c>
      <c r="F41" s="960" t="s">
        <v>1526</v>
      </c>
      <c r="G41" s="431" t="s">
        <v>2855</v>
      </c>
    </row>
    <row r="42" spans="1:7" ht="26.1" customHeight="1">
      <c r="A42" s="429">
        <v>39</v>
      </c>
      <c r="B42" s="990" t="s">
        <v>53</v>
      </c>
      <c r="C42" s="990" t="s">
        <v>875</v>
      </c>
      <c r="D42" s="956" t="str">
        <f t="shared" si="0"/>
        <v>Räume mit Zuluft oder Anzahl Personen</v>
      </c>
      <c r="E42" s="430" t="s">
        <v>874</v>
      </c>
      <c r="F42" s="960" t="s">
        <v>1527</v>
      </c>
      <c r="G42" s="431" t="s">
        <v>2856</v>
      </c>
    </row>
    <row r="43" spans="1:7" ht="26.1" customHeight="1">
      <c r="A43" s="429">
        <v>40</v>
      </c>
      <c r="B43" s="990" t="s">
        <v>53</v>
      </c>
      <c r="C43" s="990" t="s">
        <v>875</v>
      </c>
      <c r="D43" s="956" t="str">
        <f t="shared" si="0"/>
        <v>Anzahl Räume mit Zuluft</v>
      </c>
      <c r="E43" s="430" t="s">
        <v>211</v>
      </c>
      <c r="F43" s="960" t="s">
        <v>1528</v>
      </c>
      <c r="G43" s="431" t="s">
        <v>2857</v>
      </c>
    </row>
    <row r="44" spans="1:7" ht="26.1" customHeight="1">
      <c r="A44" s="429">
        <v>41</v>
      </c>
      <c r="B44" s="990" t="s">
        <v>53</v>
      </c>
      <c r="C44" s="990" t="s">
        <v>875</v>
      </c>
      <c r="D44" s="956" t="str">
        <f t="shared" si="0"/>
        <v>Anzahl Personen</v>
      </c>
      <c r="E44" s="430" t="s">
        <v>30</v>
      </c>
      <c r="F44" s="960" t="s">
        <v>1529</v>
      </c>
      <c r="G44" s="431" t="s">
        <v>2858</v>
      </c>
    </row>
    <row r="45" spans="1:7" ht="26.1" customHeight="1">
      <c r="A45" s="429">
        <v>42</v>
      </c>
      <c r="B45" s="990" t="s">
        <v>53</v>
      </c>
      <c r="C45" s="990" t="s">
        <v>97</v>
      </c>
      <c r="D45" s="956" t="str">
        <f t="shared" si="0"/>
        <v>Wärmerückgewinnungs-Wärmetauscher</v>
      </c>
      <c r="E45" s="430" t="s">
        <v>130</v>
      </c>
      <c r="F45" s="960" t="s">
        <v>1530</v>
      </c>
      <c r="G45" s="431" t="s">
        <v>1273</v>
      </c>
    </row>
    <row r="46" spans="1:7" ht="26.1" customHeight="1">
      <c r="A46" s="429">
        <v>43</v>
      </c>
      <c r="B46" s="990" t="s">
        <v>53</v>
      </c>
      <c r="C46" s="990" t="s">
        <v>438</v>
      </c>
      <c r="D46" s="956" t="str">
        <f t="shared" si="0"/>
        <v>Nenn-Luftvolumenstrom</v>
      </c>
      <c r="E46" s="430" t="s">
        <v>553</v>
      </c>
      <c r="F46" s="960" t="s">
        <v>1531</v>
      </c>
      <c r="G46" s="431" t="s">
        <v>1274</v>
      </c>
    </row>
    <row r="47" spans="1:7" ht="25.9" customHeight="1">
      <c r="A47" s="429">
        <v>44</v>
      </c>
      <c r="B47" s="990" t="s">
        <v>53</v>
      </c>
      <c r="C47" s="990" t="s">
        <v>98</v>
      </c>
      <c r="D47" s="956" t="str">
        <f t="shared" si="0"/>
        <v>Ventilatorantrieb mit</v>
      </c>
      <c r="E47" s="430" t="s">
        <v>339</v>
      </c>
      <c r="F47" s="960" t="s">
        <v>1532</v>
      </c>
      <c r="G47" s="431" t="s">
        <v>1275</v>
      </c>
    </row>
    <row r="48" spans="1:7" ht="25.9" customHeight="1">
      <c r="A48" s="429">
        <v>45</v>
      </c>
      <c r="B48" s="990" t="s">
        <v>53</v>
      </c>
      <c r="C48" s="990" t="s">
        <v>873</v>
      </c>
      <c r="D48" s="956" t="str">
        <f t="shared" si="0"/>
        <v>Kleinanlagen mit Standardwerten</v>
      </c>
      <c r="E48" s="430" t="s">
        <v>182</v>
      </c>
      <c r="F48" s="960" t="s">
        <v>1533</v>
      </c>
      <c r="G48" s="431" t="s">
        <v>1276</v>
      </c>
    </row>
    <row r="49" spans="1:7" ht="26.1" customHeight="1">
      <c r="A49" s="429">
        <v>46</v>
      </c>
      <c r="B49" s="990" t="s">
        <v>53</v>
      </c>
      <c r="C49" s="990" t="s">
        <v>878</v>
      </c>
      <c r="D49" s="956" t="str">
        <f t="shared" si="0"/>
        <v>Thermisch wirksame Aussenluftrate</v>
      </c>
      <c r="E49" s="430" t="s">
        <v>535</v>
      </c>
      <c r="F49" s="960" t="s">
        <v>1534</v>
      </c>
      <c r="G49" s="431" t="s">
        <v>2862</v>
      </c>
    </row>
    <row r="50" spans="1:7" ht="26.1" customHeight="1">
      <c r="A50" s="429">
        <v>47</v>
      </c>
      <c r="B50" s="990" t="s">
        <v>53</v>
      </c>
      <c r="C50" s="990" t="s">
        <v>877</v>
      </c>
      <c r="D50" s="956" t="str">
        <f t="shared" si="0"/>
        <v>Strombedarf Lüftung + Vereisungsschutz</v>
      </c>
      <c r="E50" s="430" t="s">
        <v>181</v>
      </c>
      <c r="F50" s="960" t="s">
        <v>1535</v>
      </c>
      <c r="G50" s="431" t="s">
        <v>1277</v>
      </c>
    </row>
    <row r="51" spans="1:7" ht="26.1" customHeight="1">
      <c r="A51" s="429">
        <v>48</v>
      </c>
      <c r="B51" s="990" t="s">
        <v>53</v>
      </c>
      <c r="C51" s="990" t="s">
        <v>876</v>
      </c>
      <c r="D51" s="956" t="str">
        <f t="shared" si="0"/>
        <v>Strombedarf Klima und Befeuchtung</v>
      </c>
      <c r="E51" s="430" t="s">
        <v>141</v>
      </c>
      <c r="F51" s="960" t="s">
        <v>256</v>
      </c>
      <c r="G51" s="431" t="s">
        <v>2859</v>
      </c>
    </row>
    <row r="52" spans="1:7" ht="26.1" customHeight="1">
      <c r="A52" s="429">
        <v>49</v>
      </c>
      <c r="B52" s="990" t="s">
        <v>53</v>
      </c>
      <c r="C52" s="990" t="s">
        <v>883</v>
      </c>
      <c r="D52" s="956" t="str">
        <f t="shared" si="0"/>
        <v>Strombedarf Hilfsbetriebe</v>
      </c>
      <c r="E52" s="430" t="s">
        <v>486</v>
      </c>
      <c r="F52" s="960" t="s">
        <v>156</v>
      </c>
      <c r="G52" s="431" t="s">
        <v>1278</v>
      </c>
    </row>
    <row r="53" spans="1:7" ht="26.1" customHeight="1">
      <c r="A53" s="429">
        <v>50</v>
      </c>
      <c r="B53" s="990" t="s">
        <v>53</v>
      </c>
      <c r="C53" s="990" t="s">
        <v>380</v>
      </c>
      <c r="D53" s="956" t="str">
        <f t="shared" si="0"/>
        <v>Externe Berechnung</v>
      </c>
      <c r="E53" s="430" t="s">
        <v>772</v>
      </c>
      <c r="F53" s="960" t="s">
        <v>845</v>
      </c>
      <c r="G53" s="431" t="s">
        <v>1279</v>
      </c>
    </row>
    <row r="54" spans="1:7" ht="26.1" customHeight="1">
      <c r="A54" s="429">
        <v>51</v>
      </c>
      <c r="B54" s="990" t="s">
        <v>53</v>
      </c>
      <c r="C54" s="990" t="s">
        <v>487</v>
      </c>
      <c r="D54" s="956" t="str">
        <f t="shared" si="0"/>
        <v>Kühlung oder Befeuchtung vorhanden?</v>
      </c>
      <c r="E54" s="430" t="s">
        <v>143</v>
      </c>
      <c r="F54" s="960" t="s">
        <v>257</v>
      </c>
      <c r="G54" s="431" t="s">
        <v>2860</v>
      </c>
    </row>
    <row r="55" spans="1:7" ht="26.1" customHeight="1">
      <c r="A55" s="429">
        <v>52</v>
      </c>
      <c r="B55" s="990" t="s">
        <v>53</v>
      </c>
      <c r="C55" s="990" t="s">
        <v>886</v>
      </c>
      <c r="D55" s="956" t="str">
        <f t="shared" si="0"/>
        <v>Wird eine Kühlung verwendet oder Befeuchtung verwendet?</v>
      </c>
      <c r="E55" s="430" t="s">
        <v>144</v>
      </c>
      <c r="F55" s="960" t="s">
        <v>258</v>
      </c>
      <c r="G55" s="431" t="s">
        <v>2861</v>
      </c>
    </row>
    <row r="56" spans="1:7" ht="26.1" customHeight="1">
      <c r="A56" s="429">
        <v>53</v>
      </c>
      <c r="B56" s="990" t="s">
        <v>53</v>
      </c>
      <c r="C56" s="990" t="s">
        <v>883</v>
      </c>
      <c r="D56" s="956" t="str">
        <f t="shared" si="0"/>
        <v>Strombedarf Kälteförderung + Hilfsenergie</v>
      </c>
      <c r="E56" s="430" t="s">
        <v>3750</v>
      </c>
      <c r="F56" s="960" t="s">
        <v>3752</v>
      </c>
      <c r="G56" s="431" t="s">
        <v>3751</v>
      </c>
    </row>
    <row r="57" spans="1:7" ht="26.1" customHeight="1">
      <c r="A57" s="429">
        <v>54</v>
      </c>
      <c r="B57" s="990" t="s">
        <v>53</v>
      </c>
      <c r="C57" s="990" t="s">
        <v>705</v>
      </c>
      <c r="D57" s="956" t="str">
        <f t="shared" si="0"/>
        <v>Qh mit effektivem, thermisch wirksamem Aussenluftvolumenstrom</v>
      </c>
      <c r="E57" s="430" t="s">
        <v>1708</v>
      </c>
      <c r="F57" s="960" t="s">
        <v>83</v>
      </c>
      <c r="G57" s="431" t="s">
        <v>1280</v>
      </c>
    </row>
    <row r="58" spans="1:7" ht="26.1" customHeight="1">
      <c r="A58" s="429">
        <v>55</v>
      </c>
      <c r="B58" s="990" t="s">
        <v>53</v>
      </c>
      <c r="C58" s="990" t="s">
        <v>884</v>
      </c>
      <c r="D58" s="956" t="str">
        <f t="shared" si="0"/>
        <v>Therm. wirksamer Aussenl.-Volumenstr.</v>
      </c>
      <c r="E58" s="430" t="s">
        <v>33</v>
      </c>
      <c r="F58" s="960" t="s">
        <v>1534</v>
      </c>
      <c r="G58" s="431" t="s">
        <v>2862</v>
      </c>
    </row>
    <row r="59" spans="1:7" ht="48.75" customHeight="1">
      <c r="A59" s="429">
        <v>56</v>
      </c>
      <c r="B59" s="990" t="s">
        <v>53</v>
      </c>
      <c r="C59" s="990" t="s">
        <v>887</v>
      </c>
      <c r="D59" s="956" t="str">
        <f t="shared" si="0"/>
        <v>Spezifischer, thermisch wirksamer Aussenluftvolumenstrom Vth nach SIA 380/1: Dieser Wert muss mit der Eingabe für die Berechnung für den Heizwärmebedarf mit effektivem Luftwechsel übereinstimmen.</v>
      </c>
      <c r="E59" s="430" t="s">
        <v>118</v>
      </c>
      <c r="F59" s="960" t="s">
        <v>48</v>
      </c>
      <c r="G59" s="431" t="s">
        <v>3581</v>
      </c>
    </row>
    <row r="60" spans="1:7" ht="25.9" customHeight="1">
      <c r="A60" s="429">
        <v>57</v>
      </c>
      <c r="B60" s="990" t="s">
        <v>53</v>
      </c>
      <c r="C60" s="990" t="s">
        <v>885</v>
      </c>
      <c r="D60" s="956" t="str">
        <f t="shared" si="0"/>
        <v>eff. Heizwärmebedarf mit Lüftungsanlage</v>
      </c>
      <c r="E60" s="430" t="s">
        <v>190</v>
      </c>
      <c r="F60" s="960" t="s">
        <v>1536</v>
      </c>
      <c r="G60" s="431" t="s">
        <v>1281</v>
      </c>
    </row>
    <row r="61" spans="1:7" ht="52.5" customHeight="1">
      <c r="A61" s="429">
        <v>58</v>
      </c>
      <c r="B61" s="990" t="s">
        <v>53</v>
      </c>
      <c r="C61" s="990" t="s">
        <v>888</v>
      </c>
      <c r="D61" s="956" t="str">
        <f t="shared" si="0"/>
        <v>Zwingende Eingabe Qh,eff oder Qh,korr:
Heizwärmebedarf Qh,eff mit effektivem, thermisch wirksamen Aussenluftvolumenstrom Vth aus der Berechnung SIA 380/1 übertragen.</v>
      </c>
      <c r="E61" s="430" t="s">
        <v>3652</v>
      </c>
      <c r="F61" s="960" t="s">
        <v>3651</v>
      </c>
      <c r="G61" s="431" t="s">
        <v>3653</v>
      </c>
    </row>
    <row r="62" spans="1:7" ht="40.5" customHeight="1">
      <c r="A62" s="429">
        <v>59</v>
      </c>
      <c r="B62" s="990" t="s">
        <v>53</v>
      </c>
      <c r="C62" s="990" t="s">
        <v>890</v>
      </c>
      <c r="D62" s="956" t="str">
        <f t="shared" si="0"/>
        <v>Resultate aus externer Berechnung, z.B. externes Lüftungsblatt, in diesem Abschnitt einfügen.
Zwingende Eingabe bei Klimaanlagen.</v>
      </c>
      <c r="E62" s="430" t="s">
        <v>889</v>
      </c>
      <c r="F62" s="960" t="s">
        <v>1537</v>
      </c>
      <c r="G62" s="431" t="s">
        <v>1282</v>
      </c>
    </row>
    <row r="63" spans="1:7" ht="100.5" customHeight="1">
      <c r="A63" s="429">
        <v>60</v>
      </c>
      <c r="B63" s="990" t="s">
        <v>53</v>
      </c>
      <c r="C63" s="990" t="s">
        <v>893</v>
      </c>
      <c r="D63" s="956"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430" t="s">
        <v>892</v>
      </c>
      <c r="F63" s="960" t="s">
        <v>3582</v>
      </c>
      <c r="G63" s="431" t="s">
        <v>3583</v>
      </c>
    </row>
    <row r="64" spans="1:7" ht="60" customHeight="1">
      <c r="A64" s="429">
        <v>61</v>
      </c>
      <c r="B64" s="990" t="s">
        <v>53</v>
      </c>
      <c r="C64" s="990" t="s">
        <v>894</v>
      </c>
      <c r="D64" s="956" t="str">
        <f t="shared" si="0"/>
        <v>Energienachweis:
Im Energienachweis werden nur die Neubauten berücksichtigt.
Minergie:
Baujahr (Bauvollendung) ab 2000.</v>
      </c>
      <c r="E64" s="430" t="s">
        <v>1230</v>
      </c>
      <c r="F64" s="960" t="s">
        <v>2863</v>
      </c>
      <c r="G64" s="431" t="s">
        <v>1283</v>
      </c>
    </row>
    <row r="65" spans="1:7" ht="25.9" customHeight="1">
      <c r="A65" s="429">
        <v>62</v>
      </c>
      <c r="B65" s="990" t="s">
        <v>53</v>
      </c>
      <c r="C65" s="990" t="s">
        <v>891</v>
      </c>
      <c r="D65" s="956" t="str">
        <f t="shared" si="0"/>
        <v>Energiebezugsfläche EBF, muss aus der Rechnung SIA 380/1 übernommen werden.</v>
      </c>
      <c r="E65" s="430" t="s">
        <v>139</v>
      </c>
      <c r="F65" s="960" t="s">
        <v>254</v>
      </c>
      <c r="G65" s="431" t="s">
        <v>1284</v>
      </c>
    </row>
    <row r="66" spans="1:7" ht="96" customHeight="1">
      <c r="A66" s="429">
        <v>63</v>
      </c>
      <c r="B66" s="990" t="s">
        <v>53</v>
      </c>
      <c r="C66" s="990" t="s">
        <v>895</v>
      </c>
      <c r="D66" s="956"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430" t="s">
        <v>896</v>
      </c>
      <c r="F66" s="960" t="s">
        <v>1538</v>
      </c>
      <c r="G66" s="431" t="s">
        <v>1285</v>
      </c>
    </row>
    <row r="67" spans="1:7" ht="25.9" customHeight="1">
      <c r="A67" s="429">
        <v>64</v>
      </c>
      <c r="B67" s="990" t="s">
        <v>53</v>
      </c>
      <c r="C67" s="990" t="s">
        <v>898</v>
      </c>
      <c r="D67" s="956" t="str">
        <f t="shared" si="0"/>
        <v>Eingabe nur bei Nutzungen EFH und MFH bis 2'000 m2 oder bei Verwaltung und Schulen bis 1'000 m2 möglich.</v>
      </c>
      <c r="E67" s="430" t="s">
        <v>897</v>
      </c>
      <c r="F67" s="960" t="s">
        <v>1539</v>
      </c>
      <c r="G67" s="431" t="s">
        <v>1286</v>
      </c>
    </row>
    <row r="68" spans="1:7" ht="133.5" customHeight="1">
      <c r="A68" s="429">
        <v>65</v>
      </c>
      <c r="B68" s="990" t="s">
        <v>53</v>
      </c>
      <c r="C68" s="990" t="s">
        <v>328</v>
      </c>
      <c r="D68" s="956"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430" t="s">
        <v>899</v>
      </c>
      <c r="F68" s="960" t="s">
        <v>1540</v>
      </c>
      <c r="G68" s="431" t="s">
        <v>3584</v>
      </c>
    </row>
    <row r="69" spans="1:7" ht="67.5" customHeight="1">
      <c r="A69" s="429">
        <v>66</v>
      </c>
      <c r="B69" s="990" t="s">
        <v>53</v>
      </c>
      <c r="C69" s="990" t="s">
        <v>900</v>
      </c>
      <c r="D69" s="956" t="str">
        <f t="shared" ref="D69:D132" si="1">INDEX($E$4:$G$503,$A69,$A$1)</f>
        <v>Anzahl Räume mit Zuluft:
Nur bei Wohnnutzung (EFH oder MFH) erforderliche Eingabe
Anzahl Personen (total pro Zone):
Eingabe bei Verwaltung oder Schulen erforderlich.
Wird für die Berechnung der Zuluftmenge verwendet.</v>
      </c>
      <c r="E69" s="430" t="s">
        <v>901</v>
      </c>
      <c r="F69" s="960" t="s">
        <v>3585</v>
      </c>
      <c r="G69" s="431" t="s">
        <v>1287</v>
      </c>
    </row>
    <row r="70" spans="1:7" ht="114.75" customHeight="1">
      <c r="A70" s="429">
        <v>67</v>
      </c>
      <c r="B70" s="990" t="s">
        <v>53</v>
      </c>
      <c r="C70" s="990" t="s">
        <v>903</v>
      </c>
      <c r="D70" s="956"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430" t="s">
        <v>902</v>
      </c>
      <c r="F70" s="960" t="s">
        <v>3586</v>
      </c>
      <c r="G70" s="431" t="s">
        <v>1288</v>
      </c>
    </row>
    <row r="71" spans="1:7" ht="42" customHeight="1">
      <c r="A71" s="429">
        <v>68</v>
      </c>
      <c r="B71" s="990" t="s">
        <v>53</v>
      </c>
      <c r="C71" s="990" t="s">
        <v>905</v>
      </c>
      <c r="D71" s="956" t="str">
        <f t="shared" si="1"/>
        <v>Eingabe bei Kleinanlagen mit Standardwerten:
Verwendete Motoren für die Lüftungsventilatoren: Wechselstrom (AC) oder Gleichstrom (DC)</v>
      </c>
      <c r="E71" s="430" t="s">
        <v>904</v>
      </c>
      <c r="F71" s="960" t="s">
        <v>1541</v>
      </c>
      <c r="G71" s="431" t="s">
        <v>1289</v>
      </c>
    </row>
    <row r="72" spans="1:7" ht="26.1" customHeight="1">
      <c r="A72" s="429">
        <v>69</v>
      </c>
      <c r="B72" s="990" t="s">
        <v>622</v>
      </c>
      <c r="C72" s="990" t="s">
        <v>906</v>
      </c>
      <c r="D72" s="956" t="str">
        <f t="shared" si="1"/>
        <v>fehlende Eingabe</v>
      </c>
      <c r="E72" s="430" t="s">
        <v>838</v>
      </c>
      <c r="F72" s="960" t="s">
        <v>1542</v>
      </c>
      <c r="G72" s="431" t="s">
        <v>1290</v>
      </c>
    </row>
    <row r="73" spans="1:7" ht="26.1" customHeight="1">
      <c r="A73" s="429">
        <v>70</v>
      </c>
      <c r="B73" s="990" t="s">
        <v>622</v>
      </c>
      <c r="C73" s="990" t="s">
        <v>907</v>
      </c>
      <c r="D73" s="956" t="str">
        <f t="shared" si="1"/>
        <v>falsche Eingabe</v>
      </c>
      <c r="E73" s="430" t="s">
        <v>839</v>
      </c>
      <c r="F73" s="960" t="s">
        <v>3587</v>
      </c>
      <c r="G73" s="431" t="s">
        <v>1291</v>
      </c>
    </row>
    <row r="74" spans="1:7" ht="25.9" customHeight="1">
      <c r="A74" s="429">
        <v>71</v>
      </c>
      <c r="B74" s="990" t="s">
        <v>53</v>
      </c>
      <c r="C74" s="990" t="s">
        <v>909</v>
      </c>
      <c r="D74" s="957" t="str">
        <f t="shared" si="1"/>
        <v>Primäranforde- rung nicht erf.</v>
      </c>
      <c r="E74" s="969" t="s">
        <v>908</v>
      </c>
      <c r="F74" s="962" t="s">
        <v>1543</v>
      </c>
      <c r="G74" s="502" t="s">
        <v>1292</v>
      </c>
    </row>
    <row r="75" spans="1:7" ht="25.9" customHeight="1">
      <c r="A75" s="429">
        <v>72</v>
      </c>
      <c r="B75" s="990" t="s">
        <v>53</v>
      </c>
      <c r="C75" s="990" t="s">
        <v>909</v>
      </c>
      <c r="D75" s="956" t="str">
        <f t="shared" si="1"/>
        <v>Anforderung 2 nicht erfüllt</v>
      </c>
      <c r="E75" s="430" t="s">
        <v>910</v>
      </c>
      <c r="F75" s="960" t="s">
        <v>1544</v>
      </c>
      <c r="G75" s="431" t="s">
        <v>1293</v>
      </c>
    </row>
    <row r="76" spans="1:7" ht="25.9" customHeight="1">
      <c r="A76" s="429">
        <v>73</v>
      </c>
      <c r="D76" s="956" t="str">
        <f t="shared" si="1"/>
        <v>Angabe fehlt</v>
      </c>
      <c r="E76" s="430" t="s">
        <v>534</v>
      </c>
      <c r="F76" s="960" t="s">
        <v>538</v>
      </c>
      <c r="G76" s="431" t="s">
        <v>1290</v>
      </c>
    </row>
    <row r="77" spans="1:7" ht="25.9" customHeight="1">
      <c r="A77" s="429">
        <v>74</v>
      </c>
      <c r="D77" s="956" t="str">
        <f t="shared" si="1"/>
        <v>Hinweis: Im Blatt 'Eingaben' wurde ein Lüftungsgerät mit integrierter Wärmepumpe gewählt</v>
      </c>
      <c r="E77" s="430" t="s">
        <v>24</v>
      </c>
      <c r="F77" s="960" t="s">
        <v>539</v>
      </c>
      <c r="G77" s="431" t="s">
        <v>1294</v>
      </c>
    </row>
    <row r="78" spans="1:7" ht="25.9" customHeight="1">
      <c r="A78" s="429">
        <v>75</v>
      </c>
      <c r="B78" s="990" t="s">
        <v>622</v>
      </c>
      <c r="C78" s="990" t="s">
        <v>879</v>
      </c>
      <c r="D78" s="956" t="str">
        <f t="shared" si="1"/>
        <v>Kühlung</v>
      </c>
      <c r="E78" s="430" t="s">
        <v>369</v>
      </c>
      <c r="F78" s="960" t="s">
        <v>94</v>
      </c>
      <c r="G78" s="431" t="s">
        <v>1295</v>
      </c>
    </row>
    <row r="79" spans="1:7" ht="25.9" customHeight="1">
      <c r="A79" s="429">
        <v>76</v>
      </c>
      <c r="B79" s="990" t="s">
        <v>622</v>
      </c>
      <c r="C79" s="990" t="s">
        <v>880</v>
      </c>
      <c r="D79" s="956" t="str">
        <f t="shared" si="1"/>
        <v>Befeuchtung</v>
      </c>
      <c r="E79" s="430" t="s">
        <v>108</v>
      </c>
      <c r="F79" s="960" t="s">
        <v>95</v>
      </c>
      <c r="G79" s="431" t="s">
        <v>1296</v>
      </c>
    </row>
    <row r="80" spans="1:7" ht="25.9" customHeight="1">
      <c r="A80" s="429">
        <v>77</v>
      </c>
      <c r="B80" s="990" t="s">
        <v>622</v>
      </c>
      <c r="C80" s="990" t="s">
        <v>881</v>
      </c>
      <c r="D80" s="956" t="str">
        <f t="shared" si="1"/>
        <v>Kühl. + Bef.</v>
      </c>
      <c r="E80" s="430" t="s">
        <v>109</v>
      </c>
      <c r="F80" s="960" t="s">
        <v>96</v>
      </c>
      <c r="G80" s="431" t="s">
        <v>1297</v>
      </c>
    </row>
    <row r="81" spans="1:7" ht="25.9" customHeight="1">
      <c r="A81" s="429">
        <v>78</v>
      </c>
      <c r="B81" s="990" t="s">
        <v>622</v>
      </c>
      <c r="C81" s="990" t="s">
        <v>882</v>
      </c>
      <c r="D81" s="956" t="str">
        <f t="shared" si="1"/>
        <v>keine</v>
      </c>
      <c r="E81" s="430" t="s">
        <v>708</v>
      </c>
      <c r="F81" s="960" t="s">
        <v>1545</v>
      </c>
      <c r="G81" s="431" t="s">
        <v>1298</v>
      </c>
    </row>
    <row r="82" spans="1:7" ht="26.1" customHeight="1">
      <c r="A82" s="429">
        <v>79</v>
      </c>
      <c r="B82" s="990" t="s">
        <v>622</v>
      </c>
      <c r="C82" s="990" t="s">
        <v>911</v>
      </c>
      <c r="D82" s="956" t="str">
        <f t="shared" si="1"/>
        <v>MFH</v>
      </c>
      <c r="E82" s="430" t="s">
        <v>332</v>
      </c>
      <c r="F82" s="960" t="s">
        <v>1547</v>
      </c>
      <c r="G82" s="431" t="s">
        <v>1299</v>
      </c>
    </row>
    <row r="83" spans="1:7" ht="26.1" customHeight="1">
      <c r="A83" s="429">
        <v>80</v>
      </c>
      <c r="B83" s="990" t="s">
        <v>622</v>
      </c>
      <c r="C83" s="990" t="s">
        <v>912</v>
      </c>
      <c r="D83" s="956" t="str">
        <f t="shared" si="1"/>
        <v>EFH</v>
      </c>
      <c r="E83" s="430" t="s">
        <v>333</v>
      </c>
      <c r="F83" s="960" t="s">
        <v>1546</v>
      </c>
      <c r="G83" s="431" t="s">
        <v>1300</v>
      </c>
    </row>
    <row r="84" spans="1:7" ht="26.1" customHeight="1">
      <c r="A84" s="429">
        <v>81</v>
      </c>
      <c r="B84" s="990" t="s">
        <v>622</v>
      </c>
      <c r="C84" s="990" t="s">
        <v>913</v>
      </c>
      <c r="D84" s="956" t="str">
        <f t="shared" si="1"/>
        <v>Verwaltung</v>
      </c>
      <c r="E84" s="430" t="s">
        <v>1</v>
      </c>
      <c r="F84" s="960" t="s">
        <v>1548</v>
      </c>
      <c r="G84" s="431" t="s">
        <v>1301</v>
      </c>
    </row>
    <row r="85" spans="1:7" ht="26.1" customHeight="1">
      <c r="A85" s="429">
        <v>82</v>
      </c>
      <c r="B85" s="990" t="s">
        <v>622</v>
      </c>
      <c r="C85" s="990" t="s">
        <v>914</v>
      </c>
      <c r="D85" s="956" t="str">
        <f t="shared" si="1"/>
        <v>Schule</v>
      </c>
      <c r="E85" s="430" t="s">
        <v>340</v>
      </c>
      <c r="F85" s="960" t="s">
        <v>1549</v>
      </c>
      <c r="G85" s="431" t="s">
        <v>1302</v>
      </c>
    </row>
    <row r="86" spans="1:7" ht="26.1" customHeight="1">
      <c r="A86" s="429">
        <v>83</v>
      </c>
      <c r="B86" s="990" t="s">
        <v>622</v>
      </c>
      <c r="C86" s="990" t="s">
        <v>915</v>
      </c>
      <c r="D86" s="956" t="str">
        <f t="shared" si="1"/>
        <v>Verkauf</v>
      </c>
      <c r="E86" s="430" t="s">
        <v>237</v>
      </c>
      <c r="F86" s="960" t="s">
        <v>1550</v>
      </c>
      <c r="G86" s="431" t="s">
        <v>1303</v>
      </c>
    </row>
    <row r="87" spans="1:7" ht="26.1" customHeight="1">
      <c r="A87" s="429">
        <v>84</v>
      </c>
      <c r="B87" s="990" t="s">
        <v>622</v>
      </c>
      <c r="C87" s="990" t="s">
        <v>916</v>
      </c>
      <c r="D87" s="956" t="str">
        <f t="shared" si="1"/>
        <v>Restaurant</v>
      </c>
      <c r="E87" s="430" t="s">
        <v>835</v>
      </c>
      <c r="F87" s="960" t="s">
        <v>835</v>
      </c>
      <c r="G87" s="431" t="s">
        <v>1304</v>
      </c>
    </row>
    <row r="88" spans="1:7" ht="26.1" customHeight="1">
      <c r="A88" s="429">
        <v>85</v>
      </c>
      <c r="B88" s="990" t="s">
        <v>622</v>
      </c>
      <c r="C88" s="990" t="s">
        <v>917</v>
      </c>
      <c r="D88" s="956" t="str">
        <f t="shared" si="1"/>
        <v>Vers.-Lokal</v>
      </c>
      <c r="E88" s="430" t="s">
        <v>836</v>
      </c>
      <c r="F88" s="960" t="s">
        <v>1551</v>
      </c>
      <c r="G88" s="431" t="s">
        <v>1305</v>
      </c>
    </row>
    <row r="89" spans="1:7" ht="25.9" customHeight="1">
      <c r="A89" s="429">
        <v>86</v>
      </c>
      <c r="B89" s="990" t="s">
        <v>622</v>
      </c>
      <c r="C89" s="990" t="s">
        <v>918</v>
      </c>
      <c r="D89" s="956" t="str">
        <f t="shared" si="1"/>
        <v>Spitäler</v>
      </c>
      <c r="E89" s="430" t="s">
        <v>238</v>
      </c>
      <c r="F89" s="960" t="s">
        <v>1552</v>
      </c>
      <c r="G89" s="431" t="s">
        <v>1306</v>
      </c>
    </row>
    <row r="90" spans="1:7" ht="25.9" customHeight="1">
      <c r="A90" s="429">
        <v>87</v>
      </c>
      <c r="B90" s="990" t="s">
        <v>622</v>
      </c>
      <c r="C90" s="990" t="s">
        <v>919</v>
      </c>
      <c r="D90" s="956" t="str">
        <f t="shared" si="1"/>
        <v>Industrie</v>
      </c>
      <c r="E90" s="430" t="s">
        <v>491</v>
      </c>
      <c r="F90" s="960" t="s">
        <v>491</v>
      </c>
      <c r="G90" s="431" t="s">
        <v>491</v>
      </c>
    </row>
    <row r="91" spans="1:7" ht="25.9" customHeight="1">
      <c r="A91" s="429">
        <v>88</v>
      </c>
      <c r="B91" s="990" t="s">
        <v>622</v>
      </c>
      <c r="C91" s="990" t="s">
        <v>920</v>
      </c>
      <c r="D91" s="956" t="str">
        <f t="shared" si="1"/>
        <v>Lager</v>
      </c>
      <c r="E91" s="430" t="s">
        <v>239</v>
      </c>
      <c r="F91" s="960" t="s">
        <v>1553</v>
      </c>
      <c r="G91" s="431" t="s">
        <v>1307</v>
      </c>
    </row>
    <row r="92" spans="1:7" ht="25.9" customHeight="1">
      <c r="A92" s="429">
        <v>89</v>
      </c>
      <c r="B92" s="990" t="s">
        <v>622</v>
      </c>
      <c r="C92" s="990" t="s">
        <v>921</v>
      </c>
      <c r="D92" s="956" t="str">
        <f t="shared" si="1"/>
        <v>Sportbau</v>
      </c>
      <c r="E92" s="430" t="s">
        <v>240</v>
      </c>
      <c r="F92" s="960" t="s">
        <v>1554</v>
      </c>
      <c r="G92" s="431" t="s">
        <v>1308</v>
      </c>
    </row>
    <row r="93" spans="1:7" ht="25.9" customHeight="1">
      <c r="A93" s="429">
        <v>90</v>
      </c>
      <c r="B93" s="990" t="s">
        <v>622</v>
      </c>
      <c r="C93" s="990" t="s">
        <v>922</v>
      </c>
      <c r="D93" s="956" t="str">
        <f t="shared" si="1"/>
        <v>Hallenbad</v>
      </c>
      <c r="E93" s="430" t="s">
        <v>797</v>
      </c>
      <c r="F93" s="960" t="s">
        <v>1555</v>
      </c>
      <c r="G93" s="431" t="s">
        <v>1309</v>
      </c>
    </row>
    <row r="94" spans="1:7" ht="26.1" customHeight="1">
      <c r="A94" s="429">
        <v>91</v>
      </c>
      <c r="B94" s="990" t="s">
        <v>622</v>
      </c>
      <c r="C94" s="990" t="s">
        <v>923</v>
      </c>
      <c r="D94" s="956" t="str">
        <f t="shared" si="1"/>
        <v>keine Lüftung</v>
      </c>
      <c r="E94" s="430" t="s">
        <v>809</v>
      </c>
      <c r="F94" s="960" t="s">
        <v>1556</v>
      </c>
      <c r="G94" s="431" t="s">
        <v>1310</v>
      </c>
    </row>
    <row r="95" spans="1:7" ht="26.1" customHeight="1">
      <c r="A95" s="429">
        <v>92</v>
      </c>
      <c r="B95" s="990" t="s">
        <v>622</v>
      </c>
      <c r="C95" s="990" t="s">
        <v>924</v>
      </c>
      <c r="D95" s="956" t="str">
        <f t="shared" si="1"/>
        <v>Zu- / Abluft</v>
      </c>
      <c r="E95" s="430" t="s">
        <v>815</v>
      </c>
      <c r="F95" s="960" t="s">
        <v>1557</v>
      </c>
      <c r="G95" s="431" t="s">
        <v>1311</v>
      </c>
    </row>
    <row r="96" spans="1:7" ht="26.1" customHeight="1">
      <c r="A96" s="429">
        <v>93</v>
      </c>
      <c r="B96" s="990" t="s">
        <v>622</v>
      </c>
      <c r="C96" s="990" t="s">
        <v>925</v>
      </c>
      <c r="D96" s="956" t="str">
        <f t="shared" si="1"/>
        <v>Lüftung+WRG</v>
      </c>
      <c r="E96" s="430" t="s">
        <v>810</v>
      </c>
      <c r="F96" s="960" t="s">
        <v>1558</v>
      </c>
      <c r="G96" s="431" t="s">
        <v>1312</v>
      </c>
    </row>
    <row r="97" spans="1:7" ht="26.1" customHeight="1">
      <c r="A97" s="429">
        <v>94</v>
      </c>
      <c r="B97" s="990" t="s">
        <v>622</v>
      </c>
      <c r="C97" s="990" t="s">
        <v>926</v>
      </c>
      <c r="D97" s="956" t="str">
        <f t="shared" si="1"/>
        <v>Lüftung+WP</v>
      </c>
      <c r="E97" s="430" t="s">
        <v>813</v>
      </c>
      <c r="F97" s="960" t="s">
        <v>1559</v>
      </c>
      <c r="G97" s="431" t="s">
        <v>1313</v>
      </c>
    </row>
    <row r="98" spans="1:7" ht="26.1" customHeight="1">
      <c r="A98" s="429">
        <v>95</v>
      </c>
      <c r="B98" s="990" t="s">
        <v>622</v>
      </c>
      <c r="C98" s="990" t="s">
        <v>927</v>
      </c>
      <c r="D98" s="956" t="str">
        <f t="shared" si="1"/>
        <v>nur Abluft</v>
      </c>
      <c r="E98" s="430" t="s">
        <v>816</v>
      </c>
      <c r="F98" s="960" t="s">
        <v>1560</v>
      </c>
      <c r="G98" s="431" t="s">
        <v>1314</v>
      </c>
    </row>
    <row r="99" spans="1:7" ht="26.1" customHeight="1">
      <c r="A99" s="429">
        <v>96</v>
      </c>
      <c r="B99" s="990" t="s">
        <v>622</v>
      </c>
      <c r="C99" s="990" t="s">
        <v>928</v>
      </c>
      <c r="D99" s="956" t="str">
        <f t="shared" si="1"/>
        <v>Abluft - WP</v>
      </c>
      <c r="E99" s="430" t="s">
        <v>814</v>
      </c>
      <c r="F99" s="960" t="s">
        <v>1561</v>
      </c>
      <c r="G99" s="431" t="s">
        <v>1315</v>
      </c>
    </row>
    <row r="100" spans="1:7" ht="26.1" customHeight="1">
      <c r="A100" s="429">
        <v>97</v>
      </c>
      <c r="B100" s="990" t="s">
        <v>622</v>
      </c>
      <c r="C100" s="990" t="s">
        <v>929</v>
      </c>
      <c r="D100" s="956" t="str">
        <f t="shared" si="1"/>
        <v>Einzelraumlüft.</v>
      </c>
      <c r="E100" s="430" t="s">
        <v>460</v>
      </c>
      <c r="F100" s="960" t="s">
        <v>1562</v>
      </c>
      <c r="G100" s="431" t="s">
        <v>1316</v>
      </c>
    </row>
    <row r="101" spans="1:7" ht="26.1" customHeight="1">
      <c r="A101" s="429">
        <v>98</v>
      </c>
      <c r="B101" s="990" t="s">
        <v>622</v>
      </c>
      <c r="C101" s="990" t="s">
        <v>930</v>
      </c>
      <c r="D101" s="956" t="str">
        <f t="shared" si="1"/>
        <v>Auto Fensterl.</v>
      </c>
      <c r="E101" s="430" t="s">
        <v>461</v>
      </c>
      <c r="F101" s="960" t="s">
        <v>1563</v>
      </c>
      <c r="G101" s="431" t="s">
        <v>1317</v>
      </c>
    </row>
    <row r="102" spans="1:7" ht="26.1" customHeight="1">
      <c r="A102" s="429">
        <v>99</v>
      </c>
      <c r="B102" s="990" t="s">
        <v>622</v>
      </c>
      <c r="C102" s="990" t="s">
        <v>931</v>
      </c>
      <c r="D102" s="956" t="str">
        <f t="shared" si="1"/>
        <v>keine WRG</v>
      </c>
      <c r="E102" s="430" t="s">
        <v>214</v>
      </c>
      <c r="F102" s="960" t="s">
        <v>1564</v>
      </c>
      <c r="G102" s="431" t="s">
        <v>1318</v>
      </c>
    </row>
    <row r="103" spans="1:7" ht="26.1" customHeight="1">
      <c r="A103" s="970">
        <v>100</v>
      </c>
      <c r="B103" s="990" t="s">
        <v>622</v>
      </c>
      <c r="C103" s="990" t="s">
        <v>932</v>
      </c>
      <c r="D103" s="971" t="str">
        <f t="shared" si="1"/>
        <v>Kreuzstrom</v>
      </c>
      <c r="E103" s="430" t="s">
        <v>352</v>
      </c>
      <c r="F103" s="960" t="s">
        <v>1565</v>
      </c>
      <c r="G103" s="974" t="s">
        <v>1319</v>
      </c>
    </row>
    <row r="104" spans="1:7" s="975" customFormat="1" ht="26.1" customHeight="1">
      <c r="A104" s="429">
        <v>101</v>
      </c>
      <c r="B104" s="990" t="s">
        <v>622</v>
      </c>
      <c r="C104" s="990" t="s">
        <v>933</v>
      </c>
      <c r="D104" s="956" t="str">
        <f t="shared" si="1"/>
        <v>Gegenstrom</v>
      </c>
      <c r="E104" s="430" t="s">
        <v>353</v>
      </c>
      <c r="F104" s="960" t="s">
        <v>1566</v>
      </c>
      <c r="G104" s="431" t="s">
        <v>1320</v>
      </c>
    </row>
    <row r="105" spans="1:7" ht="26.1" customHeight="1">
      <c r="A105" s="500">
        <v>102</v>
      </c>
      <c r="B105" s="990" t="s">
        <v>622</v>
      </c>
      <c r="C105" s="990" t="s">
        <v>934</v>
      </c>
      <c r="D105" s="957" t="str">
        <f t="shared" si="1"/>
        <v>Rotations-WT</v>
      </c>
      <c r="E105" s="430" t="s">
        <v>631</v>
      </c>
      <c r="F105" s="960" t="s">
        <v>1567</v>
      </c>
      <c r="G105" s="502" t="s">
        <v>1321</v>
      </c>
    </row>
    <row r="106" spans="1:7" ht="26.1" customHeight="1">
      <c r="A106" s="429">
        <v>103</v>
      </c>
      <c r="B106" s="990" t="s">
        <v>622</v>
      </c>
      <c r="C106" s="990" t="s">
        <v>935</v>
      </c>
      <c r="D106" s="956" t="str">
        <f t="shared" si="1"/>
        <v>Kreislauf-KVS</v>
      </c>
      <c r="E106" s="430" t="s">
        <v>131</v>
      </c>
      <c r="F106" s="960" t="s">
        <v>1568</v>
      </c>
      <c r="G106" s="431" t="s">
        <v>1322</v>
      </c>
    </row>
    <row r="107" spans="1:7" ht="26.1" customHeight="1">
      <c r="A107" s="429">
        <v>104</v>
      </c>
      <c r="B107" s="990" t="s">
        <v>622</v>
      </c>
      <c r="C107" s="990" t="s">
        <v>936</v>
      </c>
      <c r="D107" s="956" t="str">
        <f t="shared" si="1"/>
        <v>AC-Motor</v>
      </c>
      <c r="E107" s="430" t="s">
        <v>643</v>
      </c>
      <c r="F107" s="960" t="s">
        <v>1569</v>
      </c>
      <c r="G107" s="431" t="s">
        <v>1323</v>
      </c>
    </row>
    <row r="108" spans="1:7" ht="26.1" customHeight="1">
      <c r="A108" s="429">
        <v>105</v>
      </c>
      <c r="B108" s="990" t="s">
        <v>622</v>
      </c>
      <c r="C108" s="990" t="s">
        <v>937</v>
      </c>
      <c r="D108" s="956" t="str">
        <f t="shared" si="1"/>
        <v>DC/EC-Motor</v>
      </c>
      <c r="E108" s="430" t="s">
        <v>644</v>
      </c>
      <c r="F108" s="960" t="s">
        <v>1570</v>
      </c>
      <c r="G108" s="431" t="s">
        <v>1324</v>
      </c>
    </row>
    <row r="109" spans="1:7" ht="26.1" customHeight="1">
      <c r="A109" s="429">
        <v>106</v>
      </c>
      <c r="D109" s="956" t="str">
        <f t="shared" si="1"/>
        <v>Deckungsgrad zu hoch</v>
      </c>
      <c r="E109" s="430" t="s">
        <v>25</v>
      </c>
      <c r="F109" s="960" t="s">
        <v>540</v>
      </c>
      <c r="G109" s="431" t="s">
        <v>1325</v>
      </c>
    </row>
    <row r="110" spans="1:7" ht="26.1" customHeight="1">
      <c r="A110" s="429">
        <v>107</v>
      </c>
      <c r="D110" s="956" t="str">
        <f t="shared" si="1"/>
        <v>Heizung ausgewählt</v>
      </c>
      <c r="E110" s="430" t="s">
        <v>26</v>
      </c>
      <c r="F110" s="960" t="s">
        <v>541</v>
      </c>
      <c r="G110" s="431" t="s">
        <v>1326</v>
      </c>
    </row>
    <row r="111" spans="1:7" ht="26.1" customHeight="1">
      <c r="A111" s="429">
        <v>108</v>
      </c>
      <c r="D111" s="956" t="str">
        <f t="shared" si="1"/>
        <v>Warmwasser ausgewählt</v>
      </c>
      <c r="E111" s="430" t="s">
        <v>27</v>
      </c>
      <c r="F111" s="960" t="s">
        <v>542</v>
      </c>
      <c r="G111" s="431" t="s">
        <v>1327</v>
      </c>
    </row>
    <row r="112" spans="1:7" ht="26.1" customHeight="1">
      <c r="A112" s="429">
        <v>109</v>
      </c>
      <c r="D112" s="956" t="str">
        <f t="shared" si="1"/>
        <v>Berechnung beilege</v>
      </c>
      <c r="E112" s="430" t="s">
        <v>28</v>
      </c>
      <c r="F112" s="960" t="s">
        <v>543</v>
      </c>
      <c r="G112" s="431" t="s">
        <v>1328</v>
      </c>
    </row>
    <row r="113" spans="1:7" ht="26.1" customHeight="1">
      <c r="A113" s="429">
        <v>110</v>
      </c>
      <c r="D113" s="956" t="str">
        <f t="shared" si="1"/>
        <v>Zusätzlich Elektro-Wassererwärmer wählen</v>
      </c>
      <c r="E113" s="430" t="s">
        <v>187</v>
      </c>
      <c r="F113" s="960" t="s">
        <v>544</v>
      </c>
      <c r="G113" s="431" t="s">
        <v>1329</v>
      </c>
    </row>
    <row r="114" spans="1:7" ht="26.1" customHeight="1">
      <c r="A114" s="429">
        <v>111</v>
      </c>
      <c r="D114" s="956" t="str">
        <f t="shared" si="1"/>
        <v>Externe Berechnung beilegen</v>
      </c>
      <c r="E114" s="430" t="s">
        <v>448</v>
      </c>
      <c r="F114" s="960" t="s">
        <v>537</v>
      </c>
      <c r="G114" s="431" t="s">
        <v>1330</v>
      </c>
    </row>
    <row r="115" spans="1:7" ht="35.25" customHeight="1">
      <c r="A115" s="970">
        <v>112</v>
      </c>
      <c r="B115" s="992"/>
      <c r="C115" s="992"/>
      <c r="D115" s="971" t="str">
        <f t="shared" si="1"/>
        <v>Hinweis: Im Blatt 'Eingaben' wurde ein Lüftungsgerät mit integrierter Wärmepumpe gewählt
-&gt;  Wärmeerzeugung mit Abluft-WP wählen</v>
      </c>
      <c r="E115" s="430" t="s">
        <v>262</v>
      </c>
      <c r="F115" s="960" t="s">
        <v>154</v>
      </c>
      <c r="G115" s="974" t="s">
        <v>1331</v>
      </c>
    </row>
    <row r="116" spans="1:7" s="975" customFormat="1" ht="25.9" customHeight="1">
      <c r="A116" s="429">
        <v>113</v>
      </c>
      <c r="B116" s="990" t="s">
        <v>53</v>
      </c>
      <c r="C116" s="990" t="s">
        <v>952</v>
      </c>
      <c r="D116" s="956" t="str">
        <f t="shared" si="1"/>
        <v xml:space="preserve">1) Externe Berechnung beilegen und Werte in Zellen F40 - I43 eintragen </v>
      </c>
      <c r="E116" s="972" t="s">
        <v>1124</v>
      </c>
      <c r="F116" s="973" t="s">
        <v>1125</v>
      </c>
      <c r="G116" s="431" t="s">
        <v>1332</v>
      </c>
    </row>
    <row r="117" spans="1:7" ht="25.9" customHeight="1">
      <c r="A117" s="500">
        <v>114</v>
      </c>
      <c r="B117" s="990" t="s">
        <v>53</v>
      </c>
      <c r="C117" s="958" t="s">
        <v>1216</v>
      </c>
      <c r="D117" s="957" t="str">
        <f t="shared" si="1"/>
        <v xml:space="preserve">EGID:  </v>
      </c>
      <c r="E117" s="430" t="s">
        <v>1217</v>
      </c>
      <c r="F117" s="960" t="s">
        <v>1333</v>
      </c>
      <c r="G117" s="502" t="s">
        <v>1333</v>
      </c>
    </row>
    <row r="118" spans="1:7" ht="25.9" customHeight="1">
      <c r="A118" s="429">
        <v>115</v>
      </c>
      <c r="B118" s="990" t="s">
        <v>622</v>
      </c>
      <c r="C118" s="990" t="s">
        <v>54</v>
      </c>
      <c r="D118" s="956" t="str">
        <f t="shared" si="1"/>
        <v>Aargau</v>
      </c>
      <c r="E118" s="430" t="s">
        <v>610</v>
      </c>
      <c r="F118" s="960" t="s">
        <v>558</v>
      </c>
      <c r="G118" s="431" t="s">
        <v>1334</v>
      </c>
    </row>
    <row r="119" spans="1:7" ht="25.9" customHeight="1">
      <c r="A119" s="429">
        <v>116</v>
      </c>
      <c r="B119" s="990" t="s">
        <v>622</v>
      </c>
      <c r="C119" s="990" t="s">
        <v>55</v>
      </c>
      <c r="D119" s="956" t="str">
        <f t="shared" si="1"/>
        <v>Appenzell Innerrhoden</v>
      </c>
      <c r="E119" s="430" t="s">
        <v>611</v>
      </c>
      <c r="F119" s="960" t="s">
        <v>559</v>
      </c>
      <c r="G119" s="431" t="s">
        <v>1335</v>
      </c>
    </row>
    <row r="120" spans="1:7" ht="25.9" customHeight="1">
      <c r="A120" s="429">
        <v>117</v>
      </c>
      <c r="B120" s="990" t="s">
        <v>622</v>
      </c>
      <c r="C120" s="990" t="s">
        <v>56</v>
      </c>
      <c r="D120" s="956" t="str">
        <f t="shared" si="1"/>
        <v>Appenzell Ausserrhoden</v>
      </c>
      <c r="E120" s="430" t="s">
        <v>612</v>
      </c>
      <c r="F120" s="960" t="s">
        <v>1734</v>
      </c>
      <c r="G120" s="431" t="s">
        <v>1336</v>
      </c>
    </row>
    <row r="121" spans="1:7" ht="25.9" customHeight="1">
      <c r="A121" s="429">
        <v>118</v>
      </c>
      <c r="B121" s="990" t="s">
        <v>622</v>
      </c>
      <c r="C121" s="990" t="s">
        <v>57</v>
      </c>
      <c r="D121" s="956" t="str">
        <f t="shared" si="1"/>
        <v>Bern</v>
      </c>
      <c r="E121" s="430" t="s">
        <v>280</v>
      </c>
      <c r="F121" s="960" t="s">
        <v>560</v>
      </c>
      <c r="G121" s="431" t="s">
        <v>1337</v>
      </c>
    </row>
    <row r="122" spans="1:7" ht="25.9" customHeight="1">
      <c r="A122" s="429">
        <v>119</v>
      </c>
      <c r="B122" s="990" t="s">
        <v>622</v>
      </c>
      <c r="C122" s="990" t="s">
        <v>58</v>
      </c>
      <c r="D122" s="956" t="str">
        <f t="shared" si="1"/>
        <v>Basel Land</v>
      </c>
      <c r="E122" s="430" t="s">
        <v>613</v>
      </c>
      <c r="F122" s="960" t="s">
        <v>561</v>
      </c>
      <c r="G122" s="431" t="s">
        <v>1338</v>
      </c>
    </row>
    <row r="123" spans="1:7" ht="25.9" customHeight="1">
      <c r="A123" s="429">
        <v>120</v>
      </c>
      <c r="B123" s="990" t="s">
        <v>622</v>
      </c>
      <c r="C123" s="990" t="s">
        <v>59</v>
      </c>
      <c r="D123" s="956" t="str">
        <f t="shared" si="1"/>
        <v>Basel Stadt</v>
      </c>
      <c r="E123" s="430" t="s">
        <v>614</v>
      </c>
      <c r="F123" s="960" t="s">
        <v>562</v>
      </c>
      <c r="G123" s="431" t="s">
        <v>1339</v>
      </c>
    </row>
    <row r="124" spans="1:7" ht="25.9" customHeight="1">
      <c r="A124" s="429">
        <v>121</v>
      </c>
      <c r="B124" s="990" t="s">
        <v>622</v>
      </c>
      <c r="C124" s="990" t="s">
        <v>60</v>
      </c>
      <c r="D124" s="956" t="str">
        <f t="shared" si="1"/>
        <v>Fribourg</v>
      </c>
      <c r="E124" s="430" t="s">
        <v>283</v>
      </c>
      <c r="F124" s="960" t="s">
        <v>283</v>
      </c>
      <c r="G124" s="431" t="s">
        <v>1340</v>
      </c>
    </row>
    <row r="125" spans="1:7" ht="25.9" customHeight="1">
      <c r="A125" s="429">
        <v>122</v>
      </c>
      <c r="B125" s="990" t="s">
        <v>622</v>
      </c>
      <c r="C125" s="990" t="s">
        <v>61</v>
      </c>
      <c r="D125" s="956" t="str">
        <f t="shared" si="1"/>
        <v>Genève</v>
      </c>
      <c r="E125" s="430" t="s">
        <v>284</v>
      </c>
      <c r="F125" s="960" t="s">
        <v>284</v>
      </c>
      <c r="G125" s="431" t="s">
        <v>1341</v>
      </c>
    </row>
    <row r="126" spans="1:7" ht="25.9" customHeight="1">
      <c r="A126" s="429">
        <v>123</v>
      </c>
      <c r="B126" s="990" t="s">
        <v>622</v>
      </c>
      <c r="C126" s="990" t="s">
        <v>62</v>
      </c>
      <c r="D126" s="956" t="str">
        <f t="shared" si="1"/>
        <v>Glarus</v>
      </c>
      <c r="E126" s="430" t="s">
        <v>288</v>
      </c>
      <c r="F126" s="960" t="s">
        <v>563</v>
      </c>
      <c r="G126" s="431" t="s">
        <v>1342</v>
      </c>
    </row>
    <row r="127" spans="1:7" ht="25.9" customHeight="1">
      <c r="A127" s="429">
        <v>124</v>
      </c>
      <c r="B127" s="990" t="s">
        <v>622</v>
      </c>
      <c r="C127" s="990" t="s">
        <v>63</v>
      </c>
      <c r="D127" s="956" t="str">
        <f t="shared" si="1"/>
        <v>Graubünden</v>
      </c>
      <c r="E127" s="430" t="s">
        <v>453</v>
      </c>
      <c r="F127" s="960" t="s">
        <v>1735</v>
      </c>
      <c r="G127" s="431" t="s">
        <v>1343</v>
      </c>
    </row>
    <row r="128" spans="1:7" ht="25.9" customHeight="1">
      <c r="A128" s="429">
        <v>125</v>
      </c>
      <c r="B128" s="990" t="s">
        <v>622</v>
      </c>
      <c r="C128" s="990" t="s">
        <v>866</v>
      </c>
      <c r="D128" s="956" t="str">
        <f t="shared" si="1"/>
        <v>Jura</v>
      </c>
      <c r="E128" s="430" t="s">
        <v>435</v>
      </c>
      <c r="F128" s="960" t="s">
        <v>435</v>
      </c>
      <c r="G128" s="431" t="s">
        <v>1344</v>
      </c>
    </row>
    <row r="129" spans="1:7" ht="25.9" customHeight="1">
      <c r="A129" s="429">
        <v>126</v>
      </c>
      <c r="B129" s="990" t="s">
        <v>622</v>
      </c>
      <c r="C129" s="990" t="s">
        <v>64</v>
      </c>
      <c r="D129" s="956" t="str">
        <f t="shared" si="1"/>
        <v>Luzern</v>
      </c>
      <c r="E129" s="430" t="s">
        <v>281</v>
      </c>
      <c r="F129" s="960" t="s">
        <v>564</v>
      </c>
      <c r="G129" s="431" t="s">
        <v>1345</v>
      </c>
    </row>
    <row r="130" spans="1:7" ht="25.9" customHeight="1">
      <c r="A130" s="429">
        <v>127</v>
      </c>
      <c r="B130" s="990" t="s">
        <v>622</v>
      </c>
      <c r="C130" s="990" t="s">
        <v>65</v>
      </c>
      <c r="D130" s="956" t="str">
        <f t="shared" si="1"/>
        <v>Neuenburg</v>
      </c>
      <c r="E130" s="430" t="s">
        <v>436</v>
      </c>
      <c r="F130" s="960" t="s">
        <v>287</v>
      </c>
      <c r="G130" s="431" t="s">
        <v>287</v>
      </c>
    </row>
    <row r="131" spans="1:7" ht="25.9" customHeight="1">
      <c r="A131" s="429">
        <v>128</v>
      </c>
      <c r="B131" s="990" t="s">
        <v>622</v>
      </c>
      <c r="C131" s="990" t="s">
        <v>66</v>
      </c>
      <c r="D131" s="956" t="str">
        <f t="shared" si="1"/>
        <v>Nidwalden</v>
      </c>
      <c r="E131" s="430" t="s">
        <v>451</v>
      </c>
      <c r="F131" s="960" t="s">
        <v>565</v>
      </c>
      <c r="G131" s="431" t="s">
        <v>1346</v>
      </c>
    </row>
    <row r="132" spans="1:7" ht="25.9" customHeight="1">
      <c r="A132" s="429">
        <v>129</v>
      </c>
      <c r="B132" s="990" t="s">
        <v>622</v>
      </c>
      <c r="C132" s="990" t="s">
        <v>67</v>
      </c>
      <c r="D132" s="956" t="str">
        <f t="shared" si="1"/>
        <v>Obwalden</v>
      </c>
      <c r="E132" s="430" t="s">
        <v>450</v>
      </c>
      <c r="F132" s="960" t="s">
        <v>566</v>
      </c>
      <c r="G132" s="431" t="s">
        <v>1347</v>
      </c>
    </row>
    <row r="133" spans="1:7" ht="25.9" customHeight="1">
      <c r="A133" s="429">
        <v>130</v>
      </c>
      <c r="B133" s="990" t="s">
        <v>622</v>
      </c>
      <c r="C133" s="990" t="s">
        <v>68</v>
      </c>
      <c r="D133" s="956" t="str">
        <f t="shared" ref="D133:D196" si="2">INDEX($E$4:$G$503,$A133,$A$1)</f>
        <v>St. Gallen</v>
      </c>
      <c r="E133" s="430" t="s">
        <v>276</v>
      </c>
      <c r="F133" s="960" t="s">
        <v>567</v>
      </c>
      <c r="G133" s="431" t="s">
        <v>1348</v>
      </c>
    </row>
    <row r="134" spans="1:7" ht="25.9" customHeight="1">
      <c r="A134" s="429">
        <v>131</v>
      </c>
      <c r="B134" s="990" t="s">
        <v>622</v>
      </c>
      <c r="C134" s="990" t="s">
        <v>69</v>
      </c>
      <c r="D134" s="956" t="str">
        <f t="shared" si="2"/>
        <v>Schaffhausen</v>
      </c>
      <c r="E134" s="430" t="s">
        <v>274</v>
      </c>
      <c r="F134" s="960" t="s">
        <v>568</v>
      </c>
      <c r="G134" s="431" t="s">
        <v>1349</v>
      </c>
    </row>
    <row r="135" spans="1:7" ht="25.9" customHeight="1">
      <c r="A135" s="429">
        <v>132</v>
      </c>
      <c r="B135" s="990" t="s">
        <v>622</v>
      </c>
      <c r="C135" s="990" t="s">
        <v>70</v>
      </c>
      <c r="D135" s="956" t="str">
        <f t="shared" si="2"/>
        <v>Solothurn</v>
      </c>
      <c r="E135" s="430" t="s">
        <v>263</v>
      </c>
      <c r="F135" s="960" t="s">
        <v>569</v>
      </c>
      <c r="G135" s="431" t="s">
        <v>1350</v>
      </c>
    </row>
    <row r="136" spans="1:7" ht="25.9" customHeight="1">
      <c r="A136" s="429">
        <v>133</v>
      </c>
      <c r="B136" s="990" t="s">
        <v>622</v>
      </c>
      <c r="C136" s="990" t="s">
        <v>71</v>
      </c>
      <c r="D136" s="956" t="str">
        <f t="shared" si="2"/>
        <v>Schwyz</v>
      </c>
      <c r="E136" s="430" t="s">
        <v>449</v>
      </c>
      <c r="F136" s="960" t="s">
        <v>570</v>
      </c>
      <c r="G136" s="431" t="s">
        <v>1351</v>
      </c>
    </row>
    <row r="137" spans="1:7" ht="25.9" customHeight="1">
      <c r="A137" s="429">
        <v>134</v>
      </c>
      <c r="B137" s="990" t="s">
        <v>622</v>
      </c>
      <c r="C137" s="990" t="s">
        <v>72</v>
      </c>
      <c r="D137" s="956" t="str">
        <f t="shared" si="2"/>
        <v>Thurgau</v>
      </c>
      <c r="E137" s="430" t="s">
        <v>434</v>
      </c>
      <c r="F137" s="960" t="s">
        <v>571</v>
      </c>
      <c r="G137" s="431" t="s">
        <v>1352</v>
      </c>
    </row>
    <row r="138" spans="1:7" ht="25.9" customHeight="1">
      <c r="A138" s="429">
        <v>135</v>
      </c>
      <c r="B138" s="990" t="s">
        <v>622</v>
      </c>
      <c r="C138" s="990" t="s">
        <v>73</v>
      </c>
      <c r="D138" s="956" t="str">
        <f t="shared" si="2"/>
        <v>Tessin</v>
      </c>
      <c r="E138" s="430" t="s">
        <v>454</v>
      </c>
      <c r="F138" s="960" t="s">
        <v>454</v>
      </c>
      <c r="G138" s="431" t="s">
        <v>1353</v>
      </c>
    </row>
    <row r="139" spans="1:7" ht="25.9" customHeight="1">
      <c r="A139" s="429">
        <v>136</v>
      </c>
      <c r="B139" s="990" t="s">
        <v>622</v>
      </c>
      <c r="C139" s="990" t="s">
        <v>74</v>
      </c>
      <c r="D139" s="956" t="str">
        <f t="shared" si="2"/>
        <v>Uri</v>
      </c>
      <c r="E139" s="430" t="s">
        <v>452</v>
      </c>
      <c r="F139" s="960" t="s">
        <v>452</v>
      </c>
      <c r="G139" s="431" t="s">
        <v>452</v>
      </c>
    </row>
    <row r="140" spans="1:7" ht="25.9" customHeight="1">
      <c r="A140" s="429">
        <v>137</v>
      </c>
      <c r="B140" s="990" t="s">
        <v>622</v>
      </c>
      <c r="C140" s="990" t="s">
        <v>75</v>
      </c>
      <c r="D140" s="956" t="str">
        <f t="shared" si="2"/>
        <v>Waadt</v>
      </c>
      <c r="E140" s="430" t="s">
        <v>615</v>
      </c>
      <c r="F140" s="960" t="s">
        <v>572</v>
      </c>
      <c r="G140" s="431" t="s">
        <v>572</v>
      </c>
    </row>
    <row r="141" spans="1:7" ht="25.9" customHeight="1">
      <c r="A141" s="429">
        <v>138</v>
      </c>
      <c r="B141" s="990" t="s">
        <v>622</v>
      </c>
      <c r="C141" s="990" t="s">
        <v>76</v>
      </c>
      <c r="D141" s="956" t="str">
        <f t="shared" si="2"/>
        <v>Wallis</v>
      </c>
      <c r="E141" s="430" t="s">
        <v>431</v>
      </c>
      <c r="F141" s="960" t="s">
        <v>573</v>
      </c>
      <c r="G141" s="431" t="s">
        <v>1354</v>
      </c>
    </row>
    <row r="142" spans="1:7" ht="25.9" customHeight="1">
      <c r="A142" s="429">
        <v>139</v>
      </c>
      <c r="B142" s="990" t="s">
        <v>622</v>
      </c>
      <c r="C142" s="990" t="s">
        <v>77</v>
      </c>
      <c r="D142" s="956" t="str">
        <f t="shared" si="2"/>
        <v>Zug</v>
      </c>
      <c r="E142" s="430" t="s">
        <v>432</v>
      </c>
      <c r="F142" s="960" t="s">
        <v>574</v>
      </c>
      <c r="G142" s="431" t="s">
        <v>1355</v>
      </c>
    </row>
    <row r="143" spans="1:7" ht="25.9" customHeight="1">
      <c r="A143" s="429">
        <v>140</v>
      </c>
      <c r="B143" s="990" t="s">
        <v>622</v>
      </c>
      <c r="C143" s="990" t="s">
        <v>78</v>
      </c>
      <c r="D143" s="956" t="str">
        <f t="shared" si="2"/>
        <v>Zürich</v>
      </c>
      <c r="E143" s="430" t="s">
        <v>433</v>
      </c>
      <c r="F143" s="960" t="s">
        <v>575</v>
      </c>
      <c r="G143" s="431" t="s">
        <v>1356</v>
      </c>
    </row>
    <row r="144" spans="1:7" ht="25.9" customHeight="1">
      <c r="A144" s="429">
        <v>141</v>
      </c>
      <c r="B144" s="990" t="s">
        <v>622</v>
      </c>
      <c r="C144" s="990" t="s">
        <v>79</v>
      </c>
      <c r="D144" s="956" t="str">
        <f t="shared" si="2"/>
        <v>Fürstentum Liechtenstein</v>
      </c>
      <c r="E144" s="430" t="s">
        <v>616</v>
      </c>
      <c r="F144" s="960" t="s">
        <v>576</v>
      </c>
      <c r="G144" s="431" t="s">
        <v>1357</v>
      </c>
    </row>
    <row r="145" spans="1:7" ht="25.9" customHeight="1">
      <c r="A145" s="429">
        <v>142</v>
      </c>
      <c r="B145" s="990" t="s">
        <v>622</v>
      </c>
      <c r="C145" s="990" t="s">
        <v>548</v>
      </c>
      <c r="D145" s="956" t="str">
        <f t="shared" si="2"/>
        <v>Spezial</v>
      </c>
      <c r="E145" s="430" t="s">
        <v>547</v>
      </c>
      <c r="F145" s="960" t="s">
        <v>577</v>
      </c>
      <c r="G145" s="431" t="s">
        <v>1358</v>
      </c>
    </row>
    <row r="146" spans="1:7" ht="25.9" customHeight="1">
      <c r="A146" s="429">
        <v>143</v>
      </c>
      <c r="B146" s="990" t="s">
        <v>53</v>
      </c>
      <c r="C146" s="990" t="s">
        <v>938</v>
      </c>
      <c r="D146" s="956" t="str">
        <f t="shared" si="2"/>
        <v>Unterschriften</v>
      </c>
      <c r="E146" s="430" t="s">
        <v>762</v>
      </c>
      <c r="F146" s="960" t="s">
        <v>1571</v>
      </c>
      <c r="G146" s="431" t="s">
        <v>1359</v>
      </c>
    </row>
    <row r="147" spans="1:7" ht="25.9" customHeight="1">
      <c r="A147" s="429">
        <v>144</v>
      </c>
      <c r="B147" s="990" t="s">
        <v>53</v>
      </c>
      <c r="C147" s="990" t="s">
        <v>939</v>
      </c>
      <c r="D147" s="956" t="str">
        <f t="shared" si="2"/>
        <v xml:space="preserve"> Nachweis erarbeitet durch:</v>
      </c>
      <c r="E147" s="430" t="s">
        <v>763</v>
      </c>
      <c r="F147" s="960" t="s">
        <v>1572</v>
      </c>
      <c r="G147" s="431" t="s">
        <v>1360</v>
      </c>
    </row>
    <row r="148" spans="1:7" ht="25.9" customHeight="1">
      <c r="A148" s="429">
        <v>145</v>
      </c>
      <c r="B148" s="990" t="s">
        <v>53</v>
      </c>
      <c r="C148" s="990" t="s">
        <v>940</v>
      </c>
      <c r="D148" s="956" t="str">
        <f t="shared" si="2"/>
        <v xml:space="preserve"> Nachweisprüfung / Private Kontrolle:</v>
      </c>
      <c r="E148" s="430" t="s">
        <v>764</v>
      </c>
      <c r="F148" s="960" t="s">
        <v>1573</v>
      </c>
      <c r="G148" s="431" t="s">
        <v>1361</v>
      </c>
    </row>
    <row r="149" spans="1:7" ht="25.9" customHeight="1">
      <c r="A149" s="429">
        <v>146</v>
      </c>
      <c r="B149" s="990" t="s">
        <v>53</v>
      </c>
      <c r="C149" s="990" t="s">
        <v>941</v>
      </c>
      <c r="D149" s="956" t="str">
        <f t="shared" si="2"/>
        <v xml:space="preserve"> Die Richtigkeit bescheinigt</v>
      </c>
      <c r="E149" s="430" t="s">
        <v>765</v>
      </c>
      <c r="F149" s="960" t="s">
        <v>1574</v>
      </c>
      <c r="G149" s="431" t="s">
        <v>1362</v>
      </c>
    </row>
    <row r="150" spans="1:7" ht="25.9" customHeight="1">
      <c r="A150" s="429">
        <v>147</v>
      </c>
      <c r="B150" s="990" t="s">
        <v>53</v>
      </c>
      <c r="C150" s="990" t="s">
        <v>942</v>
      </c>
      <c r="D150" s="956" t="str">
        <f t="shared" si="2"/>
        <v>Name und Adresse</v>
      </c>
      <c r="E150" s="430" t="s">
        <v>766</v>
      </c>
      <c r="F150" s="960" t="s">
        <v>1575</v>
      </c>
      <c r="G150" s="431" t="s">
        <v>1363</v>
      </c>
    </row>
    <row r="151" spans="1:7" ht="25.9" customHeight="1">
      <c r="A151" s="429">
        <v>148</v>
      </c>
      <c r="B151" s="990" t="s">
        <v>53</v>
      </c>
      <c r="C151" s="990" t="s">
        <v>943</v>
      </c>
      <c r="D151" s="956" t="str">
        <f t="shared" si="2"/>
        <v>bzw. Firmenstempel</v>
      </c>
      <c r="E151" s="430" t="s">
        <v>767</v>
      </c>
      <c r="F151" s="960" t="s">
        <v>1576</v>
      </c>
      <c r="G151" s="431" t="s">
        <v>1364</v>
      </c>
    </row>
    <row r="152" spans="1:7" ht="25.9" customHeight="1">
      <c r="A152" s="429">
        <v>149</v>
      </c>
      <c r="B152" s="990" t="s">
        <v>53</v>
      </c>
      <c r="C152" s="990" t="s">
        <v>944</v>
      </c>
      <c r="D152" s="956" t="str">
        <f t="shared" si="2"/>
        <v>Sachbearbeiter/-in, Tel.:</v>
      </c>
      <c r="E152" s="430" t="s">
        <v>768</v>
      </c>
      <c r="F152" s="960" t="s">
        <v>1577</v>
      </c>
      <c r="G152" s="431" t="s">
        <v>1365</v>
      </c>
    </row>
    <row r="153" spans="1:7" ht="25.9" customHeight="1">
      <c r="A153" s="429">
        <v>150</v>
      </c>
      <c r="B153" s="990" t="s">
        <v>53</v>
      </c>
      <c r="C153" s="990" t="s">
        <v>947</v>
      </c>
      <c r="D153" s="956" t="str">
        <f t="shared" si="2"/>
        <v>Ort, Datum, Unterschrift:</v>
      </c>
      <c r="E153" s="430" t="s">
        <v>769</v>
      </c>
      <c r="F153" s="960" t="s">
        <v>1578</v>
      </c>
      <c r="G153" s="431" t="s">
        <v>1366</v>
      </c>
    </row>
    <row r="154" spans="1:7" ht="25.9" customHeight="1">
      <c r="A154" s="429">
        <v>151</v>
      </c>
      <c r="B154" s="990" t="s">
        <v>53</v>
      </c>
      <c r="C154" s="990" t="s">
        <v>948</v>
      </c>
      <c r="D154" s="956" t="str">
        <f t="shared" si="2"/>
        <v>Ausführungskontrolle:</v>
      </c>
      <c r="E154" s="430" t="s">
        <v>770</v>
      </c>
      <c r="F154" s="960" t="s">
        <v>1579</v>
      </c>
      <c r="G154" s="431" t="s">
        <v>1367</v>
      </c>
    </row>
    <row r="155" spans="1:7" ht="25.9" customHeight="1">
      <c r="A155" s="429">
        <v>152</v>
      </c>
      <c r="B155" s="990" t="s">
        <v>53</v>
      </c>
      <c r="C155" s="990" t="s">
        <v>950</v>
      </c>
      <c r="D155" s="956" t="str">
        <f t="shared" si="2"/>
        <v>Gleiche Person</v>
      </c>
      <c r="E155" s="430" t="s">
        <v>779</v>
      </c>
      <c r="F155" s="960" t="s">
        <v>1580</v>
      </c>
      <c r="G155" s="431" t="s">
        <v>1368</v>
      </c>
    </row>
    <row r="156" spans="1:7" ht="25.9" customHeight="1">
      <c r="A156" s="980">
        <v>153</v>
      </c>
      <c r="B156" s="993" t="s">
        <v>53</v>
      </c>
      <c r="C156" s="993" t="s">
        <v>951</v>
      </c>
      <c r="D156" s="981" t="str">
        <f t="shared" si="2"/>
        <v>oder:</v>
      </c>
      <c r="E156" s="982" t="s">
        <v>780</v>
      </c>
      <c r="F156" s="983" t="s">
        <v>1581</v>
      </c>
      <c r="G156" s="984" t="s">
        <v>1369</v>
      </c>
    </row>
    <row r="157" spans="1:7" ht="25.9" customHeight="1">
      <c r="A157" s="500">
        <v>154</v>
      </c>
      <c r="B157" s="990" t="s">
        <v>622</v>
      </c>
      <c r="C157" s="990" t="s">
        <v>953</v>
      </c>
      <c r="D157" s="957" t="str">
        <f t="shared" si="2"/>
        <v>Ölfeuerung</v>
      </c>
      <c r="E157" s="501" t="s">
        <v>203</v>
      </c>
      <c r="F157" s="962" t="s">
        <v>1582</v>
      </c>
      <c r="G157" s="502" t="s">
        <v>1370</v>
      </c>
    </row>
    <row r="158" spans="1:7" ht="25.9" customHeight="1">
      <c r="A158" s="429">
        <v>155</v>
      </c>
      <c r="B158" s="990" t="s">
        <v>622</v>
      </c>
      <c r="C158" s="990" t="s">
        <v>954</v>
      </c>
      <c r="D158" s="956" t="str">
        <f t="shared" si="2"/>
        <v>Ölfeuerung kondensierend nur Heizung</v>
      </c>
      <c r="E158" s="430" t="s">
        <v>86</v>
      </c>
      <c r="F158" s="960" t="s">
        <v>1583</v>
      </c>
      <c r="G158" s="431" t="s">
        <v>1371</v>
      </c>
    </row>
    <row r="159" spans="1:7" ht="25.9" customHeight="1">
      <c r="A159" s="429">
        <v>156</v>
      </c>
      <c r="B159" s="990" t="s">
        <v>622</v>
      </c>
      <c r="C159" s="990" t="s">
        <v>955</v>
      </c>
      <c r="D159" s="956" t="str">
        <f t="shared" si="2"/>
        <v>Ölfeuerung kondensierend nur Warmwasser</v>
      </c>
      <c r="E159" s="430" t="s">
        <v>87</v>
      </c>
      <c r="F159" s="960" t="s">
        <v>1584</v>
      </c>
      <c r="G159" s="431" t="s">
        <v>1372</v>
      </c>
    </row>
    <row r="160" spans="1:7" ht="25.9" customHeight="1">
      <c r="A160" s="429">
        <v>157</v>
      </c>
      <c r="B160" s="990" t="s">
        <v>622</v>
      </c>
      <c r="C160" s="990" t="s">
        <v>956</v>
      </c>
      <c r="D160" s="956" t="str">
        <f t="shared" si="2"/>
        <v>Gasfeuerung</v>
      </c>
      <c r="E160" s="430" t="s">
        <v>204</v>
      </c>
      <c r="F160" s="960" t="s">
        <v>1585</v>
      </c>
      <c r="G160" s="431" t="s">
        <v>1373</v>
      </c>
    </row>
    <row r="161" spans="1:7" ht="25.9" customHeight="1">
      <c r="A161" s="429">
        <v>158</v>
      </c>
      <c r="B161" s="990" t="s">
        <v>622</v>
      </c>
      <c r="C161" s="990" t="s">
        <v>957</v>
      </c>
      <c r="D161" s="956" t="str">
        <f t="shared" si="2"/>
        <v>Gasfeuerung kondensierend nur Heizung</v>
      </c>
      <c r="E161" s="430" t="s">
        <v>88</v>
      </c>
      <c r="F161" s="960" t="s">
        <v>1586</v>
      </c>
      <c r="G161" s="431" t="s">
        <v>1374</v>
      </c>
    </row>
    <row r="162" spans="1:7" ht="25.9" customHeight="1">
      <c r="A162" s="429">
        <v>159</v>
      </c>
      <c r="B162" s="990" t="s">
        <v>622</v>
      </c>
      <c r="C162" s="990" t="s">
        <v>958</v>
      </c>
      <c r="D162" s="956" t="str">
        <f t="shared" si="2"/>
        <v>Gasfeuerung kondensierend nur Warmwasser</v>
      </c>
      <c r="E162" s="430" t="s">
        <v>89</v>
      </c>
      <c r="F162" s="960" t="s">
        <v>1587</v>
      </c>
      <c r="G162" s="431" t="s">
        <v>1375</v>
      </c>
    </row>
    <row r="163" spans="1:7" ht="26.1" customHeight="1">
      <c r="A163" s="429">
        <v>160</v>
      </c>
      <c r="B163" s="990" t="s">
        <v>622</v>
      </c>
      <c r="C163" s="990" t="s">
        <v>959</v>
      </c>
      <c r="D163" s="956" t="str">
        <f t="shared" si="2"/>
        <v>Gas - Wassererwärmer</v>
      </c>
      <c r="E163" s="430" t="s">
        <v>205</v>
      </c>
      <c r="F163" s="960" t="s">
        <v>1588</v>
      </c>
      <c r="G163" s="431" t="s">
        <v>1376</v>
      </c>
    </row>
    <row r="164" spans="1:7" ht="26.1" customHeight="1">
      <c r="A164" s="429">
        <v>161</v>
      </c>
      <c r="B164" s="990" t="s">
        <v>622</v>
      </c>
      <c r="C164" s="990" t="s">
        <v>960</v>
      </c>
      <c r="D164" s="956" t="str">
        <f t="shared" si="2"/>
        <v>Holzfeuerung</v>
      </c>
      <c r="E164" s="430" t="s">
        <v>318</v>
      </c>
      <c r="F164" s="960" t="s">
        <v>1589</v>
      </c>
      <c r="G164" s="431" t="s">
        <v>1377</v>
      </c>
    </row>
    <row r="165" spans="1:7" ht="26.1" customHeight="1">
      <c r="A165" s="429">
        <v>162</v>
      </c>
      <c r="B165" s="990" t="s">
        <v>622</v>
      </c>
      <c r="C165" s="990" t="s">
        <v>961</v>
      </c>
      <c r="D165" s="956" t="str">
        <f t="shared" si="2"/>
        <v>Pelletfeuerung</v>
      </c>
      <c r="E165" s="430" t="s">
        <v>22</v>
      </c>
      <c r="F165" s="960" t="s">
        <v>1590</v>
      </c>
      <c r="G165" s="431" t="s">
        <v>1378</v>
      </c>
    </row>
    <row r="166" spans="1:7" ht="26.1" customHeight="1">
      <c r="A166" s="429">
        <v>163</v>
      </c>
      <c r="B166" s="990" t="s">
        <v>622</v>
      </c>
      <c r="C166" s="990" t="s">
        <v>962</v>
      </c>
      <c r="D166" s="956" t="str">
        <f t="shared" si="2"/>
        <v>Fernwärme (inkl. Abwärme aus KVA,ARA), &lt;=50% nicht erneuerbar</v>
      </c>
      <c r="E166" s="430" t="s">
        <v>1238</v>
      </c>
      <c r="F166" s="960" t="s">
        <v>1591</v>
      </c>
      <c r="G166" s="431" t="s">
        <v>1494</v>
      </c>
    </row>
    <row r="167" spans="1:7" ht="26.1" customHeight="1">
      <c r="A167" s="429">
        <v>164</v>
      </c>
      <c r="B167" s="990" t="s">
        <v>622</v>
      </c>
      <c r="C167" s="990" t="s">
        <v>963</v>
      </c>
      <c r="D167" s="956" t="str">
        <f t="shared" si="2"/>
        <v>Elektrospeicher-Zentralheizung</v>
      </c>
      <c r="E167" s="430" t="s">
        <v>186</v>
      </c>
      <c r="F167" s="960" t="s">
        <v>1592</v>
      </c>
      <c r="G167" s="431" t="s">
        <v>1379</v>
      </c>
    </row>
    <row r="168" spans="1:7" ht="26.1" customHeight="1">
      <c r="A168" s="429">
        <v>165</v>
      </c>
      <c r="B168" s="990" t="s">
        <v>622</v>
      </c>
      <c r="C168" s="990" t="s">
        <v>964</v>
      </c>
      <c r="D168" s="956" t="str">
        <f t="shared" si="2"/>
        <v>Elektro direkt</v>
      </c>
      <c r="E168" s="430" t="s">
        <v>45</v>
      </c>
      <c r="F168" s="960" t="s">
        <v>1593</v>
      </c>
      <c r="G168" s="431" t="s">
        <v>1380</v>
      </c>
    </row>
    <row r="169" spans="1:7" ht="26.1" customHeight="1">
      <c r="A169" s="429">
        <v>166</v>
      </c>
      <c r="B169" s="990" t="s">
        <v>622</v>
      </c>
      <c r="C169" s="990" t="s">
        <v>965</v>
      </c>
      <c r="D169" s="956" t="str">
        <f t="shared" si="2"/>
        <v>Elektro-Wassererwärmer</v>
      </c>
      <c r="E169" s="430" t="s">
        <v>145</v>
      </c>
      <c r="F169" s="960" t="s">
        <v>1594</v>
      </c>
      <c r="G169" s="431" t="s">
        <v>1381</v>
      </c>
    </row>
    <row r="170" spans="1:7" ht="26.1" customHeight="1">
      <c r="A170" s="429">
        <v>167</v>
      </c>
      <c r="B170" s="990" t="s">
        <v>622</v>
      </c>
      <c r="C170" s="990" t="s">
        <v>966</v>
      </c>
      <c r="D170" s="956" t="str">
        <f t="shared" si="2"/>
        <v>WKK (fossil) - thermischer + elektrischer Anteil</v>
      </c>
      <c r="E170" s="430" t="s">
        <v>707</v>
      </c>
      <c r="F170" s="960" t="s">
        <v>1595</v>
      </c>
      <c r="G170" s="431" t="s">
        <v>1382</v>
      </c>
    </row>
    <row r="171" spans="1:7" ht="26.1" customHeight="1">
      <c r="A171" s="429">
        <v>168</v>
      </c>
      <c r="B171" s="990" t="s">
        <v>622</v>
      </c>
      <c r="C171" s="990" t="s">
        <v>967</v>
      </c>
      <c r="D171" s="956" t="str">
        <f t="shared" si="2"/>
        <v>WKK (Holz) - thermischer + elektrischer Anteil</v>
      </c>
      <c r="E171" s="430" t="s">
        <v>458</v>
      </c>
      <c r="F171" s="960" t="s">
        <v>1596</v>
      </c>
      <c r="G171" s="431" t="s">
        <v>1383</v>
      </c>
    </row>
    <row r="172" spans="1:7" ht="25.9" customHeight="1">
      <c r="A172" s="429">
        <v>169</v>
      </c>
      <c r="B172" s="990" t="s">
        <v>622</v>
      </c>
      <c r="C172" s="990" t="s">
        <v>968</v>
      </c>
      <c r="D172" s="956" t="str">
        <f t="shared" si="2"/>
        <v>Wärmepumpe Aussenluft, nur Heizung</v>
      </c>
      <c r="E172" s="430" t="s">
        <v>90</v>
      </c>
      <c r="F172" s="960" t="s">
        <v>1736</v>
      </c>
      <c r="G172" s="431" t="s">
        <v>2864</v>
      </c>
    </row>
    <row r="173" spans="1:7" ht="25.9" customHeight="1">
      <c r="A173" s="429">
        <v>170</v>
      </c>
      <c r="B173" s="990" t="s">
        <v>622</v>
      </c>
      <c r="C173" s="990" t="s">
        <v>969</v>
      </c>
      <c r="D173" s="956" t="str">
        <f t="shared" si="2"/>
        <v>Wärmepumpe, Aussenluft, nur Warmwasser</v>
      </c>
      <c r="E173" s="430" t="s">
        <v>91</v>
      </c>
      <c r="F173" s="960" t="s">
        <v>1737</v>
      </c>
      <c r="G173" s="431" t="s">
        <v>2865</v>
      </c>
    </row>
    <row r="174" spans="1:7" ht="25.9" customHeight="1">
      <c r="A174" s="429">
        <v>171</v>
      </c>
      <c r="B174" s="990" t="s">
        <v>622</v>
      </c>
      <c r="C174" s="990" t="s">
        <v>970</v>
      </c>
      <c r="D174" s="956" t="str">
        <f t="shared" si="2"/>
        <v>Wärmepumpe, Erdwärmesonde, nur Heizung</v>
      </c>
      <c r="E174" s="430" t="s">
        <v>92</v>
      </c>
      <c r="F174" s="960" t="s">
        <v>1597</v>
      </c>
      <c r="G174" s="431" t="s">
        <v>1384</v>
      </c>
    </row>
    <row r="175" spans="1:7" ht="26.1" customHeight="1">
      <c r="A175" s="429">
        <v>172</v>
      </c>
      <c r="B175" s="990" t="s">
        <v>622</v>
      </c>
      <c r="C175" s="990" t="s">
        <v>971</v>
      </c>
      <c r="D175" s="956" t="str">
        <f t="shared" si="2"/>
        <v>Wärmepumpe, Erdwärmesonde, nur Warmwasser</v>
      </c>
      <c r="E175" s="430" t="s">
        <v>93</v>
      </c>
      <c r="F175" s="960" t="s">
        <v>1598</v>
      </c>
      <c r="G175" s="431" t="s">
        <v>1385</v>
      </c>
    </row>
    <row r="176" spans="1:7" ht="26.1" customHeight="1">
      <c r="A176" s="429">
        <v>173</v>
      </c>
      <c r="B176" s="990" t="s">
        <v>622</v>
      </c>
      <c r="C176" s="990" t="s">
        <v>972</v>
      </c>
      <c r="D176" s="956" t="str">
        <f t="shared" si="2"/>
        <v>Wärmepumpe, Abwasser, nur Heizung</v>
      </c>
      <c r="E176" s="430" t="s">
        <v>455</v>
      </c>
      <c r="F176" s="960" t="s">
        <v>1599</v>
      </c>
      <c r="G176" s="431" t="s">
        <v>1386</v>
      </c>
    </row>
    <row r="177" spans="1:7" ht="26.1" customHeight="1">
      <c r="A177" s="429">
        <v>174</v>
      </c>
      <c r="B177" s="990" t="s">
        <v>622</v>
      </c>
      <c r="C177" s="990" t="s">
        <v>973</v>
      </c>
      <c r="D177" s="956" t="str">
        <f t="shared" si="2"/>
        <v>Wärmepumpe, Abwasser, nur Warmwasser</v>
      </c>
      <c r="E177" s="430" t="s">
        <v>456</v>
      </c>
      <c r="F177" s="960" t="s">
        <v>1600</v>
      </c>
      <c r="G177" s="431" t="s">
        <v>1387</v>
      </c>
    </row>
    <row r="178" spans="1:7" ht="26.1" customHeight="1">
      <c r="A178" s="429">
        <v>175</v>
      </c>
      <c r="B178" s="990" t="s">
        <v>622</v>
      </c>
      <c r="C178" s="990" t="s">
        <v>974</v>
      </c>
      <c r="D178" s="956" t="str">
        <f t="shared" si="2"/>
        <v>Wasser-Wärmepumpe, nur Heizung</v>
      </c>
      <c r="E178" s="430" t="s">
        <v>457</v>
      </c>
      <c r="F178" s="960" t="s">
        <v>1601</v>
      </c>
      <c r="G178" s="431" t="s">
        <v>2866</v>
      </c>
    </row>
    <row r="179" spans="1:7" ht="26.1" customHeight="1">
      <c r="A179" s="429">
        <v>176</v>
      </c>
      <c r="B179" s="990" t="s">
        <v>622</v>
      </c>
      <c r="C179" s="990" t="s">
        <v>975</v>
      </c>
      <c r="D179" s="956" t="str">
        <f t="shared" si="2"/>
        <v>Wasser-Wärmepumpe, nur Warmwasser</v>
      </c>
      <c r="E179" s="430" t="s">
        <v>218</v>
      </c>
      <c r="F179" s="960" t="s">
        <v>1602</v>
      </c>
      <c r="G179" s="431" t="s">
        <v>2867</v>
      </c>
    </row>
    <row r="180" spans="1:7" ht="26.1" customHeight="1">
      <c r="A180" s="429">
        <v>177</v>
      </c>
      <c r="B180" s="990" t="s">
        <v>622</v>
      </c>
      <c r="C180" s="990" t="s">
        <v>976</v>
      </c>
      <c r="D180" s="956" t="str">
        <f t="shared" si="2"/>
        <v>Wärmepumpe, Grundwasser, direkt, nur Heizung</v>
      </c>
      <c r="E180" s="430" t="s">
        <v>219</v>
      </c>
      <c r="F180" s="960" t="s">
        <v>1603</v>
      </c>
      <c r="G180" s="431" t="s">
        <v>1388</v>
      </c>
    </row>
    <row r="181" spans="1:7" ht="26.1" customHeight="1">
      <c r="A181" s="429">
        <v>178</v>
      </c>
      <c r="B181" s="990" t="s">
        <v>622</v>
      </c>
      <c r="C181" s="990" t="s">
        <v>977</v>
      </c>
      <c r="D181" s="956" t="str">
        <f t="shared" si="2"/>
        <v>Wärmepumpe, Grundwasser, direkt, nur Warmwasser</v>
      </c>
      <c r="E181" s="430" t="s">
        <v>220</v>
      </c>
      <c r="F181" s="960" t="s">
        <v>1604</v>
      </c>
      <c r="G181" s="431" t="s">
        <v>1389</v>
      </c>
    </row>
    <row r="182" spans="1:7" ht="26.1" customHeight="1">
      <c r="A182" s="429">
        <v>179</v>
      </c>
      <c r="B182" s="990" t="s">
        <v>622</v>
      </c>
      <c r="C182" s="990" t="s">
        <v>978</v>
      </c>
      <c r="D182" s="956" t="str">
        <f t="shared" si="2"/>
        <v>Wärmepumpe, Grundwasser, indirekt, nur Heizung</v>
      </c>
      <c r="E182" s="430" t="s">
        <v>221</v>
      </c>
      <c r="F182" s="960" t="s">
        <v>1605</v>
      </c>
      <c r="G182" s="431" t="s">
        <v>1390</v>
      </c>
    </row>
    <row r="183" spans="1:7" ht="26.1" customHeight="1">
      <c r="A183" s="429">
        <v>180</v>
      </c>
      <c r="B183" s="990" t="s">
        <v>622</v>
      </c>
      <c r="C183" s="990" t="s">
        <v>979</v>
      </c>
      <c r="D183" s="956" t="str">
        <f t="shared" si="2"/>
        <v>Wärmepumpe, Grundwasser, indirekt, nur Warmwaser</v>
      </c>
      <c r="E183" s="430" t="s">
        <v>222</v>
      </c>
      <c r="F183" s="960" t="s">
        <v>1606</v>
      </c>
      <c r="G183" s="431" t="s">
        <v>1391</v>
      </c>
    </row>
    <row r="184" spans="1:7" ht="26.1" customHeight="1">
      <c r="A184" s="429">
        <v>181</v>
      </c>
      <c r="B184" s="990" t="s">
        <v>622</v>
      </c>
      <c r="C184" s="990" t="s">
        <v>980</v>
      </c>
      <c r="D184" s="956" t="str">
        <f t="shared" si="2"/>
        <v>Wärmepumpe Erdregister, nur Heizung</v>
      </c>
      <c r="E184" s="430" t="s">
        <v>223</v>
      </c>
      <c r="F184" s="960" t="s">
        <v>1607</v>
      </c>
      <c r="G184" s="431" t="s">
        <v>1392</v>
      </c>
    </row>
    <row r="185" spans="1:7" ht="26.1" customHeight="1">
      <c r="A185" s="429">
        <v>182</v>
      </c>
      <c r="B185" s="990" t="s">
        <v>622</v>
      </c>
      <c r="C185" s="990" t="s">
        <v>981</v>
      </c>
      <c r="D185" s="956" t="str">
        <f t="shared" si="2"/>
        <v>Wärmepumpe Erdregister, nur Warmwasser</v>
      </c>
      <c r="E185" s="430" t="s">
        <v>224</v>
      </c>
      <c r="F185" s="960" t="s">
        <v>1608</v>
      </c>
      <c r="G185" s="431" t="s">
        <v>1393</v>
      </c>
    </row>
    <row r="186" spans="1:7" ht="26.1" customHeight="1">
      <c r="A186" s="429">
        <v>183</v>
      </c>
      <c r="B186" s="990" t="s">
        <v>622</v>
      </c>
      <c r="C186" s="990" t="s">
        <v>982</v>
      </c>
      <c r="D186" s="956" t="str">
        <f t="shared" si="2"/>
        <v>Solarenergie thermisch, nur Heizung</v>
      </c>
      <c r="E186" s="430" t="s">
        <v>225</v>
      </c>
      <c r="F186" s="960" t="s">
        <v>1609</v>
      </c>
      <c r="G186" s="431" t="s">
        <v>1394</v>
      </c>
    </row>
    <row r="187" spans="1:7" ht="26.1" customHeight="1">
      <c r="A187" s="429">
        <v>184</v>
      </c>
      <c r="B187" s="990" t="s">
        <v>622</v>
      </c>
      <c r="C187" s="990" t="s">
        <v>983</v>
      </c>
      <c r="D187" s="956" t="str">
        <f t="shared" si="2"/>
        <v>Solarenergie thermisch, nur Warmwasser</v>
      </c>
      <c r="E187" s="430" t="s">
        <v>226</v>
      </c>
      <c r="F187" s="960" t="s">
        <v>1610</v>
      </c>
      <c r="G187" s="431" t="s">
        <v>1395</v>
      </c>
    </row>
    <row r="188" spans="1:7" ht="26.1" customHeight="1">
      <c r="A188" s="429">
        <v>185</v>
      </c>
      <c r="B188" s="990" t="s">
        <v>622</v>
      </c>
      <c r="C188" s="990" t="s">
        <v>984</v>
      </c>
      <c r="D188" s="956" t="str">
        <f t="shared" si="2"/>
        <v>Solarenergie thermisch, Heizung + WW</v>
      </c>
      <c r="E188" s="430" t="s">
        <v>147</v>
      </c>
      <c r="F188" s="960" t="s">
        <v>1611</v>
      </c>
      <c r="G188" s="431" t="s">
        <v>1396</v>
      </c>
    </row>
    <row r="189" spans="1:7" ht="26.1" customHeight="1">
      <c r="A189" s="429">
        <v>186</v>
      </c>
      <c r="B189" s="990" t="s">
        <v>622</v>
      </c>
      <c r="C189" s="990" t="s">
        <v>985</v>
      </c>
      <c r="D189" s="956" t="str">
        <f t="shared" si="2"/>
        <v>Photovoltaik</v>
      </c>
      <c r="E189" s="430" t="s">
        <v>319</v>
      </c>
      <c r="F189" s="960" t="s">
        <v>1612</v>
      </c>
      <c r="G189" s="431" t="s">
        <v>1397</v>
      </c>
    </row>
    <row r="190" spans="1:7" ht="26.1" customHeight="1">
      <c r="A190" s="429">
        <v>187</v>
      </c>
      <c r="B190" s="990" t="s">
        <v>622</v>
      </c>
      <c r="C190" s="990" t="s">
        <v>986</v>
      </c>
      <c r="D190" s="956" t="str">
        <f t="shared" si="2"/>
        <v>Abwärme aus Klimakälte</v>
      </c>
      <c r="E190" s="430" t="s">
        <v>3717</v>
      </c>
      <c r="F190" s="1934" t="s">
        <v>3724</v>
      </c>
      <c r="G190" s="1935" t="s">
        <v>3725</v>
      </c>
    </row>
    <row r="191" spans="1:7" ht="26.1" customHeight="1">
      <c r="A191" s="429">
        <v>188</v>
      </c>
      <c r="B191" s="990" t="s">
        <v>622</v>
      </c>
      <c r="C191" s="990" t="s">
        <v>987</v>
      </c>
      <c r="D191" s="956" t="str">
        <f t="shared" si="2"/>
        <v>Abwärme aus Gewerbekälte oder EDV</v>
      </c>
      <c r="E191" s="430" t="s">
        <v>3718</v>
      </c>
      <c r="F191" s="1934" t="s">
        <v>2363</v>
      </c>
      <c r="G191" s="1935" t="s">
        <v>2457</v>
      </c>
    </row>
    <row r="192" spans="1:7" ht="26.1" customHeight="1">
      <c r="A192" s="429">
        <v>189</v>
      </c>
      <c r="B192" s="990" t="s">
        <v>622</v>
      </c>
      <c r="C192" s="990" t="s">
        <v>988</v>
      </c>
      <c r="D192" s="956" t="str">
        <f t="shared" si="2"/>
        <v>Lüftungsgerät mit Abluft / Zuluft - Wärmepumpe plus WRG</v>
      </c>
      <c r="E192" s="430" t="s">
        <v>373</v>
      </c>
      <c r="F192" s="960" t="s">
        <v>578</v>
      </c>
      <c r="G192" s="431" t="s">
        <v>1400</v>
      </c>
    </row>
    <row r="193" spans="1:7" ht="26.1" customHeight="1">
      <c r="A193" s="429">
        <v>190</v>
      </c>
      <c r="B193" s="990" t="s">
        <v>622</v>
      </c>
      <c r="C193" s="990" t="s">
        <v>989</v>
      </c>
      <c r="D193" s="971" t="str">
        <f t="shared" si="2"/>
        <v>Lüftungsgerät mit Abluft / Zuluft - Wärmepumpe ohne WRG</v>
      </c>
      <c r="E193" s="430" t="s">
        <v>372</v>
      </c>
      <c r="F193" s="960" t="s">
        <v>579</v>
      </c>
      <c r="G193" s="431" t="s">
        <v>1401</v>
      </c>
    </row>
    <row r="194" spans="1:7" ht="26.1" customHeight="1">
      <c r="A194" s="985">
        <v>191</v>
      </c>
      <c r="B194" s="990" t="s">
        <v>622</v>
      </c>
      <c r="C194" s="990" t="s">
        <v>990</v>
      </c>
      <c r="D194" s="956" t="str">
        <f t="shared" si="2"/>
        <v>Lüftungsgerät mit Abluft-Wärmepumpe (keine Zuluft)</v>
      </c>
      <c r="E194" s="430" t="s">
        <v>351</v>
      </c>
      <c r="F194" s="960" t="s">
        <v>580</v>
      </c>
      <c r="G194" s="431" t="s">
        <v>1402</v>
      </c>
    </row>
    <row r="195" spans="1:7" ht="26.1" customHeight="1">
      <c r="A195" s="429">
        <v>192</v>
      </c>
      <c r="B195" s="990" t="s">
        <v>622</v>
      </c>
      <c r="C195" s="990" t="s">
        <v>991</v>
      </c>
      <c r="D195" s="957" t="str">
        <f t="shared" si="2"/>
        <v>Kompakt-WP mit Zu- &amp; Abluft / WW plus WRG</v>
      </c>
      <c r="E195" s="430" t="s">
        <v>358</v>
      </c>
      <c r="F195" s="960" t="s">
        <v>1615</v>
      </c>
      <c r="G195" s="431" t="s">
        <v>1403</v>
      </c>
    </row>
    <row r="196" spans="1:7" ht="26.1" customHeight="1">
      <c r="A196" s="429">
        <v>193</v>
      </c>
      <c r="B196" s="990" t="s">
        <v>622</v>
      </c>
      <c r="C196" s="990" t="s">
        <v>992</v>
      </c>
      <c r="D196" s="956" t="str">
        <f t="shared" si="2"/>
        <v>Kompakt-WP mit Zu- &amp; Abluft / WW ohne WRG (nur Heizung)</v>
      </c>
      <c r="E196" s="430" t="s">
        <v>370</v>
      </c>
      <c r="F196" s="960" t="s">
        <v>1616</v>
      </c>
      <c r="G196" s="431" t="s">
        <v>1404</v>
      </c>
    </row>
    <row r="197" spans="1:7" ht="26.1" customHeight="1">
      <c r="A197" s="429">
        <v>194</v>
      </c>
      <c r="B197" s="990" t="s">
        <v>622</v>
      </c>
      <c r="C197" s="990" t="s">
        <v>993</v>
      </c>
      <c r="D197" s="956" t="str">
        <f t="shared" ref="D197:D260" si="3">INDEX($E$4:$G$503,$A197,$A$1)</f>
        <v>Kompakt-WP mit Zu- &amp; Abluft / WW ohne WRG (nur WW)</v>
      </c>
      <c r="E197" s="430" t="s">
        <v>371</v>
      </c>
      <c r="F197" s="960" t="s">
        <v>1617</v>
      </c>
      <c r="G197" s="431" t="s">
        <v>1405</v>
      </c>
    </row>
    <row r="198" spans="1:7" ht="26.1" customHeight="1">
      <c r="A198" s="429">
        <v>195</v>
      </c>
      <c r="B198" s="990" t="s">
        <v>622</v>
      </c>
      <c r="C198" s="990" t="s">
        <v>994</v>
      </c>
      <c r="D198" s="956" t="str">
        <f t="shared" si="3"/>
        <v>Biomasse, hydraulisch eingebunden</v>
      </c>
      <c r="E198" s="430" t="s">
        <v>498</v>
      </c>
      <c r="F198" s="960" t="s">
        <v>158</v>
      </c>
      <c r="G198" s="431" t="s">
        <v>1406</v>
      </c>
    </row>
    <row r="199" spans="1:7" ht="26.1" customHeight="1">
      <c r="A199" s="429">
        <v>196</v>
      </c>
      <c r="B199" s="990" t="s">
        <v>622</v>
      </c>
      <c r="C199" s="990" t="s">
        <v>995</v>
      </c>
      <c r="D199" s="956" t="str">
        <f t="shared" si="3"/>
        <v>Fernwärme (inkl. Abwärme aus KVA,ARA), &gt;75% nicht erneuerbar</v>
      </c>
      <c r="E199" s="430" t="s">
        <v>1236</v>
      </c>
      <c r="F199" s="960" t="s">
        <v>1618</v>
      </c>
      <c r="G199" s="431" t="s">
        <v>1495</v>
      </c>
    </row>
    <row r="200" spans="1:7" ht="26.1" customHeight="1">
      <c r="A200" s="429">
        <v>197</v>
      </c>
      <c r="B200" s="990" t="s">
        <v>622</v>
      </c>
      <c r="C200" s="990" t="s">
        <v>996</v>
      </c>
      <c r="D200" s="956" t="str">
        <f t="shared" si="3"/>
        <v>Fernwärme (inkl. Abwärme aus KVA,ARA), &lt;=75% nicht erneuerbar</v>
      </c>
      <c r="E200" s="430" t="s">
        <v>1235</v>
      </c>
      <c r="F200" s="960" t="s">
        <v>1619</v>
      </c>
      <c r="G200" s="431" t="s">
        <v>1496</v>
      </c>
    </row>
    <row r="201" spans="1:7" ht="26.1" customHeight="1">
      <c r="A201" s="429">
        <v>198</v>
      </c>
      <c r="B201" s="990" t="s">
        <v>622</v>
      </c>
      <c r="C201" s="990" t="s">
        <v>997</v>
      </c>
      <c r="D201" s="956" t="str">
        <f t="shared" si="3"/>
        <v>Fernwärme (inkl. Abwärme aus KVA,ARA), &lt;=25% nicht erneuerbar</v>
      </c>
      <c r="E201" s="430" t="s">
        <v>1234</v>
      </c>
      <c r="F201" s="960" t="s">
        <v>1620</v>
      </c>
      <c r="G201" s="431" t="s">
        <v>1497</v>
      </c>
    </row>
    <row r="202" spans="1:7" ht="26.1" customHeight="1">
      <c r="A202" s="429">
        <v>199</v>
      </c>
      <c r="B202" s="990" t="s">
        <v>622</v>
      </c>
      <c r="C202" s="990" t="s">
        <v>998</v>
      </c>
      <c r="D202" s="956" t="str">
        <f t="shared" si="3"/>
        <v>Ölfeuerung</v>
      </c>
      <c r="E202" s="430" t="s">
        <v>203</v>
      </c>
      <c r="F202" s="960" t="s">
        <v>1582</v>
      </c>
      <c r="G202" s="431" t="s">
        <v>1370</v>
      </c>
    </row>
    <row r="203" spans="1:7" ht="26.1" customHeight="1">
      <c r="A203" s="429">
        <v>200</v>
      </c>
      <c r="B203" s="990" t="s">
        <v>622</v>
      </c>
      <c r="C203" s="990" t="s">
        <v>999</v>
      </c>
      <c r="D203" s="956" t="str">
        <f t="shared" si="3"/>
        <v>Ölheizung kondensierend</v>
      </c>
      <c r="E203" s="430" t="s">
        <v>471</v>
      </c>
      <c r="F203" s="960" t="s">
        <v>1621</v>
      </c>
      <c r="G203" s="431" t="s">
        <v>1407</v>
      </c>
    </row>
    <row r="204" spans="1:7" ht="26.1" customHeight="1">
      <c r="A204" s="429">
        <v>201</v>
      </c>
      <c r="B204" s="990" t="s">
        <v>622</v>
      </c>
      <c r="C204" s="990" t="s">
        <v>1000</v>
      </c>
      <c r="D204" s="956" t="str">
        <f t="shared" si="3"/>
        <v>Ölfeuerung kondens. Warmwasser</v>
      </c>
      <c r="E204" s="430" t="s">
        <v>472</v>
      </c>
      <c r="F204" s="960" t="s">
        <v>1622</v>
      </c>
      <c r="G204" s="431" t="s">
        <v>1408</v>
      </c>
    </row>
    <row r="205" spans="1:7" ht="26.1" customHeight="1">
      <c r="A205" s="429">
        <v>202</v>
      </c>
      <c r="B205" s="990" t="s">
        <v>622</v>
      </c>
      <c r="C205" s="990" t="s">
        <v>1001</v>
      </c>
      <c r="D205" s="956" t="str">
        <f t="shared" si="3"/>
        <v>Gasfeuerung</v>
      </c>
      <c r="E205" s="430" t="s">
        <v>204</v>
      </c>
      <c r="F205" s="960" t="s">
        <v>1585</v>
      </c>
      <c r="G205" s="431" t="s">
        <v>1373</v>
      </c>
    </row>
    <row r="206" spans="1:7" ht="26.1" customHeight="1">
      <c r="A206" s="429">
        <v>203</v>
      </c>
      <c r="B206" s="990" t="s">
        <v>622</v>
      </c>
      <c r="C206" s="990" t="s">
        <v>1002</v>
      </c>
      <c r="D206" s="956" t="str">
        <f t="shared" si="3"/>
        <v>Gasheizung kondensierend</v>
      </c>
      <c r="E206" s="430" t="s">
        <v>473</v>
      </c>
      <c r="F206" s="960" t="s">
        <v>1623</v>
      </c>
      <c r="G206" s="431" t="s">
        <v>1409</v>
      </c>
    </row>
    <row r="207" spans="1:7" ht="26.1" customHeight="1">
      <c r="A207" s="429">
        <v>204</v>
      </c>
      <c r="B207" s="990" t="s">
        <v>622</v>
      </c>
      <c r="C207" s="990" t="s">
        <v>1003</v>
      </c>
      <c r="D207" s="956" t="str">
        <f t="shared" si="3"/>
        <v>Gas kondensierend Warmwasser</v>
      </c>
      <c r="E207" s="430" t="s">
        <v>474</v>
      </c>
      <c r="F207" s="960" t="s">
        <v>1624</v>
      </c>
      <c r="G207" s="431" t="s">
        <v>1410</v>
      </c>
    </row>
    <row r="208" spans="1:7" ht="26.1" customHeight="1">
      <c r="A208" s="429">
        <v>205</v>
      </c>
      <c r="B208" s="990" t="s">
        <v>622</v>
      </c>
      <c r="C208" s="990" t="s">
        <v>1004</v>
      </c>
      <c r="D208" s="956" t="str">
        <f t="shared" si="3"/>
        <v>Gas - Wassererwärmer</v>
      </c>
      <c r="E208" s="430" t="s">
        <v>205</v>
      </c>
      <c r="F208" s="960" t="s">
        <v>1588</v>
      </c>
      <c r="G208" s="431" t="s">
        <v>1376</v>
      </c>
    </row>
    <row r="209" spans="1:7" ht="26.1" customHeight="1">
      <c r="A209" s="429">
        <v>206</v>
      </c>
      <c r="B209" s="990" t="s">
        <v>622</v>
      </c>
      <c r="C209" s="990" t="s">
        <v>1005</v>
      </c>
      <c r="D209" s="956" t="str">
        <f t="shared" si="3"/>
        <v>Holzfeuerung</v>
      </c>
      <c r="E209" s="430" t="s">
        <v>318</v>
      </c>
      <c r="F209" s="960" t="s">
        <v>1589</v>
      </c>
      <c r="G209" s="431" t="s">
        <v>1411</v>
      </c>
    </row>
    <row r="210" spans="1:7" ht="26.1" customHeight="1">
      <c r="A210" s="429">
        <v>207</v>
      </c>
      <c r="B210" s="990" t="s">
        <v>622</v>
      </c>
      <c r="C210" s="990" t="s">
        <v>1006</v>
      </c>
      <c r="D210" s="956" t="str">
        <f t="shared" si="3"/>
        <v>Pelletfeuerung</v>
      </c>
      <c r="E210" s="430" t="s">
        <v>22</v>
      </c>
      <c r="F210" s="960" t="s">
        <v>1590</v>
      </c>
      <c r="G210" s="431" t="s">
        <v>1412</v>
      </c>
    </row>
    <row r="211" spans="1:7" ht="26.1" customHeight="1">
      <c r="A211" s="429">
        <v>208</v>
      </c>
      <c r="B211" s="990" t="s">
        <v>622</v>
      </c>
      <c r="C211" s="990" t="s">
        <v>1007</v>
      </c>
      <c r="D211" s="956" t="str">
        <f t="shared" si="3"/>
        <v>Fernwärme (&lt;=50% nicht erneuerbar)</v>
      </c>
      <c r="E211" s="430" t="s">
        <v>1237</v>
      </c>
      <c r="F211" s="960" t="s">
        <v>1625</v>
      </c>
      <c r="G211" s="431" t="s">
        <v>1498</v>
      </c>
    </row>
    <row r="212" spans="1:7" ht="26.1" customHeight="1">
      <c r="A212" s="429">
        <v>209</v>
      </c>
      <c r="B212" s="990" t="s">
        <v>622</v>
      </c>
      <c r="C212" s="990" t="s">
        <v>1008</v>
      </c>
      <c r="D212" s="956" t="str">
        <f t="shared" si="3"/>
        <v>Elektrospeicher-Zentralheizung</v>
      </c>
      <c r="E212" s="430" t="s">
        <v>186</v>
      </c>
      <c r="F212" s="960" t="s">
        <v>1592</v>
      </c>
      <c r="G212" s="431" t="s">
        <v>1379</v>
      </c>
    </row>
    <row r="213" spans="1:7" ht="26.1" customHeight="1">
      <c r="A213" s="429">
        <v>210</v>
      </c>
      <c r="B213" s="990" t="s">
        <v>622</v>
      </c>
      <c r="C213" s="990" t="s">
        <v>1009</v>
      </c>
      <c r="D213" s="956" t="str">
        <f t="shared" si="3"/>
        <v>Elektro direkt</v>
      </c>
      <c r="E213" s="430" t="s">
        <v>45</v>
      </c>
      <c r="F213" s="960" t="s">
        <v>1593</v>
      </c>
      <c r="G213" s="431" t="s">
        <v>1380</v>
      </c>
    </row>
    <row r="214" spans="1:7" ht="26.1" customHeight="1">
      <c r="A214" s="429">
        <v>211</v>
      </c>
      <c r="B214" s="990" t="s">
        <v>622</v>
      </c>
      <c r="C214" s="990" t="s">
        <v>1010</v>
      </c>
      <c r="D214" s="956" t="str">
        <f t="shared" si="3"/>
        <v>Elektro-Wassererwärmer</v>
      </c>
      <c r="E214" s="430" t="s">
        <v>145</v>
      </c>
      <c r="F214" s="960" t="s">
        <v>1594</v>
      </c>
      <c r="G214" s="431" t="s">
        <v>1381</v>
      </c>
    </row>
    <row r="215" spans="1:7" ht="26.1" customHeight="1">
      <c r="A215" s="429">
        <v>212</v>
      </c>
      <c r="B215" s="990" t="s">
        <v>622</v>
      </c>
      <c r="C215" s="990" t="s">
        <v>1011</v>
      </c>
      <c r="D215" s="956" t="str">
        <f t="shared" si="3"/>
        <v>WKK - thermischer+elektr. Anteil</v>
      </c>
      <c r="E215" s="430" t="s">
        <v>383</v>
      </c>
      <c r="F215" s="960" t="s">
        <v>1595</v>
      </c>
      <c r="G215" s="431" t="s">
        <v>1413</v>
      </c>
    </row>
    <row r="216" spans="1:7" ht="26.1" customHeight="1">
      <c r="A216" s="429">
        <v>213</v>
      </c>
      <c r="B216" s="990" t="s">
        <v>622</v>
      </c>
      <c r="C216" s="990" t="s">
        <v>1012</v>
      </c>
      <c r="D216" s="956" t="str">
        <f t="shared" si="3"/>
        <v>WKK Holz - therm.+elektr. Anteil</v>
      </c>
      <c r="E216" s="430" t="s">
        <v>459</v>
      </c>
      <c r="F216" s="960" t="s">
        <v>1596</v>
      </c>
      <c r="G216" s="431" t="s">
        <v>1414</v>
      </c>
    </row>
    <row r="217" spans="1:7" ht="26.1" customHeight="1">
      <c r="A217" s="429">
        <v>214</v>
      </c>
      <c r="B217" s="990" t="s">
        <v>622</v>
      </c>
      <c r="C217" s="990" t="s">
        <v>1013</v>
      </c>
      <c r="D217" s="956" t="str">
        <f t="shared" si="3"/>
        <v>Luft-Wärmepumpe, Heizung</v>
      </c>
      <c r="E217" s="430" t="s">
        <v>475</v>
      </c>
      <c r="F217" s="960" t="s">
        <v>1626</v>
      </c>
      <c r="G217" s="431" t="s">
        <v>1415</v>
      </c>
    </row>
    <row r="218" spans="1:7" ht="26.1" customHeight="1">
      <c r="A218" s="429">
        <v>215</v>
      </c>
      <c r="B218" s="990" t="s">
        <v>622</v>
      </c>
      <c r="C218" s="990" t="s">
        <v>1014</v>
      </c>
      <c r="D218" s="956" t="str">
        <f t="shared" si="3"/>
        <v>Luft-Wärmepumpe, Warmwasser</v>
      </c>
      <c r="E218" s="430" t="s">
        <v>476</v>
      </c>
      <c r="F218" s="960" t="s">
        <v>1627</v>
      </c>
      <c r="G218" s="431" t="s">
        <v>1416</v>
      </c>
    </row>
    <row r="219" spans="1:7" ht="26.1" customHeight="1">
      <c r="A219" s="429">
        <v>216</v>
      </c>
      <c r="B219" s="990" t="s">
        <v>622</v>
      </c>
      <c r="C219" s="990" t="s">
        <v>1015</v>
      </c>
      <c r="D219" s="956" t="str">
        <f t="shared" si="3"/>
        <v>Erdsonden-WP, Heizung</v>
      </c>
      <c r="E219" s="430" t="s">
        <v>148</v>
      </c>
      <c r="F219" s="960" t="s">
        <v>1628</v>
      </c>
      <c r="G219" s="431" t="s">
        <v>1417</v>
      </c>
    </row>
    <row r="220" spans="1:7" ht="26.1" customHeight="1">
      <c r="A220" s="429">
        <v>217</v>
      </c>
      <c r="B220" s="990" t="s">
        <v>622</v>
      </c>
      <c r="C220" s="990" t="s">
        <v>1016</v>
      </c>
      <c r="D220" s="956" t="str">
        <f t="shared" si="3"/>
        <v>Erdsonden-WP, Warmwasser</v>
      </c>
      <c r="E220" s="430" t="s">
        <v>149</v>
      </c>
      <c r="F220" s="960" t="s">
        <v>1629</v>
      </c>
      <c r="G220" s="431" t="s">
        <v>1418</v>
      </c>
    </row>
    <row r="221" spans="1:7" ht="26.1" customHeight="1">
      <c r="A221" s="429">
        <v>218</v>
      </c>
      <c r="B221" s="990" t="s">
        <v>622</v>
      </c>
      <c r="C221" s="990" t="s">
        <v>1017</v>
      </c>
      <c r="D221" s="956" t="str">
        <f t="shared" si="3"/>
        <v>Abwasser-WP (direkt), Heizung</v>
      </c>
      <c r="E221" s="430" t="s">
        <v>150</v>
      </c>
      <c r="F221" s="960" t="s">
        <v>1630</v>
      </c>
      <c r="G221" s="431" t="s">
        <v>1419</v>
      </c>
    </row>
    <row r="222" spans="1:7" ht="26.1" customHeight="1">
      <c r="A222" s="429">
        <v>219</v>
      </c>
      <c r="B222" s="990" t="s">
        <v>622</v>
      </c>
      <c r="C222" s="990" t="s">
        <v>1018</v>
      </c>
      <c r="D222" s="956" t="str">
        <f t="shared" si="3"/>
        <v>Abwasser-WP direkt, Warmwasser</v>
      </c>
      <c r="E222" s="430" t="s">
        <v>151</v>
      </c>
      <c r="F222" s="960" t="s">
        <v>1631</v>
      </c>
      <c r="G222" s="431" t="s">
        <v>1420</v>
      </c>
    </row>
    <row r="223" spans="1:7" ht="26.1" customHeight="1">
      <c r="A223" s="429">
        <v>220</v>
      </c>
      <c r="B223" s="990" t="s">
        <v>622</v>
      </c>
      <c r="C223" s="990" t="s">
        <v>1019</v>
      </c>
      <c r="D223" s="956" t="str">
        <f t="shared" si="3"/>
        <v>Wasser-Wärmepumpe, Heizung</v>
      </c>
      <c r="E223" s="430" t="s">
        <v>146</v>
      </c>
      <c r="F223" s="960" t="s">
        <v>1632</v>
      </c>
      <c r="G223" s="431" t="s">
        <v>1421</v>
      </c>
    </row>
    <row r="224" spans="1:7" ht="26.1" customHeight="1">
      <c r="A224" s="429">
        <v>221</v>
      </c>
      <c r="B224" s="990" t="s">
        <v>622</v>
      </c>
      <c r="C224" s="990" t="s">
        <v>1020</v>
      </c>
      <c r="D224" s="956" t="str">
        <f t="shared" si="3"/>
        <v>Wasser-WP, Warmwasser</v>
      </c>
      <c r="E224" s="430" t="s">
        <v>152</v>
      </c>
      <c r="F224" s="960" t="s">
        <v>1633</v>
      </c>
      <c r="G224" s="431" t="s">
        <v>1422</v>
      </c>
    </row>
    <row r="225" spans="1:7" ht="26.1" customHeight="1">
      <c r="A225" s="429">
        <v>222</v>
      </c>
      <c r="B225" s="990" t="s">
        <v>622</v>
      </c>
      <c r="C225" s="990" t="s">
        <v>1021</v>
      </c>
      <c r="D225" s="956" t="str">
        <f t="shared" si="3"/>
        <v>Grundwasser-WP direkt, Heizung</v>
      </c>
      <c r="E225" s="430" t="s">
        <v>520</v>
      </c>
      <c r="F225" s="960" t="s">
        <v>1634</v>
      </c>
      <c r="G225" s="431" t="s">
        <v>1423</v>
      </c>
    </row>
    <row r="226" spans="1:7" ht="26.1" customHeight="1">
      <c r="A226" s="429">
        <v>223</v>
      </c>
      <c r="B226" s="990" t="s">
        <v>622</v>
      </c>
      <c r="C226" s="990" t="s">
        <v>1022</v>
      </c>
      <c r="D226" s="956" t="str">
        <f t="shared" si="3"/>
        <v>Grundwasser-WP dir. Warmwasser</v>
      </c>
      <c r="E226" s="430" t="s">
        <v>521</v>
      </c>
      <c r="F226" s="960" t="s">
        <v>1635</v>
      </c>
      <c r="G226" s="431" t="s">
        <v>1424</v>
      </c>
    </row>
    <row r="227" spans="1:7" ht="26.1" customHeight="1">
      <c r="A227" s="429">
        <v>224</v>
      </c>
      <c r="B227" s="990" t="s">
        <v>622</v>
      </c>
      <c r="C227" s="990" t="s">
        <v>1023</v>
      </c>
      <c r="D227" s="956" t="str">
        <f t="shared" si="3"/>
        <v>Grundwasser-WP, indir, Heizung</v>
      </c>
      <c r="E227" s="430" t="s">
        <v>261</v>
      </c>
      <c r="F227" s="960" t="s">
        <v>1636</v>
      </c>
      <c r="G227" s="431" t="s">
        <v>1425</v>
      </c>
    </row>
    <row r="228" spans="1:7" ht="26.1" customHeight="1">
      <c r="A228" s="429">
        <v>225</v>
      </c>
      <c r="B228" s="990" t="s">
        <v>622</v>
      </c>
      <c r="C228" s="990" t="s">
        <v>1024</v>
      </c>
      <c r="D228" s="956" t="str">
        <f t="shared" si="3"/>
        <v>Grundwasser-WP, indir, Warmw.</v>
      </c>
      <c r="E228" s="430" t="s">
        <v>437</v>
      </c>
      <c r="F228" s="960" t="s">
        <v>1637</v>
      </c>
      <c r="G228" s="431" t="s">
        <v>1426</v>
      </c>
    </row>
    <row r="229" spans="1:7" ht="26.1" customHeight="1">
      <c r="A229" s="429">
        <v>226</v>
      </c>
      <c r="B229" s="990" t="s">
        <v>622</v>
      </c>
      <c r="C229" s="990" t="s">
        <v>1025</v>
      </c>
      <c r="D229" s="956" t="str">
        <f t="shared" si="3"/>
        <v>Erdregister-WP, Heizung</v>
      </c>
      <c r="E229" s="430" t="s">
        <v>259</v>
      </c>
      <c r="F229" s="960" t="s">
        <v>1638</v>
      </c>
      <c r="G229" s="431" t="s">
        <v>1427</v>
      </c>
    </row>
    <row r="230" spans="1:7" ht="25.9" customHeight="1">
      <c r="A230" s="429">
        <v>227</v>
      </c>
      <c r="B230" s="990" t="s">
        <v>622</v>
      </c>
      <c r="C230" s="990" t="s">
        <v>1026</v>
      </c>
      <c r="D230" s="956" t="str">
        <f t="shared" si="3"/>
        <v>Erdregister-WP, Warmwasser</v>
      </c>
      <c r="E230" s="430" t="s">
        <v>260</v>
      </c>
      <c r="F230" s="960" t="s">
        <v>1639</v>
      </c>
      <c r="G230" s="431" t="s">
        <v>1428</v>
      </c>
    </row>
    <row r="231" spans="1:7" ht="25.9" customHeight="1">
      <c r="A231" s="429">
        <v>228</v>
      </c>
      <c r="B231" s="990" t="s">
        <v>622</v>
      </c>
      <c r="C231" s="990" t="s">
        <v>1027</v>
      </c>
      <c r="D231" s="956" t="str">
        <f t="shared" si="3"/>
        <v>Solarenergie thermisch, Heizung</v>
      </c>
      <c r="E231" s="430" t="s">
        <v>322</v>
      </c>
      <c r="F231" s="960" t="s">
        <v>1640</v>
      </c>
      <c r="G231" s="431" t="s">
        <v>1429</v>
      </c>
    </row>
    <row r="232" spans="1:7" ht="25.9" customHeight="1">
      <c r="A232" s="429">
        <v>229</v>
      </c>
      <c r="B232" s="990" t="s">
        <v>622</v>
      </c>
      <c r="C232" s="990" t="s">
        <v>1028</v>
      </c>
      <c r="D232" s="956" t="str">
        <f t="shared" si="3"/>
        <v>Solarenergie therm. Warmwasser</v>
      </c>
      <c r="E232" s="430" t="s">
        <v>522</v>
      </c>
      <c r="F232" s="960" t="s">
        <v>1641</v>
      </c>
      <c r="G232" s="431" t="s">
        <v>1430</v>
      </c>
    </row>
    <row r="233" spans="1:7" ht="25.9" customHeight="1">
      <c r="A233" s="429">
        <v>230</v>
      </c>
      <c r="B233" s="990" t="s">
        <v>622</v>
      </c>
      <c r="C233" s="990" t="s">
        <v>1029</v>
      </c>
      <c r="D233" s="956" t="str">
        <f t="shared" si="3"/>
        <v>Solarenergie Heizung + WW</v>
      </c>
      <c r="E233" s="430" t="s">
        <v>523</v>
      </c>
      <c r="F233" s="960" t="s">
        <v>1611</v>
      </c>
      <c r="G233" s="431" t="s">
        <v>1431</v>
      </c>
    </row>
    <row r="234" spans="1:7" ht="25.9" customHeight="1">
      <c r="A234" s="429">
        <v>231</v>
      </c>
      <c r="B234" s="990" t="s">
        <v>622</v>
      </c>
      <c r="C234" s="990" t="s">
        <v>1030</v>
      </c>
      <c r="D234" s="956" t="str">
        <f t="shared" si="3"/>
        <v>Photovoltaik</v>
      </c>
      <c r="E234" s="430" t="s">
        <v>319</v>
      </c>
      <c r="F234" s="960" t="s">
        <v>1612</v>
      </c>
      <c r="G234" s="431" t="s">
        <v>1397</v>
      </c>
    </row>
    <row r="235" spans="1:7" ht="25.9" customHeight="1">
      <c r="A235" s="429">
        <v>232</v>
      </c>
      <c r="B235" s="990" t="s">
        <v>622</v>
      </c>
      <c r="C235" s="990" t="s">
        <v>1031</v>
      </c>
      <c r="D235" s="956" t="str">
        <f t="shared" si="3"/>
        <v>Andere</v>
      </c>
      <c r="E235" s="430" t="s">
        <v>320</v>
      </c>
      <c r="F235" s="960" t="s">
        <v>1613</v>
      </c>
      <c r="G235" s="431" t="s">
        <v>1398</v>
      </c>
    </row>
    <row r="236" spans="1:7" ht="25.9" customHeight="1">
      <c r="A236" s="429">
        <v>233</v>
      </c>
      <c r="B236" s="990" t="s">
        <v>622</v>
      </c>
      <c r="C236" s="990" t="s">
        <v>1032</v>
      </c>
      <c r="D236" s="956" t="str">
        <f t="shared" si="3"/>
        <v>Übertrag</v>
      </c>
      <c r="E236" s="430" t="s">
        <v>685</v>
      </c>
      <c r="F236" s="960" t="s">
        <v>1614</v>
      </c>
      <c r="G236" s="431" t="s">
        <v>1399</v>
      </c>
    </row>
    <row r="237" spans="1:7" ht="25.9" customHeight="1">
      <c r="A237" s="429">
        <v>234</v>
      </c>
      <c r="B237" s="990" t="s">
        <v>622</v>
      </c>
      <c r="C237" s="990" t="s">
        <v>1033</v>
      </c>
      <c r="D237" s="956" t="str">
        <f t="shared" si="3"/>
        <v>Ab- / Zuluft-WP + WRG</v>
      </c>
      <c r="E237" s="430" t="s">
        <v>374</v>
      </c>
      <c r="F237" s="960" t="s">
        <v>585</v>
      </c>
      <c r="G237" s="431" t="s">
        <v>1400</v>
      </c>
    </row>
    <row r="238" spans="1:7" ht="25.9" customHeight="1">
      <c r="A238" s="429">
        <v>235</v>
      </c>
      <c r="B238" s="990" t="s">
        <v>622</v>
      </c>
      <c r="C238" s="990" t="s">
        <v>1034</v>
      </c>
      <c r="D238" s="956" t="str">
        <f t="shared" si="3"/>
        <v>Ab- / Zuluft-WP ohne WRG</v>
      </c>
      <c r="E238" s="430" t="s">
        <v>375</v>
      </c>
      <c r="F238" s="960" t="s">
        <v>586</v>
      </c>
      <c r="G238" s="431" t="s">
        <v>1401</v>
      </c>
    </row>
    <row r="239" spans="1:7" ht="25.9" customHeight="1">
      <c r="A239" s="429">
        <v>236</v>
      </c>
      <c r="B239" s="990" t="s">
        <v>622</v>
      </c>
      <c r="C239" s="990" t="s">
        <v>1035</v>
      </c>
      <c r="D239" s="956" t="str">
        <f t="shared" si="3"/>
        <v>Abluft-Wärmepumpe ohne ZUL</v>
      </c>
      <c r="E239" s="430" t="s">
        <v>39</v>
      </c>
      <c r="F239" s="960" t="s">
        <v>587</v>
      </c>
      <c r="G239" s="431" t="s">
        <v>1432</v>
      </c>
    </row>
    <row r="240" spans="1:7" ht="25.9" customHeight="1">
      <c r="A240" s="429">
        <v>237</v>
      </c>
      <c r="B240" s="990" t="s">
        <v>622</v>
      </c>
      <c r="C240" s="990" t="s">
        <v>1036</v>
      </c>
      <c r="D240" s="956" t="str">
        <f t="shared" si="3"/>
        <v>Kompakt-WP + WRG</v>
      </c>
      <c r="E240" s="430" t="s">
        <v>376</v>
      </c>
      <c r="F240" s="960" t="s">
        <v>588</v>
      </c>
      <c r="G240" s="431" t="s">
        <v>1433</v>
      </c>
    </row>
    <row r="241" spans="1:7" ht="25.9" customHeight="1">
      <c r="A241" s="429">
        <v>238</v>
      </c>
      <c r="B241" s="990" t="s">
        <v>622</v>
      </c>
      <c r="C241" s="990" t="s">
        <v>1037</v>
      </c>
      <c r="D241" s="956" t="str">
        <f t="shared" si="3"/>
        <v>Kompakt-WP ohne WRG, Heizteil</v>
      </c>
      <c r="E241" s="430" t="s">
        <v>377</v>
      </c>
      <c r="F241" s="960" t="s">
        <v>589</v>
      </c>
      <c r="G241" s="431" t="s">
        <v>1434</v>
      </c>
    </row>
    <row r="242" spans="1:7" ht="25.9" customHeight="1">
      <c r="A242" s="429">
        <v>239</v>
      </c>
      <c r="B242" s="990" t="s">
        <v>622</v>
      </c>
      <c r="C242" s="990" t="s">
        <v>1038</v>
      </c>
      <c r="D242" s="956" t="str">
        <f t="shared" si="3"/>
        <v>Kompakt-WP ohne WRG, WW</v>
      </c>
      <c r="E242" s="430" t="s">
        <v>357</v>
      </c>
      <c r="F242" s="960" t="s">
        <v>1642</v>
      </c>
      <c r="G242" s="431" t="s">
        <v>1435</v>
      </c>
    </row>
    <row r="243" spans="1:7" ht="26.1" customHeight="1">
      <c r="A243" s="429">
        <v>240</v>
      </c>
      <c r="B243" s="990" t="s">
        <v>622</v>
      </c>
      <c r="C243" s="990" t="s">
        <v>1039</v>
      </c>
      <c r="D243" s="956" t="str">
        <f t="shared" si="3"/>
        <v>Biomasse, eingebunden</v>
      </c>
      <c r="E243" s="430" t="s">
        <v>497</v>
      </c>
      <c r="F243" s="960" t="s">
        <v>157</v>
      </c>
      <c r="G243" s="431" t="s">
        <v>1436</v>
      </c>
    </row>
    <row r="244" spans="1:7" ht="25.9" customHeight="1">
      <c r="A244" s="429">
        <v>241</v>
      </c>
      <c r="B244" s="990" t="s">
        <v>622</v>
      </c>
      <c r="C244" s="990" t="s">
        <v>1040</v>
      </c>
      <c r="D244" s="956" t="str">
        <f t="shared" si="3"/>
        <v>Fernwärme (&gt;75% nicht erneuerbar)</v>
      </c>
      <c r="E244" s="430" t="s">
        <v>1231</v>
      </c>
      <c r="F244" s="960" t="s">
        <v>1643</v>
      </c>
      <c r="G244" s="431" t="s">
        <v>1499</v>
      </c>
    </row>
    <row r="245" spans="1:7" ht="25.9" customHeight="1">
      <c r="A245" s="429">
        <v>242</v>
      </c>
      <c r="B245" s="990" t="s">
        <v>622</v>
      </c>
      <c r="C245" s="990" t="s">
        <v>1041</v>
      </c>
      <c r="D245" s="956" t="str">
        <f t="shared" si="3"/>
        <v>Fernwärme (&lt;=75% nicht erneuerbar)</v>
      </c>
      <c r="E245" s="430" t="s">
        <v>1233</v>
      </c>
      <c r="F245" s="960" t="s">
        <v>1644</v>
      </c>
      <c r="G245" s="431" t="s">
        <v>1500</v>
      </c>
    </row>
    <row r="246" spans="1:7" ht="25.9" customHeight="1">
      <c r="A246" s="429">
        <v>243</v>
      </c>
      <c r="B246" s="990" t="s">
        <v>622</v>
      </c>
      <c r="C246" s="990" t="s">
        <v>1042</v>
      </c>
      <c r="D246" s="956" t="str">
        <f t="shared" si="3"/>
        <v>Fernwärme (&lt;=25% nicht erneuerbar)</v>
      </c>
      <c r="E246" s="430" t="s">
        <v>1232</v>
      </c>
      <c r="F246" s="960" t="s">
        <v>1645</v>
      </c>
      <c r="G246" s="431" t="s">
        <v>1501</v>
      </c>
    </row>
    <row r="247" spans="1:7" ht="25.9" customHeight="1">
      <c r="A247" s="429">
        <v>244</v>
      </c>
      <c r="B247" s="990" t="s">
        <v>622</v>
      </c>
      <c r="C247" s="990" t="s">
        <v>1241</v>
      </c>
      <c r="D247" s="956" t="str">
        <f t="shared" si="3"/>
        <v>Strom für Wärmepumpen ist doppelt zu gewichten</v>
      </c>
      <c r="E247" s="430" t="s">
        <v>1242</v>
      </c>
      <c r="F247" s="960" t="s">
        <v>1698</v>
      </c>
      <c r="G247" s="431" t="s">
        <v>1502</v>
      </c>
    </row>
    <row r="248" spans="1:7" ht="25.9" customHeight="1">
      <c r="A248" s="429">
        <v>245</v>
      </c>
      <c r="D248" s="956">
        <f t="shared" si="3"/>
        <v>0</v>
      </c>
    </row>
    <row r="249" spans="1:7" ht="25.9" customHeight="1">
      <c r="A249" s="429">
        <v>246</v>
      </c>
      <c r="B249" s="990" t="s">
        <v>622</v>
      </c>
      <c r="C249" s="990" t="s">
        <v>1044</v>
      </c>
      <c r="D249" s="956" t="str">
        <f t="shared" si="3"/>
        <v>Nutzungsgrad elektrisch (Berechnung beilegen)</v>
      </c>
      <c r="E249" s="430" t="s">
        <v>750</v>
      </c>
      <c r="F249" s="960" t="s">
        <v>1646</v>
      </c>
      <c r="G249" s="431" t="s">
        <v>1437</v>
      </c>
    </row>
    <row r="250" spans="1:7" ht="25.9" customHeight="1">
      <c r="A250" s="429">
        <v>247</v>
      </c>
      <c r="B250" s="990" t="s">
        <v>622</v>
      </c>
      <c r="C250" s="990" t="s">
        <v>1045</v>
      </c>
      <c r="D250" s="956" t="str">
        <f t="shared" si="3"/>
        <v>Absorberfläche [m2]</v>
      </c>
      <c r="E250" s="430" t="s">
        <v>751</v>
      </c>
      <c r="F250" s="960" t="s">
        <v>1647</v>
      </c>
      <c r="G250" s="431" t="s">
        <v>1438</v>
      </c>
    </row>
    <row r="251" spans="1:7" ht="25.9" customHeight="1">
      <c r="A251" s="429">
        <v>248</v>
      </c>
      <c r="B251" s="990" t="s">
        <v>622</v>
      </c>
      <c r="C251" s="990" t="s">
        <v>1046</v>
      </c>
      <c r="D251" s="956" t="str">
        <f t="shared" si="3"/>
        <v>Nennleistung [kWp]</v>
      </c>
      <c r="E251" s="430" t="s">
        <v>753</v>
      </c>
      <c r="F251" s="960" t="s">
        <v>1648</v>
      </c>
      <c r="G251" s="431" t="s">
        <v>1439</v>
      </c>
    </row>
    <row r="252" spans="1:7" ht="25.9" customHeight="1">
      <c r="A252" s="429">
        <v>249</v>
      </c>
      <c r="B252" s="990" t="s">
        <v>622</v>
      </c>
      <c r="C252" s="990" t="s">
        <v>1047</v>
      </c>
      <c r="D252" s="956" t="str">
        <f t="shared" si="3"/>
        <v>Netto-Ertrag pro m2 Absorberfläche  [kWh/m2]</v>
      </c>
      <c r="E252" s="430" t="s">
        <v>752</v>
      </c>
      <c r="F252" s="960" t="s">
        <v>1649</v>
      </c>
      <c r="G252" s="431" t="s">
        <v>1440</v>
      </c>
    </row>
    <row r="253" spans="1:7" ht="25.9" customHeight="1">
      <c r="A253" s="429">
        <v>250</v>
      </c>
      <c r="B253" s="990" t="s">
        <v>622</v>
      </c>
      <c r="C253" s="990" t="s">
        <v>1048</v>
      </c>
      <c r="D253" s="956" t="str">
        <f t="shared" si="3"/>
        <v>Netto-Jahresertrag [kWh/kWp] (Berechnung beilegen)</v>
      </c>
      <c r="E253" s="430" t="s">
        <v>1161</v>
      </c>
      <c r="F253" s="960" t="s">
        <v>1650</v>
      </c>
      <c r="G253" s="431" t="s">
        <v>1441</v>
      </c>
    </row>
    <row r="254" spans="1:7" ht="25.9" customHeight="1">
      <c r="A254" s="429">
        <v>251</v>
      </c>
      <c r="B254" s="990" t="s">
        <v>622</v>
      </c>
      <c r="C254" s="990" t="s">
        <v>936</v>
      </c>
      <c r="D254" s="956" t="str">
        <f t="shared" si="3"/>
        <v>AC-Motor</v>
      </c>
      <c r="E254" s="430" t="s">
        <v>643</v>
      </c>
      <c r="F254" s="960" t="s">
        <v>1569</v>
      </c>
      <c r="G254" s="431" t="s">
        <v>1323</v>
      </c>
    </row>
    <row r="255" spans="1:7" ht="25.9" customHeight="1">
      <c r="A255" s="429">
        <v>252</v>
      </c>
      <c r="B255" s="990" t="s">
        <v>622</v>
      </c>
      <c r="C255" s="990" t="s">
        <v>937</v>
      </c>
      <c r="D255" s="956" t="str">
        <f t="shared" si="3"/>
        <v>DC/EC-Motor</v>
      </c>
      <c r="E255" s="430" t="s">
        <v>644</v>
      </c>
      <c r="F255" s="960" t="s">
        <v>1570</v>
      </c>
      <c r="G255" s="431" t="s">
        <v>1324</v>
      </c>
    </row>
    <row r="256" spans="1:7" ht="25.9" customHeight="1">
      <c r="A256" s="429">
        <v>253</v>
      </c>
      <c r="B256" s="990" t="s">
        <v>706</v>
      </c>
      <c r="C256" s="990" t="s">
        <v>1043</v>
      </c>
      <c r="D256" s="956" t="str">
        <f t="shared" si="3"/>
        <v>Wärmeerzeugung:</v>
      </c>
      <c r="E256" s="430" t="s">
        <v>161</v>
      </c>
      <c r="F256" s="960" t="s">
        <v>1651</v>
      </c>
      <c r="G256" s="431" t="s">
        <v>1442</v>
      </c>
    </row>
    <row r="257" spans="1:7" ht="25.9" customHeight="1">
      <c r="A257" s="429">
        <v>254</v>
      </c>
      <c r="B257" s="990" t="s">
        <v>706</v>
      </c>
      <c r="C257" s="990" t="s">
        <v>1049</v>
      </c>
      <c r="D257" s="956" t="str">
        <f t="shared" si="3"/>
        <v>Nutzungsgrad / JAZ</v>
      </c>
      <c r="E257" s="430" t="s">
        <v>778</v>
      </c>
      <c r="F257" s="960" t="s">
        <v>1652</v>
      </c>
      <c r="G257" s="431" t="s">
        <v>3191</v>
      </c>
    </row>
    <row r="258" spans="1:7" ht="25.9" customHeight="1">
      <c r="A258" s="429">
        <v>255</v>
      </c>
      <c r="B258" s="990" t="s">
        <v>706</v>
      </c>
      <c r="C258" s="990" t="s">
        <v>1050</v>
      </c>
      <c r="D258" s="956" t="str">
        <f t="shared" si="3"/>
        <v>Deckungsgrad [%]</v>
      </c>
      <c r="E258" s="430" t="s">
        <v>315</v>
      </c>
      <c r="F258" s="960" t="s">
        <v>1653</v>
      </c>
      <c r="G258" s="431" t="s">
        <v>1443</v>
      </c>
    </row>
    <row r="259" spans="1:7" ht="25.9" customHeight="1">
      <c r="A259" s="429">
        <v>256</v>
      </c>
      <c r="B259" s="990" t="s">
        <v>706</v>
      </c>
      <c r="C259" s="990" t="s">
        <v>850</v>
      </c>
      <c r="D259" s="956" t="str">
        <f t="shared" si="3"/>
        <v>Wärmeerzeugung A</v>
      </c>
      <c r="E259" s="430" t="s">
        <v>324</v>
      </c>
      <c r="F259" s="960" t="s">
        <v>1654</v>
      </c>
      <c r="G259" s="431" t="s">
        <v>1444</v>
      </c>
    </row>
    <row r="260" spans="1:7" ht="25.9" customHeight="1">
      <c r="A260" s="429">
        <v>257</v>
      </c>
      <c r="B260" s="990" t="s">
        <v>706</v>
      </c>
      <c r="C260" s="990" t="s">
        <v>1052</v>
      </c>
      <c r="D260" s="956" t="str">
        <f t="shared" si="3"/>
        <v>Wärmeerzeugung B</v>
      </c>
      <c r="E260" s="430" t="s">
        <v>327</v>
      </c>
      <c r="F260" s="960" t="s">
        <v>1655</v>
      </c>
      <c r="G260" s="431" t="s">
        <v>1445</v>
      </c>
    </row>
    <row r="261" spans="1:7" ht="25.9" customHeight="1">
      <c r="A261" s="429">
        <v>258</v>
      </c>
      <c r="B261" s="990" t="s">
        <v>706</v>
      </c>
      <c r="C261" s="990" t="s">
        <v>857</v>
      </c>
      <c r="D261" s="956" t="str">
        <f t="shared" ref="D261:D324" si="4">INDEX($E$4:$G$503,$A261,$A$1)</f>
        <v>Wärmeerzeugung C</v>
      </c>
      <c r="E261" s="430" t="s">
        <v>326</v>
      </c>
      <c r="F261" s="960" t="s">
        <v>1656</v>
      </c>
      <c r="G261" s="431" t="s">
        <v>1446</v>
      </c>
    </row>
    <row r="262" spans="1:7" ht="25.9" customHeight="1">
      <c r="A262" s="429">
        <v>259</v>
      </c>
      <c r="B262" s="990" t="s">
        <v>706</v>
      </c>
      <c r="C262" s="990" t="s">
        <v>488</v>
      </c>
      <c r="D262" s="956" t="str">
        <f t="shared" si="4"/>
        <v>Wärmeerzeugung D</v>
      </c>
      <c r="E262" s="430" t="s">
        <v>325</v>
      </c>
      <c r="F262" s="960" t="s">
        <v>1657</v>
      </c>
      <c r="G262" s="431" t="s">
        <v>1447</v>
      </c>
    </row>
    <row r="263" spans="1:7" ht="25.9" customHeight="1">
      <c r="A263" s="429">
        <v>260</v>
      </c>
      <c r="B263" s="990" t="s">
        <v>706</v>
      </c>
      <c r="C263" s="990" t="s">
        <v>851</v>
      </c>
      <c r="D263" s="956" t="str">
        <f t="shared" si="4"/>
        <v>Eingabe</v>
      </c>
      <c r="E263" s="430" t="s">
        <v>739</v>
      </c>
      <c r="F263" s="960" t="s">
        <v>1658</v>
      </c>
      <c r="G263" s="431" t="s">
        <v>1448</v>
      </c>
    </row>
    <row r="264" spans="1:7" ht="25.9" customHeight="1">
      <c r="A264" s="429">
        <v>261</v>
      </c>
      <c r="B264" s="990" t="s">
        <v>706</v>
      </c>
      <c r="C264" s="990" t="s">
        <v>1053</v>
      </c>
      <c r="D264" s="956" t="str">
        <f t="shared" si="4"/>
        <v>Rechenwert</v>
      </c>
      <c r="E264" s="430" t="s">
        <v>740</v>
      </c>
      <c r="F264" s="960" t="s">
        <v>1659</v>
      </c>
      <c r="G264" s="431" t="s">
        <v>1449</v>
      </c>
    </row>
    <row r="265" spans="1:7" ht="25.9" customHeight="1">
      <c r="A265" s="429">
        <v>262</v>
      </c>
      <c r="B265" s="990" t="s">
        <v>706</v>
      </c>
      <c r="C265" s="990" t="s">
        <v>1051</v>
      </c>
      <c r="D265" s="956" t="str">
        <f t="shared" si="4"/>
        <v>Heizung</v>
      </c>
      <c r="E265" s="430" t="s">
        <v>243</v>
      </c>
      <c r="F265" s="960" t="s">
        <v>1660</v>
      </c>
      <c r="G265" s="431" t="s">
        <v>1450</v>
      </c>
    </row>
    <row r="266" spans="1:7" ht="25.9" customHeight="1">
      <c r="A266" s="429">
        <v>263</v>
      </c>
      <c r="B266" s="990" t="s">
        <v>706</v>
      </c>
      <c r="C266" s="990" t="s">
        <v>710</v>
      </c>
      <c r="D266" s="956" t="str">
        <f t="shared" si="4"/>
        <v>Warmwasser</v>
      </c>
      <c r="E266" s="430" t="s">
        <v>244</v>
      </c>
      <c r="F266" s="960" t="s">
        <v>1661</v>
      </c>
      <c r="G266" s="431" t="s">
        <v>1451</v>
      </c>
    </row>
    <row r="267" spans="1:7" ht="25.9" customHeight="1">
      <c r="A267" s="429">
        <v>264</v>
      </c>
      <c r="B267" s="990" t="s">
        <v>706</v>
      </c>
      <c r="C267" s="990" t="s">
        <v>550</v>
      </c>
      <c r="D267" s="956" t="str">
        <f t="shared" si="4"/>
        <v>Übertrag weitere Wärmeerzeugungen</v>
      </c>
      <c r="E267" s="430" t="s">
        <v>701</v>
      </c>
      <c r="F267" s="960" t="s">
        <v>1662</v>
      </c>
      <c r="G267" s="431" t="s">
        <v>1452</v>
      </c>
    </row>
    <row r="268" spans="1:7" ht="25.9" customHeight="1">
      <c r="A268" s="429">
        <v>265</v>
      </c>
      <c r="B268" s="990" t="s">
        <v>706</v>
      </c>
      <c r="C268" s="990" t="s">
        <v>496</v>
      </c>
      <c r="D268" s="956" t="str">
        <f t="shared" si="4"/>
        <v>Zugeführte Elektrizität (ungewichtet)</v>
      </c>
      <c r="E268" s="430" t="s">
        <v>781</v>
      </c>
      <c r="F268" s="960" t="s">
        <v>1663</v>
      </c>
      <c r="G268" s="431" t="s">
        <v>1453</v>
      </c>
    </row>
    <row r="269" spans="1:7" ht="25.9" customHeight="1">
      <c r="A269" s="429">
        <v>266</v>
      </c>
      <c r="B269" s="990" t="s">
        <v>706</v>
      </c>
      <c r="C269" s="990" t="s">
        <v>870</v>
      </c>
      <c r="D269" s="956" t="str">
        <f t="shared" si="4"/>
        <v>Zugeführte Energie (ohne Strom, gewichtet)</v>
      </c>
      <c r="E269" s="430" t="s">
        <v>782</v>
      </c>
      <c r="F269" s="960" t="s">
        <v>1664</v>
      </c>
      <c r="G269" s="431" t="s">
        <v>1454</v>
      </c>
    </row>
    <row r="270" spans="1:7" ht="25.9" customHeight="1">
      <c r="A270" s="429">
        <v>267</v>
      </c>
      <c r="B270" s="990" t="s">
        <v>706</v>
      </c>
      <c r="C270" s="990" t="s">
        <v>1054</v>
      </c>
      <c r="D270" s="956" t="str">
        <f t="shared" si="4"/>
        <v>Deckungsgrad total:</v>
      </c>
      <c r="E270" s="430" t="s">
        <v>745</v>
      </c>
      <c r="F270" s="960" t="s">
        <v>1665</v>
      </c>
      <c r="G270" s="431" t="s">
        <v>1455</v>
      </c>
    </row>
    <row r="271" spans="1:7" ht="25.9" customHeight="1">
      <c r="A271" s="429">
        <v>268</v>
      </c>
      <c r="B271" s="990" t="s">
        <v>706</v>
      </c>
      <c r="C271" s="990" t="s">
        <v>872</v>
      </c>
      <c r="D271" s="956" t="str">
        <f t="shared" si="4"/>
        <v>Gebäudedaten, Lüftung und Grenzwert:</v>
      </c>
      <c r="E271" s="430" t="s">
        <v>200</v>
      </c>
      <c r="F271" s="960" t="s">
        <v>1666</v>
      </c>
      <c r="G271" s="431" t="s">
        <v>1456</v>
      </c>
    </row>
    <row r="272" spans="1:7" ht="25.9" customHeight="1">
      <c r="A272" s="429">
        <v>269</v>
      </c>
      <c r="B272" s="990" t="s">
        <v>706</v>
      </c>
      <c r="C272" s="990" t="s">
        <v>1055</v>
      </c>
      <c r="D272" s="956" t="str">
        <f t="shared" si="4"/>
        <v xml:space="preserve">Total/Mittel </v>
      </c>
      <c r="E272" s="430" t="s">
        <v>648</v>
      </c>
      <c r="F272" s="960" t="s">
        <v>2517</v>
      </c>
      <c r="G272" s="431" t="s">
        <v>1457</v>
      </c>
    </row>
    <row r="273" spans="1:7" ht="25.9" customHeight="1">
      <c r="A273" s="429">
        <v>270</v>
      </c>
      <c r="B273" s="990" t="s">
        <v>706</v>
      </c>
      <c r="C273" s="990" t="s">
        <v>97</v>
      </c>
      <c r="D273" s="956" t="str">
        <f t="shared" si="4"/>
        <v>Heizwärmebedarf Qh,eff</v>
      </c>
      <c r="E273" s="430" t="s">
        <v>1056</v>
      </c>
      <c r="F273" s="960" t="s">
        <v>1667</v>
      </c>
      <c r="G273" s="431" t="s">
        <v>1458</v>
      </c>
    </row>
    <row r="274" spans="1:7" ht="25.9" customHeight="1">
      <c r="A274" s="429">
        <v>271</v>
      </c>
      <c r="B274" s="990" t="s">
        <v>706</v>
      </c>
      <c r="C274" s="990" t="s">
        <v>97</v>
      </c>
      <c r="D274" s="956" t="str">
        <f t="shared" si="4"/>
        <v>Qh mit effektivem Luftwechsel</v>
      </c>
      <c r="E274" s="430" t="s">
        <v>1057</v>
      </c>
      <c r="F274" s="960" t="s">
        <v>1668</v>
      </c>
      <c r="G274" s="431" t="s">
        <v>1459</v>
      </c>
    </row>
    <row r="275" spans="1:7" ht="25.9" customHeight="1">
      <c r="A275" s="429">
        <v>272</v>
      </c>
      <c r="B275" s="990" t="s">
        <v>706</v>
      </c>
      <c r="C275" s="990" t="s">
        <v>98</v>
      </c>
      <c r="D275" s="956" t="str">
        <f t="shared" si="4"/>
        <v>Qww Wärmebedarf Warmwasser SIA 380/1</v>
      </c>
      <c r="E275" s="430" t="s">
        <v>2653</v>
      </c>
      <c r="F275" s="960" t="s">
        <v>2654</v>
      </c>
      <c r="G275" s="431" t="s">
        <v>2655</v>
      </c>
    </row>
    <row r="276" spans="1:7" ht="25.9" customHeight="1">
      <c r="A276" s="429">
        <v>273</v>
      </c>
      <c r="B276" s="990" t="s">
        <v>706</v>
      </c>
      <c r="C276" s="990" t="s">
        <v>487</v>
      </c>
      <c r="D276" s="956" t="str">
        <f t="shared" si="4"/>
        <v>Strombedarf Lüftungsanlage</v>
      </c>
      <c r="E276" s="430" t="s">
        <v>495</v>
      </c>
      <c r="F276" s="960" t="s">
        <v>1669</v>
      </c>
      <c r="G276" s="431" t="s">
        <v>1460</v>
      </c>
    </row>
    <row r="277" spans="1:7" ht="25.9" customHeight="1">
      <c r="A277" s="429">
        <v>274</v>
      </c>
      <c r="B277" s="990" t="s">
        <v>706</v>
      </c>
      <c r="C277" s="990" t="s">
        <v>878</v>
      </c>
      <c r="D277" s="956" t="str">
        <f t="shared" si="4"/>
        <v>Strom Hilfsbetriebe / Kühlung</v>
      </c>
      <c r="E277" s="430" t="s">
        <v>1058</v>
      </c>
      <c r="F277" s="960" t="s">
        <v>1670</v>
      </c>
      <c r="G277" s="431" t="s">
        <v>1461</v>
      </c>
    </row>
    <row r="278" spans="1:7" ht="25.9" customHeight="1">
      <c r="A278" s="429">
        <v>275</v>
      </c>
      <c r="B278" s="990" t="s">
        <v>706</v>
      </c>
      <c r="C278" s="990" t="s">
        <v>878</v>
      </c>
      <c r="D278" s="956" t="str">
        <f t="shared" si="4"/>
        <v>Strombedarf für Klima + Hilfsbetriebe</v>
      </c>
      <c r="E278" s="430" t="s">
        <v>1193</v>
      </c>
      <c r="F278" s="960" t="s">
        <v>1671</v>
      </c>
      <c r="G278" s="431" t="s">
        <v>1462</v>
      </c>
    </row>
    <row r="279" spans="1:7" ht="25.9" customHeight="1">
      <c r="A279" s="429">
        <v>276</v>
      </c>
      <c r="B279" s="990" t="s">
        <v>706</v>
      </c>
      <c r="C279" s="990" t="s">
        <v>883</v>
      </c>
      <c r="D279" s="956" t="str">
        <f t="shared" si="4"/>
        <v>Massgebender Grenzwert</v>
      </c>
      <c r="E279" s="430" t="s">
        <v>554</v>
      </c>
      <c r="F279" s="960" t="s">
        <v>1672</v>
      </c>
      <c r="G279" s="431" t="s">
        <v>1463</v>
      </c>
    </row>
    <row r="280" spans="1:7" ht="25.9" customHeight="1">
      <c r="A280" s="429">
        <v>277</v>
      </c>
      <c r="B280" s="990" t="s">
        <v>706</v>
      </c>
      <c r="C280" s="990" t="s">
        <v>884</v>
      </c>
      <c r="D280" s="956" t="str">
        <f t="shared" si="4"/>
        <v>Wärmeerzeugung:</v>
      </c>
      <c r="E280" s="430" t="s">
        <v>161</v>
      </c>
      <c r="F280" s="960" t="s">
        <v>1651</v>
      </c>
      <c r="G280" s="431" t="s">
        <v>1442</v>
      </c>
    </row>
    <row r="281" spans="1:7" ht="25.9" customHeight="1">
      <c r="A281" s="429">
        <v>278</v>
      </c>
      <c r="B281" s="990" t="s">
        <v>706</v>
      </c>
      <c r="C281" s="990" t="s">
        <v>885</v>
      </c>
      <c r="D281" s="956" t="str">
        <f t="shared" si="4"/>
        <v>(Heizung + Warmwasser)</v>
      </c>
      <c r="E281" s="430" t="s">
        <v>646</v>
      </c>
      <c r="F281" s="960" t="s">
        <v>1673</v>
      </c>
      <c r="G281" s="431" t="s">
        <v>1464</v>
      </c>
    </row>
    <row r="282" spans="1:7" ht="25.9" customHeight="1">
      <c r="A282" s="429">
        <v>279</v>
      </c>
      <c r="B282" s="990" t="s">
        <v>706</v>
      </c>
      <c r="C282" s="990" t="s">
        <v>1059</v>
      </c>
      <c r="D282" s="956" t="str">
        <f t="shared" si="4"/>
        <v>oder JAZ</v>
      </c>
      <c r="E282" s="430" t="s">
        <v>692</v>
      </c>
      <c r="F282" s="960" t="s">
        <v>1674</v>
      </c>
      <c r="G282" s="431" t="s">
        <v>1465</v>
      </c>
    </row>
    <row r="283" spans="1:7" ht="25.9" customHeight="1">
      <c r="A283" s="429">
        <v>280</v>
      </c>
      <c r="B283" s="990" t="s">
        <v>706</v>
      </c>
      <c r="C283" s="990" t="s">
        <v>1061</v>
      </c>
      <c r="D283" s="956" t="str">
        <f t="shared" si="4"/>
        <v>Gewich-tung</v>
      </c>
      <c r="E283" s="430" t="s">
        <v>1060</v>
      </c>
      <c r="F283" s="960" t="s">
        <v>1675</v>
      </c>
      <c r="G283" s="431" t="s">
        <v>3588</v>
      </c>
    </row>
    <row r="284" spans="1:7" ht="25.9" customHeight="1">
      <c r="A284" s="429">
        <v>281</v>
      </c>
      <c r="B284" s="990" t="s">
        <v>706</v>
      </c>
      <c r="C284" s="990" t="s">
        <v>1062</v>
      </c>
      <c r="D284" s="956" t="str">
        <f t="shared" si="4"/>
        <v>Deckungsgrad</v>
      </c>
      <c r="E284" s="430" t="s">
        <v>690</v>
      </c>
      <c r="F284" s="960" t="s">
        <v>1676</v>
      </c>
      <c r="G284" s="431" t="s">
        <v>1466</v>
      </c>
    </row>
    <row r="285" spans="1:7" ht="25.9" customHeight="1">
      <c r="A285" s="429">
        <v>282</v>
      </c>
      <c r="B285" s="990" t="s">
        <v>706</v>
      </c>
      <c r="C285" s="990" t="s">
        <v>1064</v>
      </c>
      <c r="D285" s="956" t="str">
        <f t="shared" si="4"/>
        <v>gew. Endenergie kWh/m2</v>
      </c>
      <c r="E285" s="430" t="s">
        <v>1063</v>
      </c>
      <c r="F285" s="960" t="s">
        <v>1677</v>
      </c>
      <c r="G285" s="431" t="s">
        <v>1467</v>
      </c>
    </row>
    <row r="286" spans="1:7" ht="25.9" customHeight="1">
      <c r="A286" s="429">
        <v>283</v>
      </c>
      <c r="B286" s="990" t="s">
        <v>706</v>
      </c>
      <c r="C286" s="990" t="s">
        <v>1065</v>
      </c>
      <c r="D286" s="956" t="str">
        <f t="shared" si="4"/>
        <v>Strom</v>
      </c>
      <c r="E286" s="430" t="s">
        <v>731</v>
      </c>
      <c r="F286" s="960" t="s">
        <v>1678</v>
      </c>
      <c r="G286" s="431" t="s">
        <v>1468</v>
      </c>
    </row>
    <row r="287" spans="1:7" ht="25.9" customHeight="1">
      <c r="A287" s="429">
        <v>284</v>
      </c>
      <c r="B287" s="990" t="s">
        <v>706</v>
      </c>
      <c r="C287" s="990" t="s">
        <v>1066</v>
      </c>
      <c r="D287" s="956" t="str">
        <f t="shared" si="4"/>
        <v>andere</v>
      </c>
      <c r="E287" s="430" t="s">
        <v>179</v>
      </c>
      <c r="F287" s="960" t="s">
        <v>1679</v>
      </c>
      <c r="G287" s="431" t="s">
        <v>1469</v>
      </c>
    </row>
    <row r="288" spans="1:7" ht="25.9" customHeight="1">
      <c r="A288" s="429">
        <v>285</v>
      </c>
      <c r="B288" s="990" t="s">
        <v>706</v>
      </c>
      <c r="C288" s="990" t="s">
        <v>1067</v>
      </c>
      <c r="D288" s="956" t="str">
        <f t="shared" si="4"/>
        <v>Wärme</v>
      </c>
      <c r="E288" s="430" t="s">
        <v>729</v>
      </c>
      <c r="F288" s="960" t="s">
        <v>1680</v>
      </c>
      <c r="G288" s="431" t="s">
        <v>1470</v>
      </c>
    </row>
    <row r="289" spans="1:7" ht="25.9" customHeight="1">
      <c r="A289" s="429">
        <v>286</v>
      </c>
      <c r="B289" s="990" t="s">
        <v>706</v>
      </c>
      <c r="C289" s="990" t="s">
        <v>943</v>
      </c>
      <c r="D289" s="956" t="str">
        <f t="shared" si="4"/>
        <v>Strombedarf Lüftungsanlage</v>
      </c>
      <c r="E289" s="430" t="s">
        <v>495</v>
      </c>
      <c r="F289" s="960" t="s">
        <v>1681</v>
      </c>
      <c r="G289" s="431" t="s">
        <v>1471</v>
      </c>
    </row>
    <row r="290" spans="1:7" ht="25.9" customHeight="1">
      <c r="A290" s="429">
        <v>287</v>
      </c>
      <c r="B290" s="990" t="s">
        <v>706</v>
      </c>
      <c r="C290" s="990" t="s">
        <v>1068</v>
      </c>
      <c r="D290" s="956" t="str">
        <f t="shared" si="4"/>
        <v>Strom Klima + Hilfsbetriebe</v>
      </c>
      <c r="E290" s="430" t="s">
        <v>512</v>
      </c>
      <c r="F290" s="960" t="s">
        <v>1682</v>
      </c>
      <c r="G290" s="431" t="s">
        <v>1472</v>
      </c>
    </row>
    <row r="291" spans="1:7" ht="25.9" customHeight="1">
      <c r="A291" s="429">
        <v>288</v>
      </c>
      <c r="B291" s="990" t="s">
        <v>706</v>
      </c>
      <c r="C291" s="990" t="s">
        <v>1068</v>
      </c>
      <c r="D291" s="956" t="str">
        <f t="shared" si="4"/>
        <v>Strom für Klima + Hilfsbetriebe</v>
      </c>
      <c r="E291" s="430" t="s">
        <v>1200</v>
      </c>
      <c r="F291" s="960" t="s">
        <v>1682</v>
      </c>
      <c r="G291" s="431" t="s">
        <v>1472</v>
      </c>
    </row>
    <row r="292" spans="1:7" ht="25.9" customHeight="1">
      <c r="A292" s="429">
        <v>289</v>
      </c>
      <c r="B292" s="990" t="s">
        <v>706</v>
      </c>
      <c r="C292" s="990" t="s">
        <v>1069</v>
      </c>
      <c r="D292" s="956" t="str">
        <f t="shared" si="4"/>
        <v>Total:</v>
      </c>
      <c r="E292" s="430" t="s">
        <v>691</v>
      </c>
      <c r="F292" s="960" t="s">
        <v>691</v>
      </c>
      <c r="G292" s="431" t="s">
        <v>1473</v>
      </c>
    </row>
    <row r="293" spans="1:7" ht="25.9" customHeight="1">
      <c r="A293" s="429">
        <v>290</v>
      </c>
      <c r="B293" s="990" t="s">
        <v>706</v>
      </c>
      <c r="C293" s="990" t="s">
        <v>945</v>
      </c>
      <c r="D293" s="956" t="str">
        <f t="shared" si="4"/>
        <v>Erfüllung der Anforderungen:</v>
      </c>
      <c r="E293" s="430" t="s">
        <v>14</v>
      </c>
      <c r="F293" s="960" t="s">
        <v>1683</v>
      </c>
      <c r="G293" s="431" t="s">
        <v>1474</v>
      </c>
    </row>
    <row r="294" spans="1:7" ht="25.9" customHeight="1">
      <c r="A294" s="429">
        <v>291</v>
      </c>
      <c r="B294" s="990" t="s">
        <v>706</v>
      </c>
      <c r="C294" s="990" t="s">
        <v>590</v>
      </c>
      <c r="D294" s="956" t="str">
        <f t="shared" si="4"/>
        <v>Anforderung</v>
      </c>
      <c r="E294" s="430" t="s">
        <v>494</v>
      </c>
      <c r="F294" s="960" t="s">
        <v>1684</v>
      </c>
      <c r="G294" s="431" t="s">
        <v>1475</v>
      </c>
    </row>
    <row r="295" spans="1:7" ht="25.9" customHeight="1">
      <c r="A295" s="429">
        <v>292</v>
      </c>
      <c r="B295" s="990" t="s">
        <v>706</v>
      </c>
      <c r="C295" s="990" t="s">
        <v>1070</v>
      </c>
      <c r="D295" s="956" t="str">
        <f t="shared" si="4"/>
        <v>Berechneter Wert</v>
      </c>
      <c r="E295" s="430" t="s">
        <v>34</v>
      </c>
      <c r="F295" s="960" t="s">
        <v>1659</v>
      </c>
      <c r="G295" s="431" t="s">
        <v>1476</v>
      </c>
    </row>
    <row r="296" spans="1:7" ht="25.9" customHeight="1">
      <c r="A296" s="429">
        <v>293</v>
      </c>
      <c r="B296" s="990" t="s">
        <v>706</v>
      </c>
      <c r="C296" s="990" t="s">
        <v>946</v>
      </c>
      <c r="D296" s="956" t="str">
        <f t="shared" si="4"/>
        <v>Minergie - Kennzahl Wärme</v>
      </c>
      <c r="E296" s="430" t="s">
        <v>1071</v>
      </c>
      <c r="F296" s="960" t="s">
        <v>1685</v>
      </c>
      <c r="G296" s="431" t="s">
        <v>1477</v>
      </c>
    </row>
    <row r="297" spans="1:7" ht="25.9" customHeight="1">
      <c r="A297" s="429">
        <v>294</v>
      </c>
      <c r="B297" s="990" t="s">
        <v>706</v>
      </c>
      <c r="C297" s="990" t="s">
        <v>946</v>
      </c>
      <c r="D297" s="956" t="str">
        <f t="shared" si="4"/>
        <v>Grenzwert MINERGIE - P</v>
      </c>
      <c r="E297" s="430" t="s">
        <v>1072</v>
      </c>
      <c r="F297" s="960" t="s">
        <v>1686</v>
      </c>
      <c r="G297" s="431" t="s">
        <v>1478</v>
      </c>
    </row>
    <row r="298" spans="1:7" ht="25.9" customHeight="1">
      <c r="A298" s="429">
        <v>295</v>
      </c>
      <c r="B298" s="990" t="s">
        <v>706</v>
      </c>
      <c r="C298" s="990" t="s">
        <v>946</v>
      </c>
      <c r="D298" s="956" t="str">
        <f t="shared" si="4"/>
        <v>Grenzwert</v>
      </c>
      <c r="E298" s="430" t="s">
        <v>657</v>
      </c>
      <c r="F298" s="960" t="s">
        <v>1687</v>
      </c>
      <c r="G298" s="431" t="s">
        <v>1479</v>
      </c>
    </row>
    <row r="299" spans="1:7" ht="25.9" customHeight="1">
      <c r="A299" s="429">
        <v>296</v>
      </c>
      <c r="B299" s="990" t="s">
        <v>706</v>
      </c>
      <c r="C299" s="990" t="s">
        <v>1073</v>
      </c>
      <c r="D299" s="956" t="str">
        <f t="shared" si="4"/>
        <v>Erfüllt?</v>
      </c>
      <c r="E299" s="430" t="s">
        <v>35</v>
      </c>
      <c r="F299" s="960" t="s">
        <v>1688</v>
      </c>
      <c r="G299" s="431" t="s">
        <v>1480</v>
      </c>
    </row>
    <row r="300" spans="1:7" ht="25.9" customHeight="1">
      <c r="A300" s="429">
        <v>297</v>
      </c>
      <c r="B300" s="990" t="s">
        <v>706</v>
      </c>
      <c r="C300" s="990" t="s">
        <v>942</v>
      </c>
      <c r="D300" s="956" t="str">
        <f t="shared" si="4"/>
        <v>weitere Wärmeerzeuger</v>
      </c>
      <c r="E300" s="430" t="s">
        <v>1074</v>
      </c>
      <c r="F300" s="960" t="s">
        <v>1689</v>
      </c>
      <c r="G300" s="431" t="s">
        <v>1481</v>
      </c>
    </row>
    <row r="301" spans="1:7" ht="25.9" customHeight="1">
      <c r="A301" s="429">
        <v>298</v>
      </c>
      <c r="B301" s="990" t="s">
        <v>706</v>
      </c>
      <c r="C301" s="990" t="s">
        <v>949</v>
      </c>
      <c r="D301" s="956" t="str">
        <f t="shared" si="4"/>
        <v>Beilagen (alle Beilagen der linken Spalte einreichen)</v>
      </c>
      <c r="E301" s="430" t="s">
        <v>758</v>
      </c>
      <c r="F301" s="960" t="s">
        <v>1690</v>
      </c>
      <c r="G301" s="431" t="s">
        <v>1482</v>
      </c>
    </row>
    <row r="302" spans="1:7" ht="25.9" customHeight="1">
      <c r="A302" s="429">
        <v>299</v>
      </c>
      <c r="B302" s="990" t="s">
        <v>706</v>
      </c>
      <c r="C302" s="990" t="s">
        <v>1075</v>
      </c>
      <c r="D302" s="956" t="str">
        <f t="shared" si="4"/>
        <v>Zutreffendes ankreuzen</v>
      </c>
      <c r="E302" s="430" t="s">
        <v>759</v>
      </c>
      <c r="F302" s="960" t="s">
        <v>1691</v>
      </c>
      <c r="G302" s="431" t="s">
        <v>1483</v>
      </c>
    </row>
    <row r="303" spans="1:7" ht="25.9" customHeight="1">
      <c r="A303" s="429">
        <v>300</v>
      </c>
      <c r="B303" s="990" t="s">
        <v>706</v>
      </c>
      <c r="C303" s="990" t="s">
        <v>1076</v>
      </c>
      <c r="D303" s="956" t="str">
        <f t="shared" si="4"/>
        <v>Schema Heizung und Lüftung</v>
      </c>
      <c r="E303" s="430" t="s">
        <v>775</v>
      </c>
      <c r="F303" s="960" t="s">
        <v>1692</v>
      </c>
      <c r="G303" s="431" t="s">
        <v>1484</v>
      </c>
    </row>
    <row r="304" spans="1:7" ht="25.9" customHeight="1">
      <c r="A304" s="429">
        <v>301</v>
      </c>
      <c r="B304" s="990" t="s">
        <v>706</v>
      </c>
      <c r="C304" s="990" t="s">
        <v>1077</v>
      </c>
      <c r="D304" s="956" t="str">
        <f t="shared" si="4"/>
        <v>Externe Berechnungen und Datenblätter</v>
      </c>
      <c r="E304" s="430" t="s">
        <v>776</v>
      </c>
      <c r="F304" s="960" t="s">
        <v>1693</v>
      </c>
      <c r="G304" s="431" t="s">
        <v>1485</v>
      </c>
    </row>
    <row r="305" spans="1:7" ht="25.9" customHeight="1">
      <c r="A305" s="429">
        <v>302</v>
      </c>
      <c r="B305" s="990" t="s">
        <v>706</v>
      </c>
      <c r="C305" s="990" t="s">
        <v>1079</v>
      </c>
      <c r="D305" s="956" t="str">
        <f t="shared" si="4"/>
        <v xml:space="preserve">Bedarf nicht gedeckt  </v>
      </c>
      <c r="E305" s="430" t="s">
        <v>1078</v>
      </c>
      <c r="F305" s="960" t="s">
        <v>1694</v>
      </c>
      <c r="G305" s="431" t="s">
        <v>1486</v>
      </c>
    </row>
    <row r="306" spans="1:7" ht="25.9" customHeight="1">
      <c r="A306" s="429">
        <v>303</v>
      </c>
      <c r="B306" s="990" t="s">
        <v>706</v>
      </c>
      <c r="C306" s="990" t="s">
        <v>1079</v>
      </c>
      <c r="D306" s="956" t="str">
        <f t="shared" si="4"/>
        <v>ohne Hallenbad</v>
      </c>
      <c r="E306" s="430" t="s">
        <v>1080</v>
      </c>
      <c r="F306" s="960" t="s">
        <v>1695</v>
      </c>
      <c r="G306" s="431" t="s">
        <v>1487</v>
      </c>
    </row>
    <row r="307" spans="1:7" ht="29.25" customHeight="1">
      <c r="A307" s="429">
        <v>304</v>
      </c>
      <c r="B307" s="990" t="s">
        <v>706</v>
      </c>
      <c r="C307" s="990" t="s">
        <v>1081</v>
      </c>
      <c r="D307" s="956" t="str">
        <f t="shared" si="4"/>
        <v>Warmwasser mit mindestens 20% erneuerbarer Energie erzeugt (für Restaurants / Sportbauten / Hallenbäder)</v>
      </c>
      <c r="E307" s="430" t="s">
        <v>804</v>
      </c>
      <c r="F307" s="960" t="s">
        <v>1696</v>
      </c>
      <c r="G307" s="431" t="s">
        <v>1488</v>
      </c>
    </row>
    <row r="308" spans="1:7" ht="25.9" customHeight="1">
      <c r="A308" s="429">
        <v>305</v>
      </c>
      <c r="B308" s="990" t="s">
        <v>706</v>
      </c>
      <c r="C308" s="990" t="s">
        <v>1160</v>
      </c>
      <c r="D308" s="956" t="str">
        <f t="shared" si="4"/>
        <v>Deckungsgrad &lt;&gt; 100%</v>
      </c>
      <c r="E308" s="430" t="s">
        <v>1159</v>
      </c>
      <c r="F308" s="960" t="s">
        <v>1697</v>
      </c>
      <c r="G308" s="431" t="s">
        <v>1489</v>
      </c>
    </row>
    <row r="309" spans="1:7" ht="25.9" customHeight="1">
      <c r="A309" s="429">
        <v>306</v>
      </c>
      <c r="D309" s="956" t="str">
        <f t="shared" si="4"/>
        <v>Netto-Jahresertrag pro kWp (Standardwert)</v>
      </c>
      <c r="E309" s="430" t="s">
        <v>85</v>
      </c>
      <c r="F309" s="960" t="s">
        <v>624</v>
      </c>
      <c r="G309" s="431" t="s">
        <v>1490</v>
      </c>
    </row>
    <row r="310" spans="1:7" ht="92.25" customHeight="1">
      <c r="A310" s="429">
        <v>307</v>
      </c>
      <c r="B310" s="990" t="s">
        <v>53</v>
      </c>
      <c r="C310" s="990" t="s">
        <v>888</v>
      </c>
      <c r="D310" s="956" t="str">
        <f t="shared" si="4"/>
        <v>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v>
      </c>
      <c r="E310" s="430" t="s">
        <v>3656</v>
      </c>
      <c r="F310" s="960" t="s">
        <v>3655</v>
      </c>
      <c r="G310" s="431" t="s">
        <v>3654</v>
      </c>
    </row>
    <row r="311" spans="1:7" ht="25.9" customHeight="1">
      <c r="A311" s="429">
        <v>308</v>
      </c>
      <c r="D311" s="956" t="str">
        <f t="shared" si="4"/>
        <v xml:space="preserve"> 'Lüftungsgerät mit Abluft-Wärmepumpe' wählen</v>
      </c>
      <c r="E311" s="430" t="s">
        <v>42</v>
      </c>
      <c r="F311" s="960" t="s">
        <v>106</v>
      </c>
      <c r="G311" s="431" t="s">
        <v>1491</v>
      </c>
    </row>
    <row r="312" spans="1:7" ht="25.9" customHeight="1">
      <c r="A312" s="429">
        <v>309</v>
      </c>
      <c r="D312" s="956" t="str">
        <f t="shared" si="4"/>
        <v xml:space="preserve"> 'Lüftungsgerät mit Abluft / Zuluft  - Wärmepumpe ohne WRG'       oder                                   'Kompakt-WP mit Zu- &amp; Abluft / WW ohne WRG'    wählen</v>
      </c>
      <c r="E312" s="430" t="s">
        <v>43</v>
      </c>
      <c r="F312" s="960" t="s">
        <v>107</v>
      </c>
      <c r="G312" s="431" t="s">
        <v>1492</v>
      </c>
    </row>
    <row r="313" spans="1:7" ht="25.9" customHeight="1">
      <c r="A313" s="429">
        <v>310</v>
      </c>
      <c r="D313" s="956" t="str">
        <f t="shared" si="4"/>
        <v xml:space="preserve"> 'Lüftungsgerät mit Abluft / Zuluft  - Wärmepumpe plus WRG'       oder                                         'Kompakt-WP mit Zu- &amp; Abluft / WW plus WRG'    wählen"</v>
      </c>
      <c r="E313" s="430" t="s">
        <v>44</v>
      </c>
      <c r="F313" s="960" t="s">
        <v>623</v>
      </c>
      <c r="G313" s="431" t="s">
        <v>1493</v>
      </c>
    </row>
    <row r="314" spans="1:7" ht="45" customHeight="1">
      <c r="A314" s="429">
        <v>311</v>
      </c>
      <c r="B314" s="990" t="s">
        <v>1770</v>
      </c>
      <c r="C314" s="990" t="s">
        <v>1787</v>
      </c>
      <c r="D314" s="956" t="str">
        <f t="shared" si="4"/>
        <v>Wenn Beschreibung zutrifft, ist Bedingung 'Glasanteil' nicht relevant. Wenn eine der beschriebenen Eigenschaften nicht zutrifft, ist n.a. anzuwählen.</v>
      </c>
      <c r="E314" s="430" t="s">
        <v>1786</v>
      </c>
      <c r="F314" s="960" t="s">
        <v>2309</v>
      </c>
      <c r="G314" s="431" t="s">
        <v>1943</v>
      </c>
    </row>
    <row r="315" spans="1:7" ht="25.9" customHeight="1">
      <c r="A315" s="429">
        <v>312</v>
      </c>
      <c r="B315" s="990" t="s">
        <v>53</v>
      </c>
      <c r="C315" s="990" t="s">
        <v>1771</v>
      </c>
      <c r="D315" s="956" t="str">
        <f t="shared" si="4"/>
        <v>Eingaben</v>
      </c>
      <c r="E315" s="430" t="s">
        <v>53</v>
      </c>
      <c r="F315" s="960" t="s">
        <v>1703</v>
      </c>
      <c r="G315" s="431" t="s">
        <v>1702</v>
      </c>
    </row>
    <row r="316" spans="1:7" ht="25.9" customHeight="1">
      <c r="A316" s="429">
        <v>313</v>
      </c>
      <c r="B316" s="990" t="s">
        <v>706</v>
      </c>
      <c r="C316" s="990" t="s">
        <v>1771</v>
      </c>
      <c r="D316" s="956" t="str">
        <f t="shared" si="4"/>
        <v>Nachweis</v>
      </c>
      <c r="E316" s="430" t="s">
        <v>706</v>
      </c>
      <c r="F316" s="960" t="s">
        <v>1704</v>
      </c>
      <c r="G316" s="431" t="s">
        <v>1701</v>
      </c>
    </row>
    <row r="317" spans="1:7" ht="25.9" customHeight="1">
      <c r="A317" s="429">
        <v>314</v>
      </c>
      <c r="B317" s="990" t="s">
        <v>1820</v>
      </c>
      <c r="C317" s="990" t="s">
        <v>1771</v>
      </c>
      <c r="D317" s="956" t="str">
        <f t="shared" si="4"/>
        <v>Uebrsicht</v>
      </c>
      <c r="E317" s="430" t="s">
        <v>1819</v>
      </c>
      <c r="F317" s="960" t="s">
        <v>2310</v>
      </c>
      <c r="G317" s="431" t="s">
        <v>2405</v>
      </c>
    </row>
    <row r="318" spans="1:7" ht="25.9" customHeight="1">
      <c r="A318" s="429">
        <v>315</v>
      </c>
      <c r="B318" s="990" t="s">
        <v>1820</v>
      </c>
      <c r="C318" s="990" t="s">
        <v>847</v>
      </c>
      <c r="D318" s="956" t="str">
        <f t="shared" si="4"/>
        <v>Übersicht</v>
      </c>
      <c r="E318" s="430" t="s">
        <v>1900</v>
      </c>
      <c r="F318" s="960" t="s">
        <v>2310</v>
      </c>
      <c r="G318" s="431" t="s">
        <v>2405</v>
      </c>
    </row>
    <row r="319" spans="1:7" ht="25.9" customHeight="1">
      <c r="A319" s="429">
        <v>316</v>
      </c>
      <c r="B319" s="990" t="s">
        <v>1770</v>
      </c>
      <c r="C319" s="990" t="s">
        <v>1771</v>
      </c>
      <c r="D319" s="956" t="str">
        <f t="shared" si="4"/>
        <v>Sommer</v>
      </c>
      <c r="E319" s="430" t="s">
        <v>1770</v>
      </c>
      <c r="F319" s="960" t="s">
        <v>2311</v>
      </c>
      <c r="G319" s="431" t="s">
        <v>2406</v>
      </c>
    </row>
    <row r="320" spans="1:7" ht="25.9" customHeight="1">
      <c r="A320" s="429">
        <v>317</v>
      </c>
      <c r="B320" s="990" t="s">
        <v>1770</v>
      </c>
      <c r="C320" s="990" t="s">
        <v>1772</v>
      </c>
      <c r="D320" s="956" t="str">
        <f t="shared" si="4"/>
        <v>Sommerlicher Wärmeschutz im Minergie-Standard</v>
      </c>
      <c r="E320" s="430" t="s">
        <v>2868</v>
      </c>
      <c r="F320" s="960" t="s">
        <v>2869</v>
      </c>
      <c r="G320" s="431" t="s">
        <v>2870</v>
      </c>
    </row>
    <row r="321" spans="1:7" ht="96" customHeight="1">
      <c r="A321" s="429">
        <v>318</v>
      </c>
      <c r="B321" s="990" t="s">
        <v>1770</v>
      </c>
      <c r="C321" s="990" t="s">
        <v>853</v>
      </c>
      <c r="D321" s="956"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430" t="s">
        <v>1738</v>
      </c>
      <c r="F321" s="960" t="s">
        <v>2312</v>
      </c>
      <c r="G321" s="431" t="s">
        <v>2407</v>
      </c>
    </row>
    <row r="322" spans="1:7" ht="39" customHeight="1">
      <c r="A322" s="429">
        <v>319</v>
      </c>
      <c r="B322" s="990" t="s">
        <v>1770</v>
      </c>
      <c r="C322" s="990" t="s">
        <v>1774</v>
      </c>
      <c r="D322" s="956" t="str">
        <f t="shared" si="4"/>
        <v>Variante 1: Globalbeurteilung von Standardfällen für die Nutzungen Wohnen, Einzelbüro, Gruppenbüro, Sitzungszimmer und Lager (ohne Kühlung)</v>
      </c>
      <c r="E322" s="430" t="s">
        <v>1773</v>
      </c>
      <c r="F322" s="960" t="s">
        <v>2313</v>
      </c>
      <c r="G322" s="431" t="s">
        <v>2408</v>
      </c>
    </row>
    <row r="323" spans="1:7" ht="25.9" customHeight="1">
      <c r="A323" s="429">
        <v>320</v>
      </c>
      <c r="B323" s="990" t="s">
        <v>1770</v>
      </c>
      <c r="C323" s="990" t="s">
        <v>1052</v>
      </c>
      <c r="D323" s="956" t="str">
        <f t="shared" si="4"/>
        <v>Die Globalbeurteilung gilt für Zonen in denen in allen Räumen folgende Bedingungen eingehalten sind:</v>
      </c>
      <c r="E323" s="430" t="s">
        <v>1739</v>
      </c>
      <c r="F323" s="960" t="s">
        <v>2314</v>
      </c>
      <c r="G323" s="431" t="s">
        <v>2409</v>
      </c>
    </row>
    <row r="324" spans="1:7" ht="54.95" customHeight="1">
      <c r="A324" s="429">
        <v>321</v>
      </c>
      <c r="B324" s="990" t="s">
        <v>1770</v>
      </c>
      <c r="C324" s="990" t="s">
        <v>1775</v>
      </c>
      <c r="D324" s="956" t="str">
        <f t="shared" si="4"/>
        <v>- keine Oblichter oder Dachflächenfenster mit Glasflächen &gt; 0.5 m2, grössere Glasflächen können in vertikale Flächen
  umgerechnet werden -&gt; siehe Anwendungshilfe</v>
      </c>
      <c r="E324" s="457" t="s">
        <v>1741</v>
      </c>
      <c r="F324" s="1489" t="s">
        <v>2871</v>
      </c>
      <c r="G324" s="1488" t="s">
        <v>2924</v>
      </c>
    </row>
    <row r="325" spans="1:7" ht="25.9" customHeight="1">
      <c r="A325" s="429">
        <v>322</v>
      </c>
      <c r="B325" s="990" t="s">
        <v>1770</v>
      </c>
      <c r="C325" s="990" t="s">
        <v>854</v>
      </c>
      <c r="D325" s="956" t="str">
        <f t="shared" ref="D325:D388" si="5">INDEX($E$4:$G$503,$A325,$A$1)</f>
        <v>- aussenliegender beweglicher Sonnenschutz mit Rollläden oder Rafflamellenstoren (z.B. Minergie-Module);</v>
      </c>
      <c r="E325" s="457" t="s">
        <v>2872</v>
      </c>
      <c r="F325" s="960" t="s">
        <v>2873</v>
      </c>
      <c r="G325" s="1488" t="s">
        <v>2874</v>
      </c>
    </row>
    <row r="326" spans="1:7" ht="25.9" customHeight="1">
      <c r="A326" s="429">
        <v>323</v>
      </c>
      <c r="B326" s="990" t="s">
        <v>1770</v>
      </c>
      <c r="C326" s="990" t="s">
        <v>466</v>
      </c>
      <c r="D326" s="956" t="str">
        <f t="shared" si="5"/>
        <v>- Nachtauskühlung mit Fensterlüftung ist möglich;</v>
      </c>
      <c r="E326" s="457" t="s">
        <v>1742</v>
      </c>
      <c r="F326" s="960" t="s">
        <v>2315</v>
      </c>
      <c r="G326" s="431" t="s">
        <v>2410</v>
      </c>
    </row>
    <row r="327" spans="1:7" ht="25.9" customHeight="1">
      <c r="A327" s="429">
        <v>324</v>
      </c>
      <c r="B327" s="990" t="s">
        <v>1770</v>
      </c>
      <c r="C327" s="990" t="s">
        <v>857</v>
      </c>
      <c r="D327" s="956" t="str">
        <f t="shared" si="5"/>
        <v>- interne Wärmelasten nicht höher als die Standardwerte im Merkblatt SIA 2024.</v>
      </c>
      <c r="E327" s="457" t="s">
        <v>1743</v>
      </c>
      <c r="F327" s="960" t="s">
        <v>2316</v>
      </c>
      <c r="G327" s="431" t="s">
        <v>2411</v>
      </c>
    </row>
    <row r="328" spans="1:7" ht="25.9" customHeight="1">
      <c r="A328" s="429">
        <v>325</v>
      </c>
      <c r="B328" s="990" t="s">
        <v>1770</v>
      </c>
      <c r="C328" s="990" t="s">
        <v>859</v>
      </c>
      <c r="D328" s="956" t="str">
        <f t="shared" si="5"/>
        <v>Erfüllen die Räume in der Zone die Kriterien?</v>
      </c>
      <c r="E328" s="430" t="s">
        <v>1746</v>
      </c>
      <c r="F328" s="960" t="s">
        <v>2317</v>
      </c>
      <c r="G328" s="431" t="s">
        <v>2412</v>
      </c>
    </row>
    <row r="329" spans="1:7" ht="25.9" customHeight="1">
      <c r="A329" s="429">
        <v>326</v>
      </c>
      <c r="B329" s="990" t="s">
        <v>1770</v>
      </c>
      <c r="C329" s="990" t="s">
        <v>1776</v>
      </c>
      <c r="D329" s="956" t="str">
        <f t="shared" si="5"/>
        <v>Aussenliegender beweglicher Sonnenschutz. Bei "andere" hier deklarieren:</v>
      </c>
      <c r="E329" s="430" t="s">
        <v>1747</v>
      </c>
      <c r="F329" s="960" t="s">
        <v>2318</v>
      </c>
      <c r="G329" s="431" t="s">
        <v>2413</v>
      </c>
    </row>
    <row r="330" spans="1:7" ht="25.9" customHeight="1">
      <c r="A330" s="429">
        <v>327</v>
      </c>
      <c r="B330" s="990" t="s">
        <v>1770</v>
      </c>
      <c r="C330" s="990" t="s">
        <v>891</v>
      </c>
      <c r="D330" s="956" t="str">
        <f t="shared" si="5"/>
        <v>g-Wert und Produktebezeichnung</v>
      </c>
      <c r="E330" s="430" t="s">
        <v>1777</v>
      </c>
      <c r="F330" s="960" t="s">
        <v>2319</v>
      </c>
      <c r="G330" s="431" t="s">
        <v>2414</v>
      </c>
    </row>
    <row r="331" spans="1:7" ht="46.5" customHeight="1">
      <c r="A331" s="429">
        <v>328</v>
      </c>
      <c r="B331" s="990" t="s">
        <v>1770</v>
      </c>
      <c r="C331" s="990" t="s">
        <v>1778</v>
      </c>
      <c r="D331" s="956" t="str">
        <f t="shared" si="5"/>
        <v>Wohnen (EFH, MFH), Räume mit 1 Fassade, Betondecke (&gt;80% frei):
- Glasanteil &lt;70%</v>
      </c>
      <c r="E331" s="430" t="s">
        <v>1748</v>
      </c>
      <c r="F331" s="960" t="s">
        <v>2508</v>
      </c>
      <c r="G331" s="431" t="s">
        <v>2514</v>
      </c>
    </row>
    <row r="332" spans="1:7" ht="34.9" customHeight="1">
      <c r="A332" s="429">
        <v>329</v>
      </c>
      <c r="B332" s="990" t="s">
        <v>1770</v>
      </c>
      <c r="C332" s="990" t="s">
        <v>549</v>
      </c>
      <c r="D332" s="956" t="str">
        <f t="shared" si="5"/>
        <v>Wohnen (EFH,MFH), Eckzimmer; Betondecke (&gt;80% frei):
- Glasanteil pro Fassade &lt;50%</v>
      </c>
      <c r="E332" s="430" t="s">
        <v>1749</v>
      </c>
      <c r="F332" s="960" t="s">
        <v>2509</v>
      </c>
      <c r="G332" s="1488" t="s">
        <v>2515</v>
      </c>
    </row>
    <row r="333" spans="1:7" ht="49.5" customHeight="1">
      <c r="A333" s="429">
        <v>330</v>
      </c>
      <c r="B333" s="990" t="s">
        <v>1770</v>
      </c>
      <c r="C333" s="990" t="s">
        <v>1779</v>
      </c>
      <c r="D333" s="956" t="str">
        <f t="shared" si="5"/>
        <v>Wohnen (EFH, MFH), 1 Fassade oder Eckzimmer. Holzdecke und Zementunterlagsboden mit min. 6 cm oder Anhydrit min. 5 cm Stärke:
- Glasanteil &lt;40%</v>
      </c>
      <c r="E333" s="430" t="s">
        <v>1750</v>
      </c>
      <c r="F333" s="960" t="s">
        <v>2920</v>
      </c>
      <c r="G333" s="431" t="s">
        <v>2919</v>
      </c>
    </row>
    <row r="334" spans="1:7" ht="66" customHeight="1">
      <c r="A334" s="429">
        <v>331</v>
      </c>
      <c r="B334" s="990" t="s">
        <v>1770</v>
      </c>
      <c r="C334" s="990" t="s">
        <v>550</v>
      </c>
      <c r="D334" s="956" t="str">
        <f t="shared" si="5"/>
        <v>Wohnen (EFH, MFH), Räume mit 1 Fassade, Betondecke (&gt;80% frei) oder Zement-unterlagsboden mit min. 6 cm oder Anhydrit min. 5 cmStärke. Süd-Orientierung und Verschattung durch Balkon von min. 1 m Tiefe. 
- Glasanteil &lt;100%</v>
      </c>
      <c r="E334" s="430" t="s">
        <v>1751</v>
      </c>
      <c r="F334" s="960" t="s">
        <v>2510</v>
      </c>
      <c r="G334" s="1488" t="s">
        <v>2921</v>
      </c>
    </row>
    <row r="335" spans="1:7" ht="42.75" customHeight="1">
      <c r="A335" s="429">
        <v>332</v>
      </c>
      <c r="B335" s="990" t="s">
        <v>1770</v>
      </c>
      <c r="C335" s="990" t="s">
        <v>551</v>
      </c>
      <c r="D335" s="956" t="str">
        <f t="shared" si="5"/>
        <v>Einzelbüro, Gruppenbüro, Sitzungszimmer mit 1 Fassade, Betondecke (&gt;80% frei):
- Glasanteil &lt;50% und automat. Steuerung des Sonnenschutzes</v>
      </c>
      <c r="E335" s="430" t="s">
        <v>1780</v>
      </c>
      <c r="F335" s="960" t="s">
        <v>2511</v>
      </c>
      <c r="G335" s="431" t="s">
        <v>2923</v>
      </c>
    </row>
    <row r="336" spans="1:7" ht="40.5" customHeight="1">
      <c r="A336" s="429">
        <v>333</v>
      </c>
      <c r="B336" s="990" t="s">
        <v>1770</v>
      </c>
      <c r="C336" s="990" t="s">
        <v>496</v>
      </c>
      <c r="D336" s="956" t="str">
        <f t="shared" si="5"/>
        <v>Einzelbüro, Gruppenbüro, Sitzungszimmer als Eckzimmer, Betondecke (&gt;80% frei):
- Glasanteil &lt;35% und automat. Steuerung des Sonnenschutzes</v>
      </c>
      <c r="E336" s="430" t="s">
        <v>1781</v>
      </c>
      <c r="F336" s="960" t="s">
        <v>2512</v>
      </c>
      <c r="G336" s="431" t="s">
        <v>2922</v>
      </c>
    </row>
    <row r="337" spans="1:7" ht="25.9" customHeight="1">
      <c r="A337" s="429">
        <v>334</v>
      </c>
      <c r="B337" s="990" t="s">
        <v>1770</v>
      </c>
      <c r="C337" s="990" t="s">
        <v>1783</v>
      </c>
      <c r="D337" s="956" t="str">
        <f t="shared" si="5"/>
        <v>Lager mit geringen internen Wärmelasten</v>
      </c>
      <c r="E337" s="430" t="s">
        <v>1782</v>
      </c>
      <c r="F337" s="960" t="s">
        <v>2320</v>
      </c>
      <c r="G337" s="431" t="s">
        <v>2415</v>
      </c>
    </row>
    <row r="338" spans="1:7" ht="67.5" customHeight="1">
      <c r="A338" s="429">
        <v>335</v>
      </c>
      <c r="B338" s="990" t="s">
        <v>1770</v>
      </c>
      <c r="C338" s="990" t="s">
        <v>873</v>
      </c>
      <c r="D338" s="956" t="str">
        <f t="shared" si="5"/>
        <v>"n.a.":    Nicht vorhanden. Ein solcher Raumtyp existiert nicht.
"ja":       Ein solcher Raumtyp ist vorhanden und alle Kriterien sind erfüllt.
"nein":   Ein solcher Raumtyp ist vorhanden, aber die Kriterien sind nicht erfüllt (z.B. zu hoher Glasanteil)</v>
      </c>
      <c r="E338" s="430" t="s">
        <v>1752</v>
      </c>
      <c r="F338" s="960" t="s">
        <v>2513</v>
      </c>
      <c r="G338" s="431" t="s">
        <v>2516</v>
      </c>
    </row>
    <row r="339" spans="1:7" ht="25.9" customHeight="1">
      <c r="A339" s="429">
        <v>336</v>
      </c>
      <c r="B339" s="990" t="s">
        <v>1770</v>
      </c>
      <c r="C339" s="990" t="s">
        <v>1785</v>
      </c>
      <c r="D339" s="956" t="str">
        <f t="shared" si="5"/>
        <v>Wenn S14 zutrifft, ist in S11 n.a. anzuwählen.</v>
      </c>
      <c r="E339" s="430" t="s">
        <v>1784</v>
      </c>
      <c r="F339" s="960" t="s">
        <v>2321</v>
      </c>
      <c r="G339" s="431" t="s">
        <v>2423</v>
      </c>
    </row>
    <row r="340" spans="1:7" ht="43.5" customHeight="1">
      <c r="A340" s="429">
        <v>337</v>
      </c>
      <c r="B340" s="990" t="s">
        <v>1770</v>
      </c>
      <c r="C340" s="990" t="s">
        <v>1787</v>
      </c>
      <c r="D340" s="956" t="str">
        <f t="shared" si="5"/>
        <v>Wenn Beschreibung zutrifft, ist Bedingung 'Glasanteil' nicht relevant. Wenn eine der beschriebenen Eigenschaften nicht zutrifft, ist n.a. anzuwählen.</v>
      </c>
      <c r="E340" s="430" t="s">
        <v>1786</v>
      </c>
      <c r="F340" s="960" t="s">
        <v>2309</v>
      </c>
      <c r="G340" s="431" t="s">
        <v>1943</v>
      </c>
    </row>
    <row r="341" spans="1:7" ht="25.9" customHeight="1">
      <c r="A341" s="429">
        <v>338</v>
      </c>
      <c r="B341" s="990" t="s">
        <v>1770</v>
      </c>
      <c r="C341" s="990" t="s">
        <v>875</v>
      </c>
      <c r="D341" s="956" t="str">
        <f t="shared" si="5"/>
        <v>Variante 2: Externer Nachweis der Kriterien gemäss SIA382/1 (ohne Kühlung)</v>
      </c>
      <c r="E341" s="430" t="s">
        <v>1753</v>
      </c>
      <c r="F341" s="960" t="s">
        <v>2322</v>
      </c>
      <c r="G341" s="431" t="s">
        <v>2417</v>
      </c>
    </row>
    <row r="342" spans="1:7" ht="25.9" customHeight="1">
      <c r="A342" s="429">
        <v>339</v>
      </c>
      <c r="B342" s="990" t="s">
        <v>1770</v>
      </c>
      <c r="C342" s="990" t="s">
        <v>1788</v>
      </c>
      <c r="D342" s="956" t="str">
        <f t="shared" si="5"/>
        <v>Die Erfüllung dieser Kriterien wird in Beilagen beschrieben und dokumentiert.</v>
      </c>
      <c r="E342" s="430" t="s">
        <v>1754</v>
      </c>
      <c r="F342" s="960" t="s">
        <v>2323</v>
      </c>
      <c r="G342" s="431" t="s">
        <v>2418</v>
      </c>
    </row>
    <row r="343" spans="1:7" ht="25.9" customHeight="1">
      <c r="A343" s="429">
        <v>340</v>
      </c>
      <c r="B343" s="990" t="s">
        <v>1770</v>
      </c>
      <c r="C343" s="990" t="s">
        <v>97</v>
      </c>
      <c r="D343" s="956" t="str">
        <f t="shared" si="5"/>
        <v>SIA 382/1 Ziffer</v>
      </c>
      <c r="E343" s="430" t="s">
        <v>1755</v>
      </c>
      <c r="F343" s="960" t="s">
        <v>2324</v>
      </c>
      <c r="G343" s="431" t="s">
        <v>2419</v>
      </c>
    </row>
    <row r="344" spans="1:7" ht="25.9" customHeight="1">
      <c r="A344" s="429">
        <v>341</v>
      </c>
      <c r="B344" s="990" t="s">
        <v>1770</v>
      </c>
      <c r="C344" s="990" t="s">
        <v>1789</v>
      </c>
      <c r="D344" s="956" t="str">
        <f t="shared" si="5"/>
        <v>Anforderungen an den Sonnenschutz sind gemäss Zusatzformular sommerlicher Wärmeschutz erfüllt.</v>
      </c>
      <c r="E344" s="430" t="s">
        <v>1757</v>
      </c>
      <c r="F344" s="960" t="s">
        <v>2325</v>
      </c>
      <c r="G344" s="431" t="s">
        <v>2420</v>
      </c>
    </row>
    <row r="345" spans="1:7" ht="25.9" customHeight="1">
      <c r="A345" s="429">
        <v>342</v>
      </c>
      <c r="B345" s="990" t="s">
        <v>1770</v>
      </c>
      <c r="C345" s="990" t="s">
        <v>876</v>
      </c>
      <c r="D345" s="956" t="str">
        <f t="shared" si="5"/>
        <v>Bemerkungen zum externen Nachweis (Art, Beilage, z.B. Hilfskriterien gemäss Anwendungshilfe):</v>
      </c>
      <c r="E345" s="430" t="s">
        <v>1762</v>
      </c>
      <c r="F345" s="960" t="s">
        <v>2326</v>
      </c>
      <c r="G345" s="431" t="s">
        <v>2421</v>
      </c>
    </row>
    <row r="346" spans="1:7" ht="25.9" customHeight="1">
      <c r="A346" s="429">
        <v>343</v>
      </c>
      <c r="B346" s="990" t="s">
        <v>1770</v>
      </c>
      <c r="C346" s="990" t="s">
        <v>884</v>
      </c>
      <c r="D346" s="956" t="str">
        <f t="shared" si="5"/>
        <v>Variante 3: Externer Nachweis der Kriterien gemäss SIA382/1 (mit Kühlung)</v>
      </c>
      <c r="E346" s="430" t="s">
        <v>1790</v>
      </c>
      <c r="F346" s="960" t="s">
        <v>2327</v>
      </c>
      <c r="G346" s="431" t="s">
        <v>2422</v>
      </c>
    </row>
    <row r="347" spans="1:7" ht="41.25" customHeight="1">
      <c r="A347" s="429">
        <v>344</v>
      </c>
      <c r="B347" s="990" t="s">
        <v>1770</v>
      </c>
      <c r="C347" s="990" t="s">
        <v>1791</v>
      </c>
      <c r="D347" s="956" t="str">
        <f t="shared" si="5"/>
        <v>Die sommerlichen Raumlufttemperaturen wurden gemäss SIA 382/1, Zif. 4.4.4 berechnet. Die Grenzwertkurve wird ohne Kühlung an weniger als 100 h überschritten.</v>
      </c>
      <c r="E347" s="430" t="s">
        <v>1763</v>
      </c>
      <c r="F347" s="960" t="s">
        <v>2328</v>
      </c>
      <c r="G347" s="431" t="s">
        <v>2424</v>
      </c>
    </row>
    <row r="348" spans="1:7" ht="44.25" customHeight="1">
      <c r="A348" s="429">
        <v>345</v>
      </c>
      <c r="B348" s="990" t="s">
        <v>1770</v>
      </c>
      <c r="C348" s="990" t="s">
        <v>938</v>
      </c>
      <c r="D348" s="956" t="str">
        <f t="shared" si="5"/>
        <v>Die Zone ist gekühlt und der Energiebedarf wurde berechnet. 
Es treten keinen hohen sommerlichen Raumlufttemperaturen auf.</v>
      </c>
      <c r="E348" s="430" t="s">
        <v>1765</v>
      </c>
      <c r="F348" s="960" t="s">
        <v>2333</v>
      </c>
      <c r="G348" s="431" t="s">
        <v>2425</v>
      </c>
    </row>
    <row r="349" spans="1:7" ht="25.9" customHeight="1">
      <c r="A349" s="429">
        <v>346</v>
      </c>
      <c r="B349" s="990" t="s">
        <v>1770</v>
      </c>
      <c r="C349" s="990" t="s">
        <v>943</v>
      </c>
      <c r="D349" s="956" t="str">
        <f t="shared" si="5"/>
        <v>Gemäss Deklaration sind Anforderungen an den sommerlichen Wärmeschutz erfüllt.</v>
      </c>
      <c r="E349" s="430" t="s">
        <v>1769</v>
      </c>
      <c r="F349" s="960" t="s">
        <v>2329</v>
      </c>
      <c r="G349" s="431" t="s">
        <v>2426</v>
      </c>
    </row>
    <row r="350" spans="1:7" ht="25.9" customHeight="1">
      <c r="A350" s="429">
        <v>347</v>
      </c>
      <c r="B350" s="990" t="s">
        <v>1770</v>
      </c>
      <c r="C350" s="990" t="s">
        <v>1792</v>
      </c>
      <c r="D350" s="956" t="str">
        <f t="shared" si="5"/>
        <v>Rollläden</v>
      </c>
      <c r="E350" s="430" t="s">
        <v>1740</v>
      </c>
      <c r="F350" s="960" t="s">
        <v>2330</v>
      </c>
      <c r="G350" s="431" t="s">
        <v>2875</v>
      </c>
    </row>
    <row r="351" spans="1:7" ht="25.9" customHeight="1">
      <c r="A351" s="429">
        <v>348</v>
      </c>
      <c r="B351" s="990" t="s">
        <v>1770</v>
      </c>
      <c r="C351" s="990" t="s">
        <v>1793</v>
      </c>
      <c r="D351" s="956" t="str">
        <f t="shared" si="5"/>
        <v>Rafflamellen</v>
      </c>
      <c r="E351" s="430" t="s">
        <v>1794</v>
      </c>
      <c r="F351" s="960" t="s">
        <v>2331</v>
      </c>
      <c r="G351" s="431" t="s">
        <v>2427</v>
      </c>
    </row>
    <row r="352" spans="1:7" ht="25.9" customHeight="1">
      <c r="A352" s="429">
        <v>349</v>
      </c>
      <c r="B352" s="990" t="s">
        <v>1770</v>
      </c>
      <c r="C352" s="990" t="s">
        <v>1795</v>
      </c>
      <c r="D352" s="956" t="str">
        <f t="shared" si="5"/>
        <v>Modul Minergie</v>
      </c>
      <c r="E352" s="430" t="s">
        <v>2876</v>
      </c>
      <c r="F352" s="960" t="s">
        <v>2877</v>
      </c>
      <c r="G352" s="431" t="s">
        <v>2428</v>
      </c>
    </row>
    <row r="353" spans="1:7" ht="25.9" customHeight="1">
      <c r="A353" s="429">
        <v>350</v>
      </c>
      <c r="B353" s="990" t="s">
        <v>1770</v>
      </c>
      <c r="C353" s="990" t="s">
        <v>1796</v>
      </c>
      <c r="D353" s="956" t="str">
        <f t="shared" si="5"/>
        <v>andere</v>
      </c>
      <c r="E353" s="430" t="s">
        <v>179</v>
      </c>
      <c r="F353" s="960" t="s">
        <v>2332</v>
      </c>
      <c r="G353" s="431" t="s">
        <v>1469</v>
      </c>
    </row>
    <row r="354" spans="1:7" ht="25.9" customHeight="1">
      <c r="A354" s="429">
        <v>351</v>
      </c>
      <c r="B354" s="990" t="s">
        <v>1770</v>
      </c>
      <c r="C354" s="990" t="s">
        <v>891</v>
      </c>
      <c r="D354" s="956" t="str">
        <f t="shared" si="5"/>
        <v>g-Wert und Produktebezeichnung</v>
      </c>
      <c r="E354" s="430" t="s">
        <v>1777</v>
      </c>
      <c r="F354" s="960" t="s">
        <v>2319</v>
      </c>
      <c r="G354" s="431" t="s">
        <v>2414</v>
      </c>
    </row>
    <row r="355" spans="1:7" ht="25.9" customHeight="1">
      <c r="A355" s="429">
        <v>352</v>
      </c>
      <c r="B355" s="990" t="s">
        <v>1770</v>
      </c>
      <c r="C355" s="990" t="s">
        <v>1785</v>
      </c>
      <c r="D355" s="956" t="str">
        <f t="shared" si="5"/>
        <v>Wenn S14 zutrifft, ist in S11 n.a. anzuwählen.</v>
      </c>
      <c r="E355" s="430" t="s">
        <v>1784</v>
      </c>
      <c r="F355" s="960" t="s">
        <v>2321</v>
      </c>
      <c r="G355" s="431" t="s">
        <v>2416</v>
      </c>
    </row>
    <row r="356" spans="1:7" ht="25.9" customHeight="1">
      <c r="A356" s="429">
        <v>353</v>
      </c>
      <c r="B356" s="990" t="s">
        <v>53</v>
      </c>
      <c r="C356" s="990" t="s">
        <v>850</v>
      </c>
      <c r="D356" s="956" t="str">
        <f t="shared" si="5"/>
        <v>Projektname:</v>
      </c>
      <c r="E356" s="430" t="s">
        <v>1798</v>
      </c>
      <c r="F356" s="960" t="s">
        <v>2334</v>
      </c>
      <c r="G356" s="431" t="s">
        <v>2429</v>
      </c>
    </row>
    <row r="357" spans="1:7" ht="25.9" customHeight="1">
      <c r="A357" s="429">
        <v>354</v>
      </c>
      <c r="B357" s="990" t="s">
        <v>53</v>
      </c>
      <c r="C357" s="990" t="s">
        <v>550</v>
      </c>
      <c r="D357" s="956" t="str">
        <f t="shared" si="5"/>
        <v>Gebäudehüllzahl</v>
      </c>
      <c r="E357" s="430" t="s">
        <v>176</v>
      </c>
      <c r="F357" s="960" t="s">
        <v>2335</v>
      </c>
      <c r="G357" s="431" t="s">
        <v>2430</v>
      </c>
    </row>
    <row r="358" spans="1:7" ht="25.9" customHeight="1">
      <c r="A358" s="429">
        <v>355</v>
      </c>
      <c r="B358" s="990" t="s">
        <v>53</v>
      </c>
      <c r="C358" s="990" t="s">
        <v>1799</v>
      </c>
      <c r="D358" s="956" t="str">
        <f t="shared" si="5"/>
        <v xml:space="preserve">MOP - Nr.: </v>
      </c>
      <c r="E358" s="430" t="s">
        <v>1800</v>
      </c>
      <c r="F358" s="960" t="s">
        <v>2336</v>
      </c>
      <c r="G358" s="431" t="s">
        <v>2925</v>
      </c>
    </row>
    <row r="359" spans="1:7" ht="25.9" customHeight="1">
      <c r="A359" s="429">
        <v>356</v>
      </c>
      <c r="B359" s="990" t="s">
        <v>53</v>
      </c>
      <c r="C359" s="990" t="s">
        <v>853</v>
      </c>
      <c r="D359" s="956" t="str">
        <f t="shared" si="5"/>
        <v>Gebäudeadresse:</v>
      </c>
      <c r="E359" s="430" t="s">
        <v>1801</v>
      </c>
      <c r="F359" s="960" t="s">
        <v>2337</v>
      </c>
      <c r="G359" s="431" t="s">
        <v>2431</v>
      </c>
    </row>
    <row r="360" spans="1:7" ht="25.9" customHeight="1">
      <c r="A360" s="429">
        <v>357</v>
      </c>
      <c r="B360" s="990" t="s">
        <v>706</v>
      </c>
      <c r="C360" s="990" t="s">
        <v>883</v>
      </c>
      <c r="D360" s="956" t="str">
        <f t="shared" si="5"/>
        <v>Grenzwert für Endenergiebedarf ohne PV</v>
      </c>
      <c r="E360" s="430" t="s">
        <v>1802</v>
      </c>
      <c r="F360" s="960" t="s">
        <v>2338</v>
      </c>
      <c r="G360" s="431" t="s">
        <v>2432</v>
      </c>
    </row>
    <row r="361" spans="1:7" ht="25.9" customHeight="1">
      <c r="A361" s="429">
        <v>358</v>
      </c>
      <c r="B361" s="990" t="s">
        <v>706</v>
      </c>
      <c r="C361" s="990" t="s">
        <v>705</v>
      </c>
      <c r="D361" s="956" t="str">
        <f t="shared" si="5"/>
        <v>Grenzwert für Minergie-Kennzahl MKZ</v>
      </c>
      <c r="E361" s="430" t="s">
        <v>1803</v>
      </c>
      <c r="F361" s="960" t="s">
        <v>2339</v>
      </c>
      <c r="G361" s="431" t="s">
        <v>2433</v>
      </c>
    </row>
    <row r="362" spans="1:7" ht="25.9" customHeight="1">
      <c r="A362" s="429">
        <v>359</v>
      </c>
      <c r="B362" s="990" t="s">
        <v>313</v>
      </c>
      <c r="C362" s="990" t="s">
        <v>1776</v>
      </c>
      <c r="D362" s="956" t="str">
        <f t="shared" si="5"/>
        <v xml:space="preserve"> - Abminderung Armaturen</v>
      </c>
      <c r="E362" s="430" t="s">
        <v>1843</v>
      </c>
      <c r="F362" s="960" t="s">
        <v>2340</v>
      </c>
      <c r="G362" s="1488" t="s">
        <v>2436</v>
      </c>
    </row>
    <row r="363" spans="1:7" ht="25.9" customHeight="1">
      <c r="A363" s="429">
        <v>360</v>
      </c>
      <c r="B363" s="990" t="s">
        <v>313</v>
      </c>
      <c r="C363" s="990" t="s">
        <v>488</v>
      </c>
      <c r="D363" s="956" t="str">
        <f t="shared" si="5"/>
        <v xml:space="preserve"> - Abminderung Warmhaltung</v>
      </c>
      <c r="E363" s="430" t="s">
        <v>1844</v>
      </c>
      <c r="F363" s="960" t="s">
        <v>2341</v>
      </c>
      <c r="G363" s="1488" t="s">
        <v>2437</v>
      </c>
    </row>
    <row r="364" spans="1:7" ht="25.9" customHeight="1">
      <c r="A364" s="429">
        <v>361</v>
      </c>
      <c r="B364" s="990" t="s">
        <v>313</v>
      </c>
      <c r="C364" s="990" t="s">
        <v>873</v>
      </c>
      <c r="D364" s="956" t="str">
        <f t="shared" si="5"/>
        <v>Elektrizität</v>
      </c>
      <c r="E364" s="430" t="s">
        <v>1721</v>
      </c>
      <c r="F364" s="960" t="s">
        <v>2342</v>
      </c>
      <c r="G364" s="431" t="s">
        <v>1468</v>
      </c>
    </row>
    <row r="365" spans="1:7" ht="25.9" customHeight="1">
      <c r="A365" s="429">
        <v>362</v>
      </c>
      <c r="B365" s="990" t="s">
        <v>313</v>
      </c>
      <c r="C365" s="990" t="s">
        <v>875</v>
      </c>
      <c r="D365" s="956" t="str">
        <f t="shared" si="5"/>
        <v>Angaben für Wohnungsnutzung:</v>
      </c>
      <c r="E365" s="430" t="s">
        <v>1728</v>
      </c>
      <c r="F365" s="960" t="s">
        <v>2343</v>
      </c>
      <c r="G365" s="431" t="s">
        <v>2434</v>
      </c>
    </row>
    <row r="366" spans="1:7" ht="25.9" customHeight="1">
      <c r="A366" s="429">
        <v>363</v>
      </c>
      <c r="B366" s="990" t="s">
        <v>313</v>
      </c>
      <c r="C366" s="990" t="s">
        <v>1788</v>
      </c>
      <c r="D366" s="956" t="str">
        <f t="shared" si="5"/>
        <v>Aufzugsanlage / Lift vorhanden?</v>
      </c>
      <c r="E366" s="430" t="s">
        <v>2032</v>
      </c>
      <c r="F366" s="960" t="s">
        <v>2344</v>
      </c>
      <c r="G366" s="431" t="s">
        <v>2435</v>
      </c>
    </row>
    <row r="367" spans="1:7" ht="25.9" customHeight="1">
      <c r="A367" s="429">
        <v>364</v>
      </c>
      <c r="B367" s="990" t="s">
        <v>313</v>
      </c>
      <c r="C367" s="990" t="s">
        <v>97</v>
      </c>
      <c r="D367" s="956" t="str">
        <f t="shared" si="5"/>
        <v>Alle Geschirrspüler Klasse A+++</v>
      </c>
      <c r="E367" s="430" t="s">
        <v>1723</v>
      </c>
      <c r="F367" s="960" t="s">
        <v>2345</v>
      </c>
      <c r="G367" s="431" t="s">
        <v>2438</v>
      </c>
    </row>
    <row r="368" spans="1:7" ht="25.9" customHeight="1">
      <c r="A368" s="429">
        <v>365</v>
      </c>
      <c r="B368" s="990" t="s">
        <v>313</v>
      </c>
      <c r="C368" s="990" t="s">
        <v>98</v>
      </c>
      <c r="D368" s="956" t="str">
        <f t="shared" si="5"/>
        <v>Alle Kühl- und Gefrierschränke A+++</v>
      </c>
      <c r="E368" s="430" t="s">
        <v>1722</v>
      </c>
      <c r="F368" s="960" t="s">
        <v>2346</v>
      </c>
      <c r="G368" s="431" t="s">
        <v>2439</v>
      </c>
    </row>
    <row r="369" spans="1:7" ht="25.9" customHeight="1">
      <c r="A369" s="429">
        <v>366</v>
      </c>
      <c r="B369" s="990" t="s">
        <v>313</v>
      </c>
      <c r="C369" s="990" t="s">
        <v>1816</v>
      </c>
      <c r="D369" s="956" t="str">
        <f t="shared" si="5"/>
        <v>Alle Waschmaschinen Klasse A+++</v>
      </c>
      <c r="E369" s="430" t="s">
        <v>1724</v>
      </c>
      <c r="F369" s="960" t="s">
        <v>2347</v>
      </c>
      <c r="G369" s="431" t="s">
        <v>2440</v>
      </c>
    </row>
    <row r="370" spans="1:7" ht="25.9" customHeight="1">
      <c r="A370" s="429">
        <v>367</v>
      </c>
      <c r="B370" s="990" t="s">
        <v>313</v>
      </c>
      <c r="C370" s="990" t="s">
        <v>438</v>
      </c>
      <c r="D370" s="956" t="str">
        <f t="shared" si="5"/>
        <v>Alle Wäschetrockner Klasse A+++</v>
      </c>
      <c r="E370" s="430" t="s">
        <v>1725</v>
      </c>
      <c r="F370" s="960" t="s">
        <v>2348</v>
      </c>
      <c r="G370" s="431" t="s">
        <v>2441</v>
      </c>
    </row>
    <row r="371" spans="1:7" ht="25.9" customHeight="1">
      <c r="A371" s="429">
        <v>368</v>
      </c>
      <c r="B371" s="990" t="s">
        <v>313</v>
      </c>
      <c r="C371" s="990" t="s">
        <v>380</v>
      </c>
      <c r="D371" s="956" t="str">
        <f t="shared" si="5"/>
        <v>Alles Induktionskochherde</v>
      </c>
      <c r="E371" s="430" t="s">
        <v>1726</v>
      </c>
      <c r="F371" s="960" t="s">
        <v>2349</v>
      </c>
      <c r="G371" s="431" t="s">
        <v>2442</v>
      </c>
    </row>
    <row r="372" spans="1:7" ht="25.9" customHeight="1">
      <c r="A372" s="429">
        <v>369</v>
      </c>
      <c r="B372" s="990" t="s">
        <v>313</v>
      </c>
      <c r="C372" s="990" t="s">
        <v>487</v>
      </c>
      <c r="D372" s="956" t="str">
        <f t="shared" si="5"/>
        <v>Feste Wohnungsbeleuchtung LED A++</v>
      </c>
      <c r="E372" s="430" t="s">
        <v>1727</v>
      </c>
      <c r="F372" s="960" t="s">
        <v>2350</v>
      </c>
      <c r="G372" s="431" t="s">
        <v>2443</v>
      </c>
    </row>
    <row r="373" spans="1:7" ht="25.9" customHeight="1">
      <c r="A373" s="429">
        <v>370</v>
      </c>
      <c r="B373" s="990" t="s">
        <v>313</v>
      </c>
      <c r="C373" s="990" t="s">
        <v>878</v>
      </c>
      <c r="D373" s="956" t="str">
        <f t="shared" si="5"/>
        <v>Beleuchtung LED A++ &amp; Regelung</v>
      </c>
      <c r="E373" s="430" t="s">
        <v>3412</v>
      </c>
      <c r="F373" s="960" t="s">
        <v>3413</v>
      </c>
      <c r="G373" s="431" t="s">
        <v>3414</v>
      </c>
    </row>
    <row r="374" spans="1:7" ht="25.9" customHeight="1">
      <c r="A374" s="429">
        <v>371</v>
      </c>
      <c r="B374" s="990" t="s">
        <v>313</v>
      </c>
      <c r="C374" s="990" t="s">
        <v>883</v>
      </c>
      <c r="D374" s="956" t="str">
        <f t="shared" si="5"/>
        <v>Übrige Nutzungen: Angaben zur Beleuchtung</v>
      </c>
      <c r="E374" s="430" t="s">
        <v>1817</v>
      </c>
      <c r="F374" s="960" t="s">
        <v>2351</v>
      </c>
      <c r="G374" s="431" t="s">
        <v>2444</v>
      </c>
    </row>
    <row r="375" spans="1:7" ht="25.9" customHeight="1">
      <c r="A375" s="429">
        <v>372</v>
      </c>
      <c r="B375" s="990" t="s">
        <v>313</v>
      </c>
      <c r="C375" s="990" t="s">
        <v>847</v>
      </c>
      <c r="D375" s="956" t="str">
        <f t="shared" si="5"/>
        <v>Zusatzangaben für den</v>
      </c>
      <c r="E375" s="430" t="s">
        <v>1731</v>
      </c>
      <c r="F375" s="960" t="s">
        <v>2352</v>
      </c>
      <c r="G375" s="431" t="s">
        <v>2445</v>
      </c>
    </row>
    <row r="376" spans="1:7" ht="25.9" customHeight="1">
      <c r="A376" s="429">
        <v>373</v>
      </c>
      <c r="B376" s="990" t="s">
        <v>313</v>
      </c>
      <c r="C376" s="990" t="s">
        <v>848</v>
      </c>
      <c r="D376" s="956" t="str">
        <f t="shared" si="5"/>
        <v>Minergie-Nachweis</v>
      </c>
      <c r="E376" s="430" t="s">
        <v>2878</v>
      </c>
      <c r="F376" s="960" t="s">
        <v>2879</v>
      </c>
      <c r="G376" s="431" t="s">
        <v>2446</v>
      </c>
    </row>
    <row r="377" spans="1:7" ht="25.9" customHeight="1">
      <c r="A377" s="429">
        <v>374</v>
      </c>
      <c r="B377" s="990" t="s">
        <v>313</v>
      </c>
      <c r="C377" s="990" t="s">
        <v>885</v>
      </c>
      <c r="D377" s="956" t="str">
        <f t="shared" si="5"/>
        <v xml:space="preserve">Leuchten: Minergie-Modul/Lichtausbe. &gt;100 lm/W </v>
      </c>
      <c r="E377" s="430" t="s">
        <v>2880</v>
      </c>
      <c r="F377" s="960" t="s">
        <v>2353</v>
      </c>
      <c r="G377" s="431" t="s">
        <v>2918</v>
      </c>
    </row>
    <row r="378" spans="1:7" ht="25.9" customHeight="1">
      <c r="A378" s="429">
        <v>375</v>
      </c>
      <c r="B378" s="990" t="s">
        <v>313</v>
      </c>
      <c r="C378" s="990" t="s">
        <v>1791</v>
      </c>
      <c r="D378" s="956" t="str">
        <f t="shared" si="5"/>
        <v>Lichtsteuerung Präsenz-/ Tageslichtsensor</v>
      </c>
      <c r="E378" s="430" t="s">
        <v>2881</v>
      </c>
      <c r="F378" s="960" t="s">
        <v>2354</v>
      </c>
      <c r="G378" s="431" t="s">
        <v>2882</v>
      </c>
    </row>
    <row r="379" spans="1:7" ht="25.9" customHeight="1">
      <c r="A379" s="429">
        <v>376</v>
      </c>
      <c r="B379" s="990" t="s">
        <v>313</v>
      </c>
      <c r="C379" s="990" t="s">
        <v>1068</v>
      </c>
      <c r="D379" s="956" t="str">
        <f t="shared" si="5"/>
        <v>Photovoltaik-Anlage</v>
      </c>
      <c r="E379" s="430" t="s">
        <v>1729</v>
      </c>
      <c r="F379" s="960" t="s">
        <v>1612</v>
      </c>
      <c r="G379" s="431" t="s">
        <v>2447</v>
      </c>
    </row>
    <row r="380" spans="1:7" ht="25.9" customHeight="1">
      <c r="A380" s="429">
        <v>377</v>
      </c>
      <c r="B380" s="990" t="s">
        <v>313</v>
      </c>
      <c r="C380" s="990" t="s">
        <v>1871</v>
      </c>
      <c r="D380" s="956" t="str">
        <f t="shared" si="5"/>
        <v>Jahresertrag [kWh/m2]</v>
      </c>
      <c r="E380" s="430" t="s">
        <v>1730</v>
      </c>
      <c r="F380" s="960" t="s">
        <v>2355</v>
      </c>
      <c r="G380" s="431" t="s">
        <v>2448</v>
      </c>
    </row>
    <row r="381" spans="1:7" ht="25.9" customHeight="1">
      <c r="A381" s="429">
        <v>378</v>
      </c>
      <c r="B381" s="990" t="s">
        <v>313</v>
      </c>
      <c r="C381" s="990" t="s">
        <v>2138</v>
      </c>
      <c r="D381" s="956" t="str">
        <f t="shared" si="5"/>
        <v>Eigenverbrauchsrate [%]</v>
      </c>
      <c r="E381" s="430" t="s">
        <v>2726</v>
      </c>
      <c r="F381" s="960" t="s">
        <v>2356</v>
      </c>
      <c r="G381" s="431" t="s">
        <v>2449</v>
      </c>
    </row>
    <row r="382" spans="1:7" ht="25.9" customHeight="1">
      <c r="A382" s="429">
        <v>379</v>
      </c>
      <c r="B382" s="990" t="s">
        <v>313</v>
      </c>
      <c r="C382" s="990" t="s">
        <v>944</v>
      </c>
      <c r="D382" s="956" t="str">
        <f t="shared" si="5"/>
        <v>Installierte Leistung (ohne WKK)  [kWp]</v>
      </c>
      <c r="E382" s="430" t="s">
        <v>2722</v>
      </c>
      <c r="F382" s="960" t="s">
        <v>2723</v>
      </c>
      <c r="G382" s="431" t="s">
        <v>2580</v>
      </c>
    </row>
    <row r="383" spans="1:7" ht="25.9" customHeight="1">
      <c r="A383" s="429">
        <v>380</v>
      </c>
      <c r="B383" s="990" t="s">
        <v>313</v>
      </c>
      <c r="C383" s="990" t="s">
        <v>946</v>
      </c>
      <c r="D383" s="956" t="str">
        <f t="shared" si="5"/>
        <v>Netto-Jahresertrag [kWh/kWp] (Berechnung beilegen)</v>
      </c>
      <c r="E383" s="430" t="s">
        <v>1161</v>
      </c>
      <c r="F383" s="960" t="s">
        <v>2357</v>
      </c>
      <c r="G383" s="431" t="s">
        <v>2450</v>
      </c>
    </row>
    <row r="384" spans="1:7" ht="25.9" customHeight="1">
      <c r="A384" s="429">
        <v>381</v>
      </c>
      <c r="B384" s="990" t="s">
        <v>313</v>
      </c>
      <c r="C384" s="990" t="s">
        <v>1870</v>
      </c>
      <c r="D384" s="956" t="str">
        <f t="shared" si="5"/>
        <v>Weitere Anforderungen</v>
      </c>
      <c r="E384" s="430" t="s">
        <v>1836</v>
      </c>
      <c r="F384" s="960" t="s">
        <v>2358</v>
      </c>
      <c r="G384" s="431" t="s">
        <v>2451</v>
      </c>
    </row>
    <row r="385" spans="1:7" ht="25.9" customHeight="1">
      <c r="A385" s="429">
        <v>382</v>
      </c>
      <c r="B385" s="990" t="s">
        <v>313</v>
      </c>
      <c r="C385" s="990" t="s">
        <v>1869</v>
      </c>
      <c r="D385" s="956" t="str">
        <f t="shared" si="5"/>
        <v>Selbstdeklaration/Bestätigung</v>
      </c>
      <c r="E385" s="430" t="s">
        <v>84</v>
      </c>
      <c r="F385" s="960" t="s">
        <v>2359</v>
      </c>
      <c r="G385" s="431" t="s">
        <v>2452</v>
      </c>
    </row>
    <row r="386" spans="1:7" ht="25.9" customHeight="1">
      <c r="A386" s="429">
        <v>383</v>
      </c>
      <c r="B386" s="990" t="s">
        <v>313</v>
      </c>
      <c r="C386" s="990" t="s">
        <v>2139</v>
      </c>
      <c r="D386" s="956" t="str">
        <f t="shared" si="5"/>
        <v xml:space="preserve">Anforderung erfüllt?    </v>
      </c>
      <c r="E386" s="430" t="s">
        <v>3027</v>
      </c>
      <c r="F386" s="960" t="s">
        <v>3025</v>
      </c>
      <c r="G386" s="431" t="s">
        <v>3026</v>
      </c>
    </row>
    <row r="387" spans="1:7" ht="25.9" customHeight="1">
      <c r="A387" s="429">
        <v>384</v>
      </c>
      <c r="B387" s="990" t="s">
        <v>313</v>
      </c>
      <c r="C387" s="990" t="s">
        <v>1868</v>
      </c>
      <c r="D387" s="956" t="str">
        <f t="shared" si="5"/>
        <v>Anforderung</v>
      </c>
      <c r="E387" s="430" t="s">
        <v>494</v>
      </c>
      <c r="F387" s="960" t="s">
        <v>2360</v>
      </c>
      <c r="G387" s="431" t="s">
        <v>2453</v>
      </c>
    </row>
    <row r="388" spans="1:7" ht="25.9" customHeight="1">
      <c r="A388" s="429">
        <v>385</v>
      </c>
      <c r="B388" s="990" t="s">
        <v>313</v>
      </c>
      <c r="C388" s="990" t="s">
        <v>1867</v>
      </c>
      <c r="D388" s="956" t="str">
        <f t="shared" si="5"/>
        <v>Objektwert</v>
      </c>
      <c r="E388" s="430" t="s">
        <v>166</v>
      </c>
      <c r="F388" s="960" t="s">
        <v>2361</v>
      </c>
      <c r="G388" s="431" t="s">
        <v>2454</v>
      </c>
    </row>
    <row r="389" spans="1:7" ht="25.9" customHeight="1">
      <c r="A389" s="429">
        <v>386</v>
      </c>
      <c r="B389" s="990" t="s">
        <v>622</v>
      </c>
      <c r="C389" s="990" t="s">
        <v>1821</v>
      </c>
      <c r="D389" s="956" t="str">
        <f t="shared" ref="D389:D452" si="6">INDEX($E$4:$G$503,$A389,$A$1)</f>
        <v>Luftdichtheit der Hüllfläche</v>
      </c>
      <c r="E389" s="430" t="s">
        <v>2719</v>
      </c>
      <c r="F389" s="960" t="s">
        <v>2720</v>
      </c>
      <c r="G389" s="431" t="s">
        <v>2721</v>
      </c>
    </row>
    <row r="390" spans="1:7" ht="25.9" customHeight="1">
      <c r="A390" s="429">
        <v>387</v>
      </c>
      <c r="B390" s="990" t="s">
        <v>622</v>
      </c>
      <c r="C390" s="990" t="s">
        <v>1822</v>
      </c>
      <c r="D390" s="956" t="str">
        <f t="shared" si="6"/>
        <v>Luftdichtheit der Hüllfläche, Erneuerung</v>
      </c>
      <c r="E390" s="430" t="s">
        <v>2570</v>
      </c>
      <c r="F390" s="960" t="s">
        <v>2362</v>
      </c>
      <c r="G390" s="431" t="s">
        <v>2455</v>
      </c>
    </row>
    <row r="391" spans="1:7" ht="25.9" customHeight="1">
      <c r="A391" s="429">
        <v>388</v>
      </c>
      <c r="B391" s="990" t="s">
        <v>313</v>
      </c>
      <c r="C391" s="990" t="s">
        <v>877</v>
      </c>
      <c r="D391" s="956" t="str">
        <f t="shared" si="6"/>
        <v>Effiziente Geräte Gebäudebetrieb/Wohnnutzung</v>
      </c>
      <c r="E391" s="430" t="s">
        <v>2883</v>
      </c>
      <c r="F391" s="960" t="s">
        <v>2581</v>
      </c>
      <c r="G391" s="431" t="s">
        <v>2579</v>
      </c>
    </row>
    <row r="392" spans="1:7" ht="25.9" customHeight="1">
      <c r="A392" s="429">
        <v>389</v>
      </c>
      <c r="B392" s="990" t="s">
        <v>622</v>
      </c>
      <c r="C392" s="990" t="s">
        <v>1823</v>
      </c>
      <c r="D392" s="956" t="str">
        <f t="shared" si="6"/>
        <v>Warmwasser</v>
      </c>
      <c r="E392" s="430" t="s">
        <v>244</v>
      </c>
      <c r="F392" s="960" t="s">
        <v>1661</v>
      </c>
      <c r="G392" s="431" t="s">
        <v>2456</v>
      </c>
    </row>
    <row r="393" spans="1:7" ht="25.9" customHeight="1">
      <c r="A393" s="429">
        <v>390</v>
      </c>
      <c r="B393" s="990" t="s">
        <v>622</v>
      </c>
      <c r="C393" s="990" t="s">
        <v>1824</v>
      </c>
      <c r="D393" s="956" t="str">
        <f t="shared" si="6"/>
        <v>Abwärme aus gewerblicher Kälte</v>
      </c>
      <c r="E393" s="430" t="s">
        <v>195</v>
      </c>
      <c r="F393" s="960" t="s">
        <v>2363</v>
      </c>
      <c r="G393" s="431" t="s">
        <v>2457</v>
      </c>
    </row>
    <row r="394" spans="1:7" ht="25.9" customHeight="1">
      <c r="A394" s="429">
        <v>391</v>
      </c>
      <c r="B394" s="990" t="s">
        <v>622</v>
      </c>
      <c r="C394" s="990" t="s">
        <v>1825</v>
      </c>
      <c r="D394" s="956" t="str">
        <f t="shared" si="6"/>
        <v>Abwärme</v>
      </c>
      <c r="E394" s="430" t="s">
        <v>38</v>
      </c>
      <c r="F394" s="960" t="s">
        <v>2364</v>
      </c>
      <c r="G394" s="431" t="s">
        <v>2458</v>
      </c>
    </row>
    <row r="395" spans="1:7" ht="25.9" customHeight="1">
      <c r="A395" s="429">
        <v>392</v>
      </c>
      <c r="B395" s="990" t="s">
        <v>622</v>
      </c>
      <c r="C395" s="990" t="s">
        <v>1827</v>
      </c>
      <c r="D395" s="956" t="str">
        <f t="shared" si="6"/>
        <v>Nutzung der Abwärme</v>
      </c>
      <c r="E395" s="430" t="s">
        <v>1826</v>
      </c>
      <c r="F395" s="960" t="s">
        <v>2365</v>
      </c>
      <c r="G395" s="431" t="s">
        <v>2459</v>
      </c>
    </row>
    <row r="396" spans="1:7" ht="25.9" customHeight="1">
      <c r="A396" s="429">
        <v>393</v>
      </c>
      <c r="B396" s="990" t="s">
        <v>622</v>
      </c>
      <c r="C396" s="990" t="s">
        <v>1828</v>
      </c>
      <c r="D396" s="956" t="str">
        <f t="shared" si="6"/>
        <v>Optimierter Betrieb Hallenbad</v>
      </c>
      <c r="E396" s="430" t="s">
        <v>167</v>
      </c>
      <c r="F396" s="960" t="s">
        <v>2366</v>
      </c>
      <c r="G396" s="431" t="s">
        <v>2460</v>
      </c>
    </row>
    <row r="397" spans="1:7" ht="25.9" customHeight="1">
      <c r="A397" s="429">
        <v>394</v>
      </c>
      <c r="B397" s="990" t="s">
        <v>622</v>
      </c>
      <c r="C397" s="990" t="s">
        <v>1824</v>
      </c>
      <c r="D397" s="956" t="str">
        <f t="shared" si="6"/>
        <v>Einsatz erneuerbarer Energien</v>
      </c>
      <c r="E397" s="430" t="s">
        <v>1958</v>
      </c>
      <c r="F397" s="960" t="s">
        <v>2367</v>
      </c>
      <c r="G397" s="431" t="s">
        <v>2461</v>
      </c>
    </row>
    <row r="398" spans="1:7" ht="25.9" customHeight="1">
      <c r="A398" s="429">
        <v>395</v>
      </c>
      <c r="B398" s="990" t="s">
        <v>622</v>
      </c>
      <c r="C398" s="990" t="s">
        <v>1957</v>
      </c>
      <c r="D398" s="956" t="str">
        <f t="shared" si="6"/>
        <v>Fällt Abwärme an?</v>
      </c>
      <c r="E398" s="430" t="s">
        <v>37</v>
      </c>
      <c r="F398" s="960" t="s">
        <v>2368</v>
      </c>
      <c r="G398" s="431" t="s">
        <v>2462</v>
      </c>
    </row>
    <row r="399" spans="1:7" ht="25.9" customHeight="1">
      <c r="A399" s="429">
        <v>396</v>
      </c>
      <c r="B399" s="990" t="s">
        <v>622</v>
      </c>
      <c r="C399" s="990" t="s">
        <v>1829</v>
      </c>
      <c r="D399" s="956" t="str">
        <f t="shared" si="6"/>
        <v>20% mit erneuerbarer Energie gedeckt?</v>
      </c>
      <c r="E399" s="430" t="s">
        <v>1946</v>
      </c>
      <c r="F399" s="960" t="s">
        <v>2369</v>
      </c>
      <c r="G399" s="431" t="s">
        <v>2463</v>
      </c>
    </row>
    <row r="400" spans="1:7" ht="25.9" customHeight="1">
      <c r="A400" s="429">
        <v>397</v>
      </c>
      <c r="B400" s="990" t="s">
        <v>622</v>
      </c>
      <c r="C400" s="990" t="s">
        <v>1830</v>
      </c>
      <c r="D400" s="956" t="str">
        <f t="shared" si="6"/>
        <v>Luftdichtheit qa,50 &lt; 1.2 m3/(h*m2)</v>
      </c>
      <c r="E400" s="430" t="s">
        <v>2571</v>
      </c>
      <c r="F400" s="960" t="s">
        <v>2370</v>
      </c>
      <c r="G400" s="431" t="s">
        <v>2464</v>
      </c>
    </row>
    <row r="401" spans="1:7" ht="25.9" customHeight="1">
      <c r="A401" s="429">
        <v>398</v>
      </c>
      <c r="B401" s="990" t="s">
        <v>622</v>
      </c>
      <c r="C401" s="990" t="s">
        <v>1830</v>
      </c>
      <c r="D401" s="956" t="str">
        <f t="shared" si="6"/>
        <v>Luftdichtheit qa,50 &lt; 0.8 m3/(h*m2)</v>
      </c>
      <c r="E401" s="430" t="s">
        <v>2572</v>
      </c>
      <c r="F401" s="960" t="s">
        <v>2371</v>
      </c>
      <c r="G401" s="431" t="s">
        <v>2465</v>
      </c>
    </row>
    <row r="402" spans="1:7" ht="25.9" customHeight="1">
      <c r="A402" s="429">
        <v>399</v>
      </c>
      <c r="B402" s="990" t="s">
        <v>622</v>
      </c>
      <c r="C402" s="990" t="s">
        <v>1832</v>
      </c>
      <c r="D402" s="956" t="str">
        <f t="shared" si="6"/>
        <v>Wird die Abwärme genutzt?</v>
      </c>
      <c r="E402" s="430" t="s">
        <v>1831</v>
      </c>
      <c r="F402" s="960" t="s">
        <v>2372</v>
      </c>
      <c r="G402" s="431" t="s">
        <v>2466</v>
      </c>
    </row>
    <row r="403" spans="1:7" ht="25.9" customHeight="1">
      <c r="A403" s="429">
        <v>400</v>
      </c>
      <c r="B403" s="990" t="s">
        <v>622</v>
      </c>
      <c r="C403" s="990" t="s">
        <v>1833</v>
      </c>
      <c r="D403" s="956" t="str">
        <f t="shared" si="6"/>
        <v>WRG mit WP bei Lüftung, WRG aus Badwasser</v>
      </c>
      <c r="E403" s="430" t="s">
        <v>528</v>
      </c>
      <c r="F403" s="960" t="s">
        <v>2373</v>
      </c>
      <c r="G403" s="431" t="s">
        <v>2467</v>
      </c>
    </row>
    <row r="404" spans="1:7" ht="25.9" customHeight="1">
      <c r="A404" s="429">
        <v>401</v>
      </c>
      <c r="B404" s="990" t="s">
        <v>622</v>
      </c>
      <c r="C404" s="990" t="s">
        <v>1052</v>
      </c>
      <c r="D404" s="956" t="str">
        <f t="shared" si="6"/>
        <v>Luftdichtheit qa,50 &lt; 1.6 m3/(h*m2)</v>
      </c>
      <c r="E404" s="430" t="s">
        <v>2573</v>
      </c>
      <c r="F404" s="960" t="s">
        <v>2374</v>
      </c>
      <c r="G404" s="431" t="s">
        <v>2468</v>
      </c>
    </row>
    <row r="405" spans="1:7" ht="25.9" customHeight="1">
      <c r="A405" s="429">
        <v>402</v>
      </c>
      <c r="B405" s="990" t="s">
        <v>622</v>
      </c>
      <c r="C405" s="990" t="s">
        <v>1956</v>
      </c>
      <c r="D405" s="956" t="str">
        <f t="shared" si="6"/>
        <v>Maximal 30% fossile Spitzenlast?</v>
      </c>
      <c r="E405" s="430" t="s">
        <v>1959</v>
      </c>
      <c r="F405" s="960" t="s">
        <v>2375</v>
      </c>
      <c r="G405" s="431" t="s">
        <v>2469</v>
      </c>
    </row>
    <row r="406" spans="1:7" ht="25.9" customHeight="1">
      <c r="A406" s="429">
        <v>403</v>
      </c>
      <c r="B406" s="990" t="s">
        <v>622</v>
      </c>
      <c r="C406" s="990" t="s">
        <v>1830</v>
      </c>
      <c r="D406" s="956" t="str">
        <f t="shared" si="6"/>
        <v>Konzept Lufdichtheit beigelegt?</v>
      </c>
      <c r="E406" s="430" t="s">
        <v>3029</v>
      </c>
      <c r="F406" s="960" t="s">
        <v>3028</v>
      </c>
      <c r="G406" s="431" t="s">
        <v>3589</v>
      </c>
    </row>
    <row r="407" spans="1:7" ht="25.9" customHeight="1">
      <c r="A407" s="429">
        <v>404</v>
      </c>
      <c r="B407" s="990" t="s">
        <v>313</v>
      </c>
      <c r="C407" s="990" t="s">
        <v>1818</v>
      </c>
      <c r="D407" s="956" t="str">
        <f t="shared" si="6"/>
        <v>Beleuchtung: Projektwert SIA 387/4 (ungew.)</v>
      </c>
      <c r="E407" s="430" t="s">
        <v>3433</v>
      </c>
      <c r="F407" s="960" t="s">
        <v>3434</v>
      </c>
      <c r="G407" s="431" t="s">
        <v>3435</v>
      </c>
    </row>
    <row r="408" spans="1:7" ht="25.9" customHeight="1">
      <c r="A408" s="429">
        <v>405</v>
      </c>
      <c r="B408" s="990" t="s">
        <v>313</v>
      </c>
      <c r="C408" s="990" t="s">
        <v>938</v>
      </c>
      <c r="D408" s="956" t="str">
        <f t="shared" si="6"/>
        <v>Beleuchtung: Mittelwert SIA 387/4 (ungew.)</v>
      </c>
      <c r="E408" s="430" t="s">
        <v>3561</v>
      </c>
      <c r="F408" s="960" t="s">
        <v>3562</v>
      </c>
      <c r="G408" s="431" t="s">
        <v>3563</v>
      </c>
    </row>
    <row r="409" spans="1:7" ht="25.9" customHeight="1">
      <c r="A409" s="429">
        <v>406</v>
      </c>
      <c r="B409" s="990" t="s">
        <v>313</v>
      </c>
      <c r="C409" s="990" t="s">
        <v>1866</v>
      </c>
      <c r="D409" s="956" t="str">
        <f t="shared" si="6"/>
        <v>Anforderung Beleuchtung eingehalten?</v>
      </c>
      <c r="E409" s="430" t="s">
        <v>1835</v>
      </c>
      <c r="F409" s="960" t="s">
        <v>2376</v>
      </c>
      <c r="G409" s="431" t="s">
        <v>2470</v>
      </c>
    </row>
    <row r="410" spans="1:7" ht="25.9" customHeight="1">
      <c r="A410" s="429">
        <v>407</v>
      </c>
      <c r="B410" s="990" t="s">
        <v>313</v>
      </c>
      <c r="C410" s="990" t="s">
        <v>496</v>
      </c>
      <c r="D410" s="956" t="str">
        <f t="shared" si="6"/>
        <v>Anzahl Wohneinheiten</v>
      </c>
      <c r="E410" s="430" t="s">
        <v>2300</v>
      </c>
      <c r="F410" s="960" t="s">
        <v>2582</v>
      </c>
      <c r="G410" s="431" t="s">
        <v>2578</v>
      </c>
    </row>
    <row r="411" spans="1:7" ht="25.9" customHeight="1">
      <c r="A411" s="429">
        <v>408</v>
      </c>
      <c r="B411" s="990" t="s">
        <v>313</v>
      </c>
      <c r="C411" s="990" t="s">
        <v>1778</v>
      </c>
      <c r="D411" s="956" t="str">
        <f t="shared" si="6"/>
        <v xml:space="preserve"> - Länge Warmhaltebänder</v>
      </c>
      <c r="E411" s="457" t="s">
        <v>1860</v>
      </c>
      <c r="F411" s="960" t="s">
        <v>2377</v>
      </c>
      <c r="G411" s="1488" t="s">
        <v>2488</v>
      </c>
    </row>
    <row r="412" spans="1:7" ht="25.9" customHeight="1">
      <c r="A412" s="429">
        <v>409</v>
      </c>
      <c r="B412" s="990" t="s">
        <v>313</v>
      </c>
      <c r="C412" s="990" t="s">
        <v>884</v>
      </c>
      <c r="D412" s="956" t="str">
        <f t="shared" si="6"/>
        <v>Beleuchtung: Umfassende Sanierung?</v>
      </c>
      <c r="E412" s="430" t="s">
        <v>1865</v>
      </c>
      <c r="F412" s="960" t="s">
        <v>2378</v>
      </c>
      <c r="G412" s="431" t="s">
        <v>2471</v>
      </c>
    </row>
    <row r="413" spans="1:7" ht="25.9" customHeight="1">
      <c r="A413" s="429">
        <v>410</v>
      </c>
      <c r="B413" s="990" t="s">
        <v>313</v>
      </c>
      <c r="C413" s="990" t="s">
        <v>2137</v>
      </c>
      <c r="D413" s="956" t="str">
        <f t="shared" si="6"/>
        <v>spezifischer Jahresertrag [kWh/kWp]</v>
      </c>
      <c r="E413" s="430" t="s">
        <v>2727</v>
      </c>
      <c r="F413" s="960" t="s">
        <v>3189</v>
      </c>
      <c r="G413" s="431" t="s">
        <v>3190</v>
      </c>
    </row>
    <row r="414" spans="1:7" ht="25.9" customHeight="1">
      <c r="A414" s="429">
        <v>411</v>
      </c>
      <c r="B414" s="990" t="s">
        <v>313</v>
      </c>
      <c r="C414" s="990" t="s">
        <v>947</v>
      </c>
      <c r="D414" s="956" t="str">
        <f t="shared" si="6"/>
        <v>spezifische, installierte Leistung pro m2 EBF:</v>
      </c>
      <c r="E414" s="430" t="s">
        <v>1888</v>
      </c>
      <c r="F414" s="960" t="s">
        <v>2379</v>
      </c>
      <c r="G414" s="431" t="s">
        <v>2472</v>
      </c>
    </row>
    <row r="415" spans="1:7" ht="25.9" customHeight="1">
      <c r="A415" s="429">
        <v>412</v>
      </c>
      <c r="B415" s="990" t="s">
        <v>622</v>
      </c>
      <c r="C415" s="990" t="s">
        <v>1834</v>
      </c>
      <c r="D415" s="956" t="str">
        <f t="shared" si="6"/>
        <v>Grosse Eingriffe in  Gebäudetechnik?</v>
      </c>
      <c r="E415" s="430" t="s">
        <v>1963</v>
      </c>
      <c r="F415" s="960" t="s">
        <v>2380</v>
      </c>
      <c r="G415" s="431" t="s">
        <v>2473</v>
      </c>
    </row>
    <row r="416" spans="1:7" ht="25.9" customHeight="1">
      <c r="A416" s="429">
        <v>413</v>
      </c>
      <c r="B416" s="990" t="s">
        <v>622</v>
      </c>
      <c r="C416" s="990" t="s">
        <v>1962</v>
      </c>
      <c r="D416" s="956" t="str">
        <f t="shared" si="6"/>
        <v>Monitoringkonzept</v>
      </c>
      <c r="E416" s="430" t="s">
        <v>1960</v>
      </c>
      <c r="F416" s="960" t="s">
        <v>2381</v>
      </c>
      <c r="G416" s="431" t="s">
        <v>2474</v>
      </c>
    </row>
    <row r="417" spans="1:7" ht="25.9" customHeight="1">
      <c r="A417" s="429">
        <v>414</v>
      </c>
      <c r="B417" s="990" t="s">
        <v>622</v>
      </c>
      <c r="C417" s="990" t="s">
        <v>1965</v>
      </c>
      <c r="D417" s="956" t="str">
        <f t="shared" si="6"/>
        <v>Monitoringkonzept beigelegt?</v>
      </c>
      <c r="E417" s="430" t="s">
        <v>1966</v>
      </c>
      <c r="F417" s="960" t="s">
        <v>2382</v>
      </c>
      <c r="G417" s="431" t="s">
        <v>2475</v>
      </c>
    </row>
    <row r="418" spans="1:7" ht="25.9" customHeight="1">
      <c r="A418" s="429">
        <v>415</v>
      </c>
      <c r="B418" s="990" t="s">
        <v>1820</v>
      </c>
      <c r="C418" s="990" t="s">
        <v>1778</v>
      </c>
      <c r="D418" s="956" t="str">
        <f t="shared" si="6"/>
        <v>Projekt</v>
      </c>
      <c r="E418" s="430" t="s">
        <v>1910</v>
      </c>
      <c r="F418" s="960" t="s">
        <v>2383</v>
      </c>
      <c r="G418" s="431" t="s">
        <v>2476</v>
      </c>
    </row>
    <row r="419" spans="1:7" ht="25.9" customHeight="1">
      <c r="A419" s="429">
        <v>416</v>
      </c>
      <c r="B419" s="990" t="s">
        <v>1820</v>
      </c>
      <c r="C419" s="990" t="s">
        <v>853</v>
      </c>
      <c r="D419" s="956" t="str">
        <f t="shared" si="6"/>
        <v>Anleitung</v>
      </c>
      <c r="E419" s="430" t="s">
        <v>1901</v>
      </c>
      <c r="F419" s="960" t="s">
        <v>2384</v>
      </c>
      <c r="G419" s="431" t="s">
        <v>2477</v>
      </c>
    </row>
    <row r="420" spans="1:7" ht="45" customHeight="1">
      <c r="A420" s="429">
        <v>417</v>
      </c>
      <c r="B420" s="990" t="s">
        <v>1820</v>
      </c>
      <c r="C420" s="990" t="s">
        <v>1913</v>
      </c>
      <c r="D420" s="956" t="str">
        <f t="shared" si="6"/>
        <v xml:space="preserve">Dieses Nachweisformular dient zum Nachweis der Standards Minergie, Minergie-P und Minergie-A. Der entsprechende Standard </v>
      </c>
      <c r="E420" s="430" t="s">
        <v>1902</v>
      </c>
      <c r="F420" s="960" t="s">
        <v>2911</v>
      </c>
      <c r="G420" s="431" t="s">
        <v>3590</v>
      </c>
    </row>
    <row r="421" spans="1:7" ht="42" customHeight="1">
      <c r="A421" s="429">
        <v>418</v>
      </c>
      <c r="B421" s="990" t="s">
        <v>1820</v>
      </c>
      <c r="C421" s="990" t="s">
        <v>1774</v>
      </c>
      <c r="D421" s="956" t="str">
        <f t="shared" si="6"/>
        <v>kann im Blatt "Eingabe" ausgewählt werden. Der ausgefüllte Nachweis wird auf der Minergie-Online-Plattform (MOP) hochgeladen.</v>
      </c>
      <c r="E421" s="430" t="s">
        <v>1903</v>
      </c>
      <c r="F421" s="960" t="s">
        <v>2910</v>
      </c>
      <c r="G421" s="431" t="s">
        <v>2915</v>
      </c>
    </row>
    <row r="422" spans="1:7" ht="42.75" customHeight="1">
      <c r="A422" s="429">
        <v>419</v>
      </c>
      <c r="B422" s="990" t="s">
        <v>1820</v>
      </c>
      <c r="C422" s="990" t="s">
        <v>1052</v>
      </c>
      <c r="D422" s="956" t="str">
        <f t="shared" si="6"/>
        <v>Das Antragsformular wird nach der Einreichung auf der MOP automatisch generiert. Der unterschriebene Antrag, dieses Nachweis-</v>
      </c>
      <c r="E422" s="430" t="s">
        <v>1904</v>
      </c>
      <c r="F422" s="960" t="s">
        <v>2912</v>
      </c>
      <c r="G422" s="431" t="s">
        <v>2917</v>
      </c>
    </row>
    <row r="423" spans="1:7" ht="45" customHeight="1">
      <c r="A423" s="429">
        <v>420</v>
      </c>
      <c r="B423" s="990" t="s">
        <v>1820</v>
      </c>
      <c r="C423" s="990" t="s">
        <v>1775</v>
      </c>
      <c r="D423" s="956" t="str">
        <f t="shared" si="6"/>
        <v>formular, sowie weitere auf dem Antrag vermerkte Unterlagen sind der zuständigen Zertifizierungsstelle schriftlich einzureichen.</v>
      </c>
      <c r="E423" s="430" t="s">
        <v>1905</v>
      </c>
      <c r="F423" s="960" t="s">
        <v>2913</v>
      </c>
      <c r="G423" s="431" t="s">
        <v>2916</v>
      </c>
    </row>
    <row r="424" spans="1:7" ht="36" customHeight="1">
      <c r="A424" s="429">
        <v>421</v>
      </c>
      <c r="B424" s="990" t="s">
        <v>1820</v>
      </c>
      <c r="C424" s="990" t="s">
        <v>854</v>
      </c>
      <c r="D424" s="956" t="str">
        <f t="shared" si="6"/>
        <v>Folgende Farbcodierung ist beim Ausfüllen des Nachweisformulars zu beachten:</v>
      </c>
      <c r="E424" s="430" t="s">
        <v>1906</v>
      </c>
      <c r="F424" s="960" t="s">
        <v>2914</v>
      </c>
      <c r="G424" s="431" t="s">
        <v>2478</v>
      </c>
    </row>
    <row r="425" spans="1:7" ht="25.9" customHeight="1">
      <c r="A425" s="429">
        <v>422</v>
      </c>
      <c r="B425" s="990" t="s">
        <v>1820</v>
      </c>
      <c r="C425" s="990" t="s">
        <v>859</v>
      </c>
      <c r="D425" s="956" t="str">
        <f t="shared" si="6"/>
        <v>Eingabefeld (Pflicht)</v>
      </c>
      <c r="E425" s="430" t="s">
        <v>1907</v>
      </c>
      <c r="F425" s="960" t="s">
        <v>2385</v>
      </c>
      <c r="G425" s="431" t="s">
        <v>2479</v>
      </c>
    </row>
    <row r="426" spans="1:7" ht="25.9" customHeight="1">
      <c r="A426" s="429">
        <v>423</v>
      </c>
      <c r="B426" s="990" t="s">
        <v>1820</v>
      </c>
      <c r="C426" s="990" t="s">
        <v>1914</v>
      </c>
      <c r="D426" s="956" t="str">
        <f t="shared" si="6"/>
        <v>Eingabefeld (Fakultativ)</v>
      </c>
      <c r="E426" s="430" t="s">
        <v>1908</v>
      </c>
      <c r="F426" s="960" t="s">
        <v>2386</v>
      </c>
      <c r="G426" s="431" t="s">
        <v>2480</v>
      </c>
    </row>
    <row r="427" spans="1:7" ht="25.9" customHeight="1">
      <c r="A427" s="429">
        <v>424</v>
      </c>
      <c r="B427" s="990" t="s">
        <v>1820</v>
      </c>
      <c r="C427" s="990" t="s">
        <v>1915</v>
      </c>
      <c r="D427" s="956" t="str">
        <f t="shared" si="6"/>
        <v>Auswahlfeld (Pflicht)</v>
      </c>
      <c r="E427" s="430" t="s">
        <v>1909</v>
      </c>
      <c r="F427" s="960" t="s">
        <v>2387</v>
      </c>
      <c r="G427" s="431" t="s">
        <v>2481</v>
      </c>
    </row>
    <row r="428" spans="1:7" ht="25.9" customHeight="1">
      <c r="A428" s="429">
        <v>425</v>
      </c>
      <c r="B428" s="990" t="s">
        <v>1820</v>
      </c>
      <c r="C428" s="990" t="s">
        <v>871</v>
      </c>
      <c r="D428" s="956" t="str">
        <f t="shared" si="6"/>
        <v>Erfüllung der Hauptanforderung</v>
      </c>
      <c r="E428" s="430" t="s">
        <v>1911</v>
      </c>
      <c r="F428" s="960" t="s">
        <v>2388</v>
      </c>
      <c r="G428" s="431" t="s">
        <v>2482</v>
      </c>
    </row>
    <row r="429" spans="1:7" ht="25.9" customHeight="1">
      <c r="A429" s="429">
        <v>426</v>
      </c>
      <c r="B429" s="990" t="s">
        <v>1820</v>
      </c>
      <c r="C429" s="990" t="s">
        <v>98</v>
      </c>
      <c r="D429" s="956" t="str">
        <f t="shared" si="6"/>
        <v>Erfüllung der Zusatzanforderungen</v>
      </c>
      <c r="E429" s="430" t="s">
        <v>2292</v>
      </c>
      <c r="F429" s="960" t="s">
        <v>2389</v>
      </c>
      <c r="G429" s="431" t="s">
        <v>2483</v>
      </c>
    </row>
    <row r="430" spans="1:7" ht="25.9" customHeight="1">
      <c r="A430" s="429">
        <v>427</v>
      </c>
      <c r="B430" s="990" t="s">
        <v>1820</v>
      </c>
      <c r="C430" s="990" t="s">
        <v>873</v>
      </c>
      <c r="D430" s="956" t="str">
        <f t="shared" si="6"/>
        <v>Minergie-Kennzahl in kWh/m2</v>
      </c>
      <c r="E430" s="430" t="s">
        <v>1912</v>
      </c>
      <c r="F430" s="960" t="s">
        <v>2390</v>
      </c>
      <c r="G430" s="431" t="s">
        <v>2484</v>
      </c>
    </row>
    <row r="431" spans="1:7" ht="25.9" customHeight="1">
      <c r="A431" s="429">
        <v>428</v>
      </c>
      <c r="B431" s="990" t="s">
        <v>1820</v>
      </c>
      <c r="C431" s="990" t="s">
        <v>513</v>
      </c>
      <c r="D431" s="956" t="str">
        <f t="shared" si="6"/>
        <v>Minergie-Kennzahl in kg CO2/m2</v>
      </c>
      <c r="E431" s="430" t="s">
        <v>2277</v>
      </c>
      <c r="F431" s="960" t="s">
        <v>2391</v>
      </c>
      <c r="G431" s="431" t="s">
        <v>2485</v>
      </c>
    </row>
    <row r="432" spans="1:7" ht="25.9" customHeight="1">
      <c r="A432" s="429">
        <v>429</v>
      </c>
      <c r="B432" s="990" t="s">
        <v>1820</v>
      </c>
      <c r="C432" s="990" t="s">
        <v>438</v>
      </c>
      <c r="D432" s="956" t="str">
        <f t="shared" si="6"/>
        <v>ZA1: Heizwärmebedarf in kWh/m2</v>
      </c>
      <c r="E432" s="430" t="s">
        <v>2884</v>
      </c>
      <c r="F432" s="960" t="s">
        <v>2885</v>
      </c>
      <c r="G432" s="431" t="s">
        <v>2486</v>
      </c>
    </row>
    <row r="433" spans="1:7" ht="25.9" customHeight="1">
      <c r="A433" s="429">
        <v>430</v>
      </c>
      <c r="B433" s="990" t="s">
        <v>1820</v>
      </c>
      <c r="C433" s="990" t="s">
        <v>380</v>
      </c>
      <c r="D433" s="956" t="str">
        <f t="shared" si="6"/>
        <v>ZA2: Endenergie ohne PV in kWh/m2</v>
      </c>
      <c r="E433" s="430" t="s">
        <v>2886</v>
      </c>
      <c r="F433" s="960" t="s">
        <v>2887</v>
      </c>
      <c r="G433" s="431" t="s">
        <v>2487</v>
      </c>
    </row>
    <row r="434" spans="1:7" ht="25.9" customHeight="1">
      <c r="A434" s="429">
        <v>431</v>
      </c>
      <c r="B434" s="990" t="s">
        <v>1820</v>
      </c>
      <c r="C434" s="990" t="s">
        <v>487</v>
      </c>
      <c r="D434" s="956" t="str">
        <f t="shared" si="6"/>
        <v>ZA3: Minergie-Grenzwert Beleuchtung in kWh/m2</v>
      </c>
      <c r="E434" s="430" t="s">
        <v>2888</v>
      </c>
      <c r="F434" s="960" t="s">
        <v>2889</v>
      </c>
      <c r="G434" s="431" t="s">
        <v>2489</v>
      </c>
    </row>
    <row r="435" spans="1:7" ht="25.9" customHeight="1">
      <c r="A435" s="429">
        <v>432</v>
      </c>
      <c r="B435" s="990" t="s">
        <v>1820</v>
      </c>
      <c r="C435" s="990" t="s">
        <v>877</v>
      </c>
      <c r="D435" s="956" t="str">
        <f t="shared" si="6"/>
        <v>Visualisierung Minergie-Kennzahl (MKZ)</v>
      </c>
      <c r="E435" s="430" t="s">
        <v>2890</v>
      </c>
      <c r="F435" s="960" t="s">
        <v>2392</v>
      </c>
      <c r="G435" s="431" t="s">
        <v>2490</v>
      </c>
    </row>
    <row r="436" spans="1:7" ht="25.9" customHeight="1">
      <c r="A436" s="429">
        <v>433</v>
      </c>
      <c r="B436" s="990" t="s">
        <v>1820</v>
      </c>
      <c r="C436" s="990" t="s">
        <v>1923</v>
      </c>
      <c r="D436" s="956" t="str">
        <f t="shared" si="6"/>
        <v>Heizung</v>
      </c>
      <c r="E436" s="430" t="s">
        <v>243</v>
      </c>
      <c r="F436" s="960" t="s">
        <v>1660</v>
      </c>
      <c r="G436" s="431" t="s">
        <v>2491</v>
      </c>
    </row>
    <row r="437" spans="1:7" ht="25.9" customHeight="1">
      <c r="A437" s="429">
        <v>434</v>
      </c>
      <c r="B437" s="990" t="s">
        <v>1820</v>
      </c>
      <c r="C437" s="990" t="s">
        <v>1924</v>
      </c>
      <c r="D437" s="956" t="str">
        <f t="shared" si="6"/>
        <v>Warmwasser</v>
      </c>
      <c r="E437" s="430" t="s">
        <v>244</v>
      </c>
      <c r="F437" s="960" t="s">
        <v>1661</v>
      </c>
      <c r="G437" s="431" t="s">
        <v>2456</v>
      </c>
    </row>
    <row r="438" spans="1:7" ht="25.9" customHeight="1">
      <c r="A438" s="429">
        <v>435</v>
      </c>
      <c r="B438" s="990" t="s">
        <v>1820</v>
      </c>
      <c r="C438" s="990" t="s">
        <v>1926</v>
      </c>
      <c r="D438" s="956" t="str">
        <f t="shared" si="6"/>
        <v>Beleuchtung</v>
      </c>
      <c r="E438" s="430" t="s">
        <v>696</v>
      </c>
      <c r="F438" s="960" t="s">
        <v>2393</v>
      </c>
      <c r="G438" s="431" t="s">
        <v>2492</v>
      </c>
    </row>
    <row r="439" spans="1:7" ht="25.9" customHeight="1">
      <c r="A439" s="429">
        <v>436</v>
      </c>
      <c r="B439" s="990" t="s">
        <v>1820</v>
      </c>
      <c r="C439" s="990" t="s">
        <v>1927</v>
      </c>
      <c r="D439" s="956" t="str">
        <f t="shared" si="6"/>
        <v>Geräte</v>
      </c>
      <c r="E439" s="430" t="s">
        <v>1877</v>
      </c>
      <c r="F439" s="960" t="s">
        <v>2394</v>
      </c>
      <c r="G439" s="431" t="s">
        <v>2493</v>
      </c>
    </row>
    <row r="440" spans="1:7" ht="25.9" customHeight="1">
      <c r="A440" s="429">
        <v>437</v>
      </c>
      <c r="B440" s="990" t="s">
        <v>1820</v>
      </c>
      <c r="C440" s="990" t="s">
        <v>1931</v>
      </c>
      <c r="D440" s="956" t="str">
        <f t="shared" si="6"/>
        <v>Allgemeine Gebäudetechnik</v>
      </c>
      <c r="E440" s="430" t="s">
        <v>1880</v>
      </c>
      <c r="F440" s="960" t="s">
        <v>2728</v>
      </c>
      <c r="G440" s="431" t="s">
        <v>2494</v>
      </c>
    </row>
    <row r="441" spans="1:7" ht="25.9" customHeight="1">
      <c r="A441" s="429">
        <v>438</v>
      </c>
      <c r="B441" s="990" t="s">
        <v>1820</v>
      </c>
      <c r="C441" s="990" t="s">
        <v>1929</v>
      </c>
      <c r="D441" s="956" t="str">
        <f t="shared" si="6"/>
        <v>Endenergiebedarf</v>
      </c>
      <c r="E441" s="430" t="s">
        <v>1928</v>
      </c>
      <c r="F441" s="960" t="s">
        <v>2395</v>
      </c>
      <c r="G441" s="431" t="s">
        <v>2495</v>
      </c>
    </row>
    <row r="442" spans="1:7" ht="25.9" customHeight="1">
      <c r="A442" s="429">
        <v>439</v>
      </c>
      <c r="B442" s="990" t="s">
        <v>1820</v>
      </c>
      <c r="C442" s="990" t="s">
        <v>1930</v>
      </c>
      <c r="D442" s="956" t="str">
        <f t="shared" si="6"/>
        <v>MKZ berechneter Wert</v>
      </c>
      <c r="E442" s="430" t="s">
        <v>2891</v>
      </c>
      <c r="F442" s="960" t="s">
        <v>3705</v>
      </c>
      <c r="G442" s="431" t="s">
        <v>3706</v>
      </c>
    </row>
    <row r="443" spans="1:7" ht="25.9" customHeight="1">
      <c r="A443" s="429">
        <v>440</v>
      </c>
      <c r="B443" s="990" t="s">
        <v>1820</v>
      </c>
      <c r="C443" s="990" t="s">
        <v>1925</v>
      </c>
      <c r="D443" s="956" t="str">
        <f t="shared" si="6"/>
        <v>Wohnstrom</v>
      </c>
      <c r="E443" s="430" t="s">
        <v>3173</v>
      </c>
      <c r="F443" s="960" t="s">
        <v>3174</v>
      </c>
      <c r="G443" s="431" t="s">
        <v>3175</v>
      </c>
    </row>
    <row r="444" spans="1:7" ht="25.9" customHeight="1">
      <c r="A444" s="429">
        <v>441</v>
      </c>
      <c r="B444" s="990" t="s">
        <v>1820</v>
      </c>
      <c r="C444" s="990" t="s">
        <v>1932</v>
      </c>
      <c r="D444" s="956" t="str">
        <f t="shared" si="6"/>
        <v>PV Eigenverbrauch</v>
      </c>
      <c r="E444" s="430" t="s">
        <v>1941</v>
      </c>
      <c r="F444" s="960" t="s">
        <v>2729</v>
      </c>
      <c r="G444" s="431" t="s">
        <v>2496</v>
      </c>
    </row>
    <row r="445" spans="1:7" ht="25.9" customHeight="1">
      <c r="A445" s="429">
        <v>442</v>
      </c>
      <c r="B445" s="990" t="s">
        <v>1820</v>
      </c>
      <c r="C445" s="990" t="s">
        <v>1933</v>
      </c>
      <c r="D445" s="956" t="str">
        <f t="shared" si="6"/>
        <v>PV Anteil Einspeisung</v>
      </c>
      <c r="E445" s="430" t="s">
        <v>1942</v>
      </c>
      <c r="F445" s="960" t="s">
        <v>2730</v>
      </c>
      <c r="G445" s="431" t="s">
        <v>2497</v>
      </c>
    </row>
    <row r="446" spans="1:7" ht="25.9" customHeight="1">
      <c r="A446" s="429">
        <v>443</v>
      </c>
      <c r="B446" s="990" t="s">
        <v>1820</v>
      </c>
      <c r="C446" s="990" t="s">
        <v>1937</v>
      </c>
      <c r="D446" s="956" t="str">
        <f t="shared" si="6"/>
        <v>Bedarf</v>
      </c>
      <c r="E446" s="430" t="s">
        <v>1936</v>
      </c>
      <c r="F446" s="960" t="s">
        <v>2396</v>
      </c>
      <c r="G446" s="431" t="s">
        <v>2498</v>
      </c>
    </row>
    <row r="447" spans="1:7" ht="25.9" customHeight="1">
      <c r="A447" s="429">
        <v>444</v>
      </c>
      <c r="B447" s="990" t="s">
        <v>1820</v>
      </c>
      <c r="C447" s="990" t="s">
        <v>1934</v>
      </c>
      <c r="D447" s="956" t="str">
        <f t="shared" si="6"/>
        <v>Optimierungspotential</v>
      </c>
      <c r="E447" s="430" t="s">
        <v>1938</v>
      </c>
      <c r="F447" s="960" t="s">
        <v>2397</v>
      </c>
      <c r="G447" s="431" t="s">
        <v>2499</v>
      </c>
    </row>
    <row r="448" spans="1:7" ht="25.9" customHeight="1">
      <c r="A448" s="429">
        <v>445</v>
      </c>
      <c r="B448" s="990" t="s">
        <v>1820</v>
      </c>
      <c r="C448" s="990" t="s">
        <v>1935</v>
      </c>
      <c r="D448" s="956" t="str">
        <f t="shared" si="6"/>
        <v>Grenzwert Minergie</v>
      </c>
      <c r="E448" s="430" t="s">
        <v>2892</v>
      </c>
      <c r="F448" s="960" t="s">
        <v>2893</v>
      </c>
      <c r="G448" s="431" t="s">
        <v>2500</v>
      </c>
    </row>
    <row r="449" spans="1:7" ht="25.9" customHeight="1">
      <c r="A449" s="429">
        <v>446</v>
      </c>
      <c r="B449" s="990" t="s">
        <v>1820</v>
      </c>
      <c r="C449" s="990" t="s">
        <v>1939</v>
      </c>
      <c r="D449" s="956" t="str">
        <f t="shared" si="6"/>
        <v>Bedarf</v>
      </c>
      <c r="E449" s="430" t="s">
        <v>1936</v>
      </c>
      <c r="F449" s="960" t="s">
        <v>2396</v>
      </c>
      <c r="G449" s="431" t="s">
        <v>2498</v>
      </c>
    </row>
    <row r="450" spans="1:7" ht="25.9" customHeight="1">
      <c r="A450" s="429">
        <v>447</v>
      </c>
      <c r="B450" s="990" t="s">
        <v>1820</v>
      </c>
      <c r="C450" s="990" t="s">
        <v>1940</v>
      </c>
      <c r="D450" s="956" t="str">
        <f t="shared" si="6"/>
        <v>MKZ Anforderung</v>
      </c>
      <c r="E450" s="430" t="s">
        <v>2894</v>
      </c>
      <c r="F450" s="960" t="s">
        <v>3707</v>
      </c>
      <c r="G450" s="431" t="s">
        <v>2501</v>
      </c>
    </row>
    <row r="451" spans="1:7" ht="47.25" customHeight="1">
      <c r="A451" s="429">
        <v>448</v>
      </c>
      <c r="B451" s="990" t="s">
        <v>313</v>
      </c>
      <c r="C451" s="990" t="s">
        <v>946</v>
      </c>
      <c r="D451" s="956" t="str">
        <f t="shared" si="6"/>
        <v>Anforderung Minergie-A: 
Teilkennzahl Beleuchtung, Geräte und allg. Gebäudetechnik ist kleiner als die Eigenproduktion</v>
      </c>
      <c r="E451" s="430" t="s">
        <v>2304</v>
      </c>
      <c r="F451" s="960" t="s">
        <v>2583</v>
      </c>
      <c r="G451" s="431" t="s">
        <v>2576</v>
      </c>
    </row>
    <row r="452" spans="1:7" ht="25.9" customHeight="1">
      <c r="A452" s="429">
        <v>449</v>
      </c>
      <c r="B452" s="990" t="s">
        <v>313</v>
      </c>
      <c r="C452" s="990" t="s">
        <v>947</v>
      </c>
      <c r="D452" s="956" t="str">
        <f t="shared" si="6"/>
        <v>Minimale Grösse der Eigenstromerzeugung:</v>
      </c>
      <c r="E452" s="430" t="s">
        <v>2299</v>
      </c>
      <c r="F452" s="960" t="s">
        <v>2584</v>
      </c>
      <c r="G452" s="431" t="s">
        <v>2577</v>
      </c>
    </row>
    <row r="453" spans="1:7" ht="42.75" customHeight="1">
      <c r="A453" s="429">
        <v>450</v>
      </c>
      <c r="B453" s="990" t="s">
        <v>313</v>
      </c>
      <c r="C453" s="990" t="s">
        <v>1944</v>
      </c>
      <c r="D453" s="956" t="str">
        <f t="shared" ref="D453:D503" si="7">INDEX($E$4:$G$503,$A453,$A$1)</f>
        <v>Gilt für Kategorien ‚Restaurants’, ‚Sportbauten’ und ‚Hallenbäder’:
20% mit erneuerbarer Energie erbringen.</v>
      </c>
      <c r="E453" s="430" t="s">
        <v>1945</v>
      </c>
      <c r="F453" s="960" t="s">
        <v>2398</v>
      </c>
      <c r="G453" s="431" t="s">
        <v>2505</v>
      </c>
    </row>
    <row r="454" spans="1:7" ht="39.950000000000003" customHeight="1">
      <c r="A454" s="429">
        <v>451</v>
      </c>
      <c r="B454" s="990" t="s">
        <v>313</v>
      </c>
      <c r="C454" s="990" t="s">
        <v>1948</v>
      </c>
      <c r="D454" s="956" t="str">
        <f t="shared" si="7"/>
        <v>Gilt für Kategorie "Hallenbad"</v>
      </c>
      <c r="E454" s="430" t="s">
        <v>1947</v>
      </c>
      <c r="F454" s="960" t="s">
        <v>2399</v>
      </c>
      <c r="G454" s="431" t="s">
        <v>2502</v>
      </c>
    </row>
    <row r="455" spans="1:7" ht="26.1" customHeight="1">
      <c r="A455" s="429">
        <v>452</v>
      </c>
      <c r="B455" s="990" t="s">
        <v>313</v>
      </c>
      <c r="C455" s="990" t="s">
        <v>948</v>
      </c>
      <c r="D455" s="956" t="str">
        <f t="shared" si="7"/>
        <v>Stromproduktion deckt Bedarf:</v>
      </c>
      <c r="E455" s="430" t="s">
        <v>2306</v>
      </c>
      <c r="F455" s="960" t="s">
        <v>2585</v>
      </c>
      <c r="G455" s="431" t="s">
        <v>2586</v>
      </c>
    </row>
    <row r="456" spans="1:7" ht="25.9" customHeight="1">
      <c r="A456" s="429">
        <v>453</v>
      </c>
      <c r="B456" s="990" t="s">
        <v>313</v>
      </c>
      <c r="C456" s="990" t="s">
        <v>2141</v>
      </c>
      <c r="D456" s="956" t="str">
        <f t="shared" si="7"/>
        <v>Teilkennzahl
Bedarf</v>
      </c>
      <c r="E456" s="430" t="s">
        <v>2140</v>
      </c>
      <c r="F456" s="960" t="s">
        <v>2400</v>
      </c>
      <c r="G456" s="431" t="s">
        <v>2506</v>
      </c>
    </row>
    <row r="457" spans="1:7" ht="25.9" customHeight="1">
      <c r="A457" s="429">
        <v>454</v>
      </c>
      <c r="B457" s="990" t="s">
        <v>313</v>
      </c>
      <c r="C457" s="990" t="s">
        <v>2142</v>
      </c>
      <c r="D457" s="956" t="str">
        <f t="shared" si="7"/>
        <v>Produktion
(gewichtet)</v>
      </c>
      <c r="E457" s="430" t="s">
        <v>2303</v>
      </c>
      <c r="F457" s="960" t="s">
        <v>2401</v>
      </c>
      <c r="G457" s="431" t="s">
        <v>2507</v>
      </c>
    </row>
    <row r="458" spans="1:7" ht="25.9" customHeight="1">
      <c r="A458" s="429">
        <v>455</v>
      </c>
      <c r="B458" s="990" t="s">
        <v>1820</v>
      </c>
      <c r="C458" s="990" t="s">
        <v>2144</v>
      </c>
      <c r="D458" s="956" t="str">
        <f t="shared" si="7"/>
        <v>Anforderung PV (gewichtet)</v>
      </c>
      <c r="E458" s="430" t="s">
        <v>2143</v>
      </c>
      <c r="F458" s="960" t="s">
        <v>2402</v>
      </c>
      <c r="G458" s="431" t="s">
        <v>2503</v>
      </c>
    </row>
    <row r="459" spans="1:7" ht="25.9" customHeight="1">
      <c r="A459" s="429">
        <v>456</v>
      </c>
      <c r="B459" s="990" t="s">
        <v>1820</v>
      </c>
      <c r="C459" s="990" t="s">
        <v>2146</v>
      </c>
      <c r="D459" s="956" t="str">
        <f t="shared" si="7"/>
        <v>Produktion PV (gewichtet)</v>
      </c>
      <c r="E459" s="430" t="s">
        <v>2145</v>
      </c>
      <c r="F459" s="960" t="s">
        <v>2403</v>
      </c>
      <c r="G459" s="431" t="s">
        <v>2504</v>
      </c>
    </row>
    <row r="460" spans="1:7" ht="25.9" customHeight="1">
      <c r="A460" s="429">
        <v>457</v>
      </c>
      <c r="B460" s="990" t="s">
        <v>1820</v>
      </c>
      <c r="C460" s="990" t="s">
        <v>873</v>
      </c>
      <c r="D460" s="956" t="str">
        <f t="shared" si="7"/>
        <v>Teilkennzahl Minergie-A</v>
      </c>
      <c r="E460" s="430" t="s">
        <v>2895</v>
      </c>
      <c r="F460" s="960" t="s">
        <v>2896</v>
      </c>
      <c r="G460" s="431" t="s">
        <v>2897</v>
      </c>
    </row>
    <row r="461" spans="1:7" ht="25.9" customHeight="1">
      <c r="A461" s="429">
        <v>458</v>
      </c>
      <c r="B461" s="990" t="s">
        <v>1820</v>
      </c>
      <c r="C461" s="990" t="s">
        <v>513</v>
      </c>
      <c r="D461" s="956" t="str">
        <f t="shared" si="7"/>
        <v>Minergie-A: Bedarf MKZ (ohne PV)  durch PV gedeckt?</v>
      </c>
      <c r="E461" s="430" t="s">
        <v>2898</v>
      </c>
      <c r="F461" s="960" t="s">
        <v>2404</v>
      </c>
      <c r="G461" s="431" t="s">
        <v>2899</v>
      </c>
    </row>
    <row r="462" spans="1:7" ht="25.9" customHeight="1">
      <c r="A462" s="429">
        <v>459</v>
      </c>
      <c r="B462" s="990" t="s">
        <v>1820</v>
      </c>
      <c r="C462" s="990" t="s">
        <v>2279</v>
      </c>
      <c r="D462" s="956" t="str">
        <f t="shared" si="7"/>
        <v>Keine Anforderungen</v>
      </c>
      <c r="E462" s="430" t="s">
        <v>2278</v>
      </c>
      <c r="F462" s="960" t="s">
        <v>2587</v>
      </c>
      <c r="G462" s="431" t="s">
        <v>2574</v>
      </c>
    </row>
    <row r="463" spans="1:7" ht="25.9" customHeight="1">
      <c r="A463" s="429">
        <v>460</v>
      </c>
      <c r="B463" s="990" t="s">
        <v>313</v>
      </c>
      <c r="C463" s="990" t="s">
        <v>1068</v>
      </c>
      <c r="D463" s="956" t="str">
        <f t="shared" si="7"/>
        <v>Eigenstromerzeugung</v>
      </c>
      <c r="E463" s="430" t="s">
        <v>2298</v>
      </c>
      <c r="F463" s="960" t="s">
        <v>2588</v>
      </c>
      <c r="G463" s="431" t="s">
        <v>2575</v>
      </c>
    </row>
    <row r="464" spans="1:7" ht="25.9" customHeight="1">
      <c r="A464" s="429">
        <v>461</v>
      </c>
      <c r="B464" s="990" t="s">
        <v>1820</v>
      </c>
      <c r="C464" s="990" t="s">
        <v>876</v>
      </c>
      <c r="D464" s="956" t="str">
        <f t="shared" si="7"/>
        <v>Höchstanteil fossiler Energie</v>
      </c>
      <c r="E464" s="430" t="s">
        <v>2652</v>
      </c>
      <c r="F464" s="960" t="s">
        <v>2662</v>
      </c>
      <c r="G464" s="431" t="s">
        <v>2663</v>
      </c>
    </row>
    <row r="465" spans="1:7" ht="25.9" customHeight="1">
      <c r="A465" s="429">
        <v>462</v>
      </c>
      <c r="B465" s="990" t="s">
        <v>1820</v>
      </c>
      <c r="C465" s="990" t="s">
        <v>883</v>
      </c>
      <c r="D465" s="956" t="str">
        <f t="shared" si="7"/>
        <v>Stromproduktion deckt Bedarf:</v>
      </c>
      <c r="E465" s="430" t="s">
        <v>2306</v>
      </c>
      <c r="F465" s="960" t="s">
        <v>2585</v>
      </c>
      <c r="G465" s="431" t="s">
        <v>2586</v>
      </c>
    </row>
    <row r="466" spans="1:7" ht="25.9" customHeight="1">
      <c r="A466" s="429">
        <v>463</v>
      </c>
      <c r="B466" s="990" t="s">
        <v>622</v>
      </c>
      <c r="C466" s="990" t="s">
        <v>2651</v>
      </c>
      <c r="D466" s="956" t="str">
        <f t="shared" si="7"/>
        <v>Warmhaltebänder</v>
      </c>
      <c r="E466" s="430" t="s">
        <v>3712</v>
      </c>
      <c r="F466" s="960" t="s">
        <v>2646</v>
      </c>
      <c r="G466" s="431" t="s">
        <v>2647</v>
      </c>
    </row>
    <row r="467" spans="1:7" ht="25.9" customHeight="1">
      <c r="A467" s="429">
        <v>464</v>
      </c>
      <c r="B467" s="990" t="s">
        <v>313</v>
      </c>
      <c r="C467" s="990" t="s">
        <v>859</v>
      </c>
      <c r="D467" s="956" t="str">
        <f t="shared" si="7"/>
        <v>Warmwasser, Rechenwert</v>
      </c>
      <c r="E467" s="430" t="s">
        <v>2656</v>
      </c>
      <c r="F467" s="960" t="s">
        <v>2657</v>
      </c>
      <c r="G467" s="431" t="s">
        <v>2658</v>
      </c>
    </row>
    <row r="468" spans="1:7" ht="25.9" customHeight="1">
      <c r="A468" s="429">
        <v>465</v>
      </c>
      <c r="B468" s="990" t="s">
        <v>313</v>
      </c>
      <c r="C468" s="990" t="s">
        <v>1776</v>
      </c>
      <c r="D468" s="956" t="str">
        <f t="shared" si="7"/>
        <v>Warmwasser, SIA 385</v>
      </c>
      <c r="E468" s="430" t="s">
        <v>2659</v>
      </c>
      <c r="F468" s="960" t="s">
        <v>2660</v>
      </c>
      <c r="G468" s="431" t="s">
        <v>2661</v>
      </c>
    </row>
    <row r="469" spans="1:7" ht="25.9" customHeight="1">
      <c r="A469" s="429">
        <v>466</v>
      </c>
      <c r="B469" s="990" t="s">
        <v>313</v>
      </c>
      <c r="C469" s="990" t="s">
        <v>858</v>
      </c>
      <c r="D469" s="956" t="str">
        <f t="shared" si="7"/>
        <v>unbekannter Mieterausbau</v>
      </c>
      <c r="E469" s="430" t="s">
        <v>2678</v>
      </c>
      <c r="F469" s="960" t="s">
        <v>2900</v>
      </c>
      <c r="G469" s="431" t="s">
        <v>2901</v>
      </c>
    </row>
    <row r="470" spans="1:7" ht="25.9" customHeight="1">
      <c r="A470" s="429">
        <v>467</v>
      </c>
      <c r="B470" s="990" t="s">
        <v>1820</v>
      </c>
      <c r="C470" s="990" t="s">
        <v>1926</v>
      </c>
      <c r="D470" s="956" t="str">
        <f t="shared" si="7"/>
        <v>Lüftung + Klima</v>
      </c>
      <c r="E470" s="430" t="s">
        <v>2707</v>
      </c>
      <c r="F470" s="960" t="s">
        <v>2731</v>
      </c>
      <c r="G470" s="431" t="s">
        <v>2902</v>
      </c>
    </row>
    <row r="471" spans="1:7" ht="36" customHeight="1">
      <c r="A471" s="429">
        <v>468</v>
      </c>
      <c r="B471" s="990" t="s">
        <v>1820</v>
      </c>
      <c r="C471" s="990" t="s">
        <v>2715</v>
      </c>
      <c r="D471" s="956" t="str">
        <f t="shared" si="7"/>
        <v xml:space="preserve">   Produktion PV</v>
      </c>
      <c r="E471" s="457" t="s">
        <v>3021</v>
      </c>
      <c r="F471" s="1489" t="s">
        <v>3022</v>
      </c>
      <c r="G471" s="1488" t="s">
        <v>3023</v>
      </c>
    </row>
    <row r="472" spans="1:7" ht="25.9" customHeight="1">
      <c r="A472" s="429">
        <v>469</v>
      </c>
      <c r="B472" s="990" t="s">
        <v>1820</v>
      </c>
      <c r="C472" s="990" t="s">
        <v>2716</v>
      </c>
      <c r="D472" s="956" t="str">
        <f t="shared" si="7"/>
        <v xml:space="preserve">           Objektwert
 </v>
      </c>
      <c r="E472" s="457" t="s">
        <v>3020</v>
      </c>
      <c r="F472" s="1489" t="s">
        <v>3024</v>
      </c>
      <c r="G472" s="1488" t="s">
        <v>3019</v>
      </c>
    </row>
    <row r="473" spans="1:7" ht="25.9" customHeight="1">
      <c r="A473" s="429">
        <v>470</v>
      </c>
      <c r="B473" s="990" t="s">
        <v>1820</v>
      </c>
      <c r="C473" s="990" t="s">
        <v>2717</v>
      </c>
      <c r="D473" s="956" t="str">
        <f t="shared" si="7"/>
        <v>PV nicht anrechenbar</v>
      </c>
      <c r="E473" s="430" t="s">
        <v>2708</v>
      </c>
      <c r="F473" s="960" t="s">
        <v>2906</v>
      </c>
      <c r="G473" s="431" t="s">
        <v>2903</v>
      </c>
    </row>
    <row r="474" spans="1:7" ht="25.9" customHeight="1">
      <c r="A474" s="429">
        <v>471</v>
      </c>
      <c r="B474" s="990" t="s">
        <v>622</v>
      </c>
      <c r="C474" s="990" t="s">
        <v>1830</v>
      </c>
      <c r="D474" s="956" t="str">
        <f t="shared" si="7"/>
        <v>Konzept Lufdichtheit und Messkonzept beigelegt?</v>
      </c>
      <c r="E474" s="430" t="s">
        <v>3030</v>
      </c>
      <c r="F474" s="960" t="s">
        <v>3031</v>
      </c>
      <c r="G474" s="431" t="s">
        <v>3032</v>
      </c>
    </row>
    <row r="475" spans="1:7" ht="25.9" customHeight="1">
      <c r="A475" s="429">
        <v>472</v>
      </c>
      <c r="B475" s="990" t="s">
        <v>313</v>
      </c>
      <c r="C475" s="990" t="s">
        <v>590</v>
      </c>
      <c r="D475" s="956" t="str">
        <f t="shared" si="7"/>
        <v>Grösse Batterie [kWh]</v>
      </c>
      <c r="E475" s="430" t="s">
        <v>2724</v>
      </c>
      <c r="F475" s="960" t="s">
        <v>2907</v>
      </c>
      <c r="G475" s="431" t="s">
        <v>2904</v>
      </c>
    </row>
    <row r="476" spans="1:7" ht="25.9" customHeight="1">
      <c r="A476" s="429">
        <v>473</v>
      </c>
      <c r="B476" s="990" t="s">
        <v>313</v>
      </c>
      <c r="C476" s="990" t="s">
        <v>1070</v>
      </c>
      <c r="D476" s="956" t="str">
        <f t="shared" si="7"/>
        <v>Batterie-verluste [%]:</v>
      </c>
      <c r="E476" s="430" t="s">
        <v>2725</v>
      </c>
      <c r="F476" s="960" t="s">
        <v>2908</v>
      </c>
      <c r="G476" s="431" t="s">
        <v>2905</v>
      </c>
    </row>
    <row r="477" spans="1:7" ht="40.5" customHeight="1">
      <c r="A477" s="429">
        <v>474</v>
      </c>
      <c r="B477" s="990" t="s">
        <v>1820</v>
      </c>
      <c r="C477" s="990" t="s">
        <v>2815</v>
      </c>
      <c r="D477" s="956" t="str">
        <f t="shared" si="7"/>
        <v xml:space="preserve">                                          E HWLK,li  +
                             Standardbedarf Elektrizität
  </v>
      </c>
      <c r="E477" s="1623" t="s">
        <v>3016</v>
      </c>
      <c r="F477" s="960" t="s">
        <v>3017</v>
      </c>
      <c r="G477" s="431" t="s">
        <v>3018</v>
      </c>
    </row>
    <row r="478" spans="1:7" ht="25.9" customHeight="1">
      <c r="A478" s="429">
        <v>475</v>
      </c>
      <c r="B478" s="990" t="s">
        <v>706</v>
      </c>
      <c r="C478" s="990" t="s">
        <v>1081</v>
      </c>
      <c r="D478" s="956" t="str">
        <f t="shared" si="7"/>
        <v>Minergie-Kennzahl (MKZ)</v>
      </c>
      <c r="E478" s="430" t="s">
        <v>1709</v>
      </c>
      <c r="F478" s="960" t="s">
        <v>2909</v>
      </c>
      <c r="G478" s="431" t="s">
        <v>2824</v>
      </c>
    </row>
    <row r="479" spans="1:7" ht="25.9" customHeight="1">
      <c r="A479" s="429">
        <v>476</v>
      </c>
      <c r="B479" s="990" t="s">
        <v>1820</v>
      </c>
      <c r="C479" s="990" t="s">
        <v>2852</v>
      </c>
      <c r="D479" s="956" t="str">
        <f t="shared" si="7"/>
        <v>MKZ</v>
      </c>
      <c r="E479" s="430" t="s">
        <v>2825</v>
      </c>
      <c r="F479" s="960" t="s">
        <v>2825</v>
      </c>
      <c r="G479" s="431" t="s">
        <v>2826</v>
      </c>
    </row>
    <row r="480" spans="1:7" ht="25.9" customHeight="1">
      <c r="A480" s="429">
        <v>477</v>
      </c>
      <c r="B480" s="990" t="s">
        <v>1820</v>
      </c>
      <c r="C480" s="990" t="s">
        <v>2827</v>
      </c>
      <c r="D480" s="956" t="str">
        <f t="shared" si="7"/>
        <v>H</v>
      </c>
      <c r="E480" s="430" t="s">
        <v>2828</v>
      </c>
      <c r="F480" s="960" t="s">
        <v>2828</v>
      </c>
      <c r="G480" s="431" t="s">
        <v>2829</v>
      </c>
    </row>
    <row r="481" spans="1:7" ht="25.9" customHeight="1">
      <c r="A481" s="429">
        <v>478</v>
      </c>
      <c r="B481" s="990" t="s">
        <v>1820</v>
      </c>
      <c r="C481" s="990" t="s">
        <v>2830</v>
      </c>
      <c r="D481" s="956" t="str">
        <f t="shared" si="7"/>
        <v>ww</v>
      </c>
      <c r="E481" s="430" t="s">
        <v>525</v>
      </c>
      <c r="F481" s="960" t="s">
        <v>525</v>
      </c>
      <c r="G481" s="431" t="s">
        <v>2831</v>
      </c>
    </row>
    <row r="482" spans="1:7" ht="25.9" customHeight="1">
      <c r="A482" s="429">
        <v>479</v>
      </c>
      <c r="B482" s="990" t="s">
        <v>1820</v>
      </c>
      <c r="C482" s="990" t="s">
        <v>2833</v>
      </c>
      <c r="D482" s="956" t="str">
        <f t="shared" si="7"/>
        <v>LK</v>
      </c>
      <c r="E482" s="430" t="s">
        <v>2834</v>
      </c>
      <c r="F482" s="960" t="s">
        <v>2834</v>
      </c>
      <c r="G482" s="431" t="s">
        <v>2832</v>
      </c>
    </row>
    <row r="483" spans="1:7" ht="25.9" customHeight="1">
      <c r="A483" s="429">
        <v>480</v>
      </c>
      <c r="B483" s="990" t="s">
        <v>1820</v>
      </c>
      <c r="C483" s="990" t="s">
        <v>2837</v>
      </c>
      <c r="D483" s="956" t="str">
        <f t="shared" si="7"/>
        <v>el,wohn.</v>
      </c>
      <c r="E483" s="430" t="s">
        <v>2836</v>
      </c>
      <c r="F483" s="960" t="s">
        <v>2836</v>
      </c>
      <c r="G483" s="431" t="s">
        <v>2835</v>
      </c>
    </row>
    <row r="484" spans="1:7" ht="25.9" customHeight="1">
      <c r="A484" s="429">
        <v>481</v>
      </c>
      <c r="B484" s="990" t="s">
        <v>1820</v>
      </c>
      <c r="C484" s="990" t="s">
        <v>2838</v>
      </c>
      <c r="D484" s="956" t="str">
        <f t="shared" si="7"/>
        <v>Bel</v>
      </c>
      <c r="E484" s="430" t="s">
        <v>2839</v>
      </c>
      <c r="F484" s="960" t="s">
        <v>2839</v>
      </c>
      <c r="G484" s="431" t="s">
        <v>2840</v>
      </c>
    </row>
    <row r="485" spans="1:7" ht="25.9" customHeight="1">
      <c r="A485" s="429">
        <v>482</v>
      </c>
      <c r="B485" s="990" t="s">
        <v>1820</v>
      </c>
      <c r="C485" s="990" t="s">
        <v>2847</v>
      </c>
      <c r="D485" s="956" t="str">
        <f t="shared" si="7"/>
        <v>Geräte</v>
      </c>
      <c r="E485" s="430" t="s">
        <v>1877</v>
      </c>
      <c r="F485" s="960" t="s">
        <v>1877</v>
      </c>
      <c r="G485" s="431" t="s">
        <v>2841</v>
      </c>
    </row>
    <row r="486" spans="1:7" ht="25.9" customHeight="1">
      <c r="A486" s="429">
        <v>483</v>
      </c>
      <c r="B486" s="990" t="s">
        <v>1820</v>
      </c>
      <c r="C486" s="990" t="s">
        <v>2848</v>
      </c>
      <c r="D486" s="956" t="str">
        <f t="shared" si="7"/>
        <v>AGT</v>
      </c>
      <c r="E486" s="430" t="s">
        <v>2842</v>
      </c>
      <c r="F486" s="960" t="s">
        <v>2842</v>
      </c>
      <c r="G486" s="431" t="s">
        <v>2843</v>
      </c>
    </row>
    <row r="487" spans="1:7" ht="25.9" customHeight="1">
      <c r="A487" s="429">
        <v>484</v>
      </c>
      <c r="B487" s="990" t="s">
        <v>1820</v>
      </c>
      <c r="C487" s="990" t="s">
        <v>2846</v>
      </c>
      <c r="D487" s="956" t="str">
        <f t="shared" si="7"/>
        <v>EB</v>
      </c>
      <c r="E487" s="430" t="s">
        <v>2844</v>
      </c>
      <c r="F487" s="960" t="s">
        <v>2844</v>
      </c>
      <c r="G487" s="431" t="s">
        <v>2845</v>
      </c>
    </row>
    <row r="488" spans="1:7" ht="25.9" customHeight="1">
      <c r="A488" s="429">
        <v>485</v>
      </c>
      <c r="B488" s="990" t="s">
        <v>1820</v>
      </c>
      <c r="C488" s="990" t="s">
        <v>2851</v>
      </c>
      <c r="D488" s="956" t="str">
        <f t="shared" si="7"/>
        <v>Netz</v>
      </c>
      <c r="E488" s="430" t="s">
        <v>2849</v>
      </c>
      <c r="F488" s="960" t="s">
        <v>2849</v>
      </c>
      <c r="G488" s="431" t="s">
        <v>2850</v>
      </c>
    </row>
    <row r="489" spans="1:7" ht="25.9" customHeight="1">
      <c r="A489" s="429">
        <v>486</v>
      </c>
      <c r="B489" s="990" t="s">
        <v>3092</v>
      </c>
      <c r="C489" s="990" t="s">
        <v>3093</v>
      </c>
      <c r="D489" s="956" t="str">
        <f t="shared" si="7"/>
        <v>Übertrag in das Rechentool PVopti</v>
      </c>
      <c r="E489" s="430" t="s">
        <v>3080</v>
      </c>
      <c r="F489" s="960" t="s">
        <v>3283</v>
      </c>
      <c r="G489" s="431" t="s">
        <v>3284</v>
      </c>
    </row>
    <row r="490" spans="1:7" ht="25.9" customHeight="1">
      <c r="A490" s="429">
        <v>487</v>
      </c>
      <c r="B490" s="990" t="s">
        <v>3092</v>
      </c>
      <c r="C490" s="990" t="s">
        <v>3094</v>
      </c>
      <c r="D490" s="956" t="str">
        <f t="shared" si="7"/>
        <v>Bitte den gelben Bereich kopieren und als Inhalt in PVopti einfügen:</v>
      </c>
      <c r="E490" s="430" t="s">
        <v>3079</v>
      </c>
      <c r="F490" s="960" t="s">
        <v>3285</v>
      </c>
      <c r="G490" s="431" t="s">
        <v>3286</v>
      </c>
    </row>
    <row r="491" spans="1:7" ht="25.9" customHeight="1">
      <c r="A491" s="429">
        <v>488</v>
      </c>
      <c r="B491" s="990" t="s">
        <v>3092</v>
      </c>
      <c r="C491" s="990" t="s">
        <v>3095</v>
      </c>
      <c r="D491" s="956" t="str">
        <f t="shared" si="7"/>
        <v>MOP-Nr.: / Projektname: / Gebäudeadresse:</v>
      </c>
      <c r="E491" s="430" t="s">
        <v>3060</v>
      </c>
      <c r="F491" s="960" t="s">
        <v>3287</v>
      </c>
      <c r="G491" s="431" t="s">
        <v>3288</v>
      </c>
    </row>
    <row r="492" spans="1:7" ht="25.9" customHeight="1">
      <c r="A492" s="429">
        <v>489</v>
      </c>
      <c r="B492" s="990" t="s">
        <v>3092</v>
      </c>
      <c r="C492" s="990" t="s">
        <v>3096</v>
      </c>
      <c r="D492" s="956" t="str">
        <f t="shared" si="7"/>
        <v xml:space="preserve">Parz.-Nr.:   / Klimastation: / Gebäudestandort: </v>
      </c>
      <c r="E492" s="430" t="s">
        <v>3061</v>
      </c>
      <c r="F492" s="960" t="s">
        <v>3289</v>
      </c>
      <c r="G492" s="431" t="s">
        <v>3290</v>
      </c>
    </row>
    <row r="493" spans="1:7" ht="25.9" customHeight="1">
      <c r="A493" s="429">
        <v>490</v>
      </c>
      <c r="B493" s="990" t="s">
        <v>3092</v>
      </c>
      <c r="C493" s="990" t="s">
        <v>3097</v>
      </c>
      <c r="D493" s="956" t="str">
        <f t="shared" si="7"/>
        <v>Wärmeerzeuger</v>
      </c>
      <c r="E493" s="430" t="s">
        <v>3054</v>
      </c>
      <c r="F493" s="960" t="s">
        <v>3291</v>
      </c>
      <c r="G493" s="431" t="s">
        <v>3292</v>
      </c>
    </row>
    <row r="494" spans="1:7" ht="25.9" customHeight="1">
      <c r="A494" s="429">
        <v>491</v>
      </c>
      <c r="B494" s="990" t="s">
        <v>3092</v>
      </c>
      <c r="C494" s="990" t="s">
        <v>3098</v>
      </c>
      <c r="D494" s="956" t="str">
        <f t="shared" si="7"/>
        <v>Erz. A</v>
      </c>
      <c r="E494" s="430" t="s">
        <v>3055</v>
      </c>
      <c r="F494" s="960" t="s">
        <v>3293</v>
      </c>
      <c r="G494" s="431" t="s">
        <v>3294</v>
      </c>
    </row>
    <row r="495" spans="1:7" ht="25.9" customHeight="1">
      <c r="A495" s="429">
        <v>492</v>
      </c>
      <c r="B495" s="990" t="s">
        <v>3092</v>
      </c>
      <c r="C495" s="990" t="s">
        <v>3099</v>
      </c>
      <c r="D495" s="956" t="str">
        <f t="shared" si="7"/>
        <v>Erz. B</v>
      </c>
      <c r="E495" s="430" t="s">
        <v>3056</v>
      </c>
      <c r="F495" s="960" t="s">
        <v>3295</v>
      </c>
      <c r="G495" s="431" t="s">
        <v>3295</v>
      </c>
    </row>
    <row r="496" spans="1:7" ht="25.9" customHeight="1">
      <c r="A496" s="429">
        <v>493</v>
      </c>
      <c r="B496" s="990" t="s">
        <v>3092</v>
      </c>
      <c r="C496" s="990" t="s">
        <v>3100</v>
      </c>
      <c r="D496" s="956" t="str">
        <f t="shared" si="7"/>
        <v>Erz. C</v>
      </c>
      <c r="E496" s="430" t="s">
        <v>3057</v>
      </c>
      <c r="F496" s="960" t="s">
        <v>3296</v>
      </c>
      <c r="G496" s="431" t="s">
        <v>3296</v>
      </c>
    </row>
    <row r="497" spans="1:7" ht="25.9" customHeight="1">
      <c r="A497" s="429">
        <v>494</v>
      </c>
      <c r="B497" s="990" t="s">
        <v>3092</v>
      </c>
      <c r="C497" s="990" t="s">
        <v>3101</v>
      </c>
      <c r="D497" s="956" t="str">
        <f t="shared" si="7"/>
        <v>Erz. D</v>
      </c>
      <c r="E497" s="430" t="s">
        <v>3058</v>
      </c>
      <c r="F497" s="960" t="s">
        <v>3297</v>
      </c>
      <c r="G497" s="431" t="s">
        <v>3297</v>
      </c>
    </row>
    <row r="498" spans="1:7" ht="25.9" customHeight="1">
      <c r="A498" s="429">
        <v>495</v>
      </c>
      <c r="B498" s="990" t="s">
        <v>3092</v>
      </c>
      <c r="C498" s="990" t="s">
        <v>3102</v>
      </c>
      <c r="D498" s="956" t="str">
        <f t="shared" si="7"/>
        <v>Nutzbare Kapazität (kWh)</v>
      </c>
      <c r="E498" s="430" t="s">
        <v>3062</v>
      </c>
      <c r="F498" s="960" t="s">
        <v>3298</v>
      </c>
      <c r="G498" s="431" t="s">
        <v>3299</v>
      </c>
    </row>
    <row r="499" spans="1:7" ht="25.9" customHeight="1">
      <c r="A499" s="429">
        <v>496</v>
      </c>
      <c r="B499" s="990" t="s">
        <v>3092</v>
      </c>
      <c r="C499" s="990" t="s">
        <v>3103</v>
      </c>
      <c r="D499" s="956" t="str">
        <f t="shared" si="7"/>
        <v>Zone</v>
      </c>
      <c r="E499" s="430" t="s">
        <v>312</v>
      </c>
      <c r="F499" s="960" t="s">
        <v>312</v>
      </c>
      <c r="G499" s="431" t="s">
        <v>3300</v>
      </c>
    </row>
    <row r="500" spans="1:7" ht="25.9" customHeight="1">
      <c r="A500" s="429">
        <v>497</v>
      </c>
      <c r="B500" s="990" t="s">
        <v>3092</v>
      </c>
      <c r="C500" s="990" t="s">
        <v>3104</v>
      </c>
      <c r="D500" s="956" t="str">
        <f t="shared" si="7"/>
        <v>Gebäudekategorie</v>
      </c>
      <c r="E500" s="430" t="s">
        <v>331</v>
      </c>
      <c r="F500" s="960" t="s">
        <v>3301</v>
      </c>
      <c r="G500" s="431" t="s">
        <v>3302</v>
      </c>
    </row>
    <row r="501" spans="1:7" ht="25.9" customHeight="1">
      <c r="A501" s="429">
        <v>498</v>
      </c>
      <c r="B501" s="990" t="s">
        <v>3092</v>
      </c>
      <c r="C501" s="990" t="s">
        <v>3105</v>
      </c>
      <c r="D501" s="956" t="str">
        <f t="shared" si="7"/>
        <v>Energiebezugsfläche EBF (m2)</v>
      </c>
      <c r="E501" s="430" t="s">
        <v>3063</v>
      </c>
      <c r="F501" s="960" t="s">
        <v>3303</v>
      </c>
      <c r="G501" s="431" t="s">
        <v>3304</v>
      </c>
    </row>
    <row r="502" spans="1:7" ht="25.9" customHeight="1">
      <c r="A502" s="429">
        <v>499</v>
      </c>
      <c r="B502" s="990" t="s">
        <v>3092</v>
      </c>
      <c r="C502" s="990" t="s">
        <v>3106</v>
      </c>
      <c r="D502" s="956" t="str">
        <f t="shared" si="7"/>
        <v>Neubau</v>
      </c>
      <c r="E502" s="430" t="s">
        <v>650</v>
      </c>
      <c r="F502" s="960" t="s">
        <v>1522</v>
      </c>
      <c r="G502" s="431" t="s">
        <v>3305</v>
      </c>
    </row>
    <row r="503" spans="1:7" ht="25.9" customHeight="1">
      <c r="A503" s="429">
        <v>500</v>
      </c>
      <c r="B503" s="990" t="s">
        <v>3092</v>
      </c>
      <c r="C503" s="990" t="s">
        <v>3107</v>
      </c>
      <c r="D503" s="956" t="str">
        <f t="shared" si="7"/>
        <v>Warmwasser Rechenwert</v>
      </c>
      <c r="E503" s="430" t="s">
        <v>3064</v>
      </c>
      <c r="F503" s="960" t="s">
        <v>2657</v>
      </c>
      <c r="G503" s="431" t="s">
        <v>3306</v>
      </c>
    </row>
    <row r="504" spans="1:7" ht="25.9" customHeight="1">
      <c r="A504" s="429">
        <v>501</v>
      </c>
      <c r="B504" s="990" t="s">
        <v>3092</v>
      </c>
      <c r="C504" s="990" t="s">
        <v>3108</v>
      </c>
      <c r="D504" s="956" t="str">
        <f>INDEX($E$4:$G$603,$A504,$A$1)</f>
        <v xml:space="preserve"> </v>
      </c>
      <c r="E504" s="457" t="s">
        <v>199</v>
      </c>
    </row>
    <row r="505" spans="1:7" ht="25.9" customHeight="1">
      <c r="A505" s="429">
        <v>502</v>
      </c>
      <c r="B505" s="990" t="s">
        <v>3092</v>
      </c>
      <c r="C505" s="990" t="s">
        <v>3109</v>
      </c>
      <c r="D505" s="956" t="str">
        <f t="shared" ref="D505:D567" si="8">INDEX($E$4:$G$603,$A505,$A$1)</f>
        <v>Klimakälte</v>
      </c>
      <c r="E505" s="430" t="s">
        <v>3065</v>
      </c>
      <c r="F505" s="960" t="s">
        <v>3307</v>
      </c>
      <c r="G505" s="431" t="s">
        <v>3591</v>
      </c>
    </row>
    <row r="506" spans="1:7" ht="25.9" customHeight="1">
      <c r="A506" s="429">
        <v>503</v>
      </c>
      <c r="B506" s="990" t="s">
        <v>3092</v>
      </c>
      <c r="C506" s="990" t="s">
        <v>3110</v>
      </c>
      <c r="D506" s="956" t="str">
        <f t="shared" si="8"/>
        <v>Lüftung</v>
      </c>
      <c r="E506" s="430" t="s">
        <v>642</v>
      </c>
      <c r="F506" s="960" t="s">
        <v>3308</v>
      </c>
      <c r="G506" s="431" t="s">
        <v>3309</v>
      </c>
    </row>
    <row r="507" spans="1:7" ht="25.9" customHeight="1">
      <c r="A507" s="429">
        <v>504</v>
      </c>
      <c r="B507" s="990" t="s">
        <v>3092</v>
      </c>
      <c r="C507" s="990" t="s">
        <v>3111</v>
      </c>
      <c r="D507" s="956" t="str">
        <f t="shared" si="8"/>
        <v>Anzahl Wohneinheiten</v>
      </c>
      <c r="E507" s="430" t="s">
        <v>2300</v>
      </c>
      <c r="F507" s="960" t="s">
        <v>3310</v>
      </c>
      <c r="G507" s="431" t="s">
        <v>3311</v>
      </c>
    </row>
    <row r="508" spans="1:7" ht="25.9" customHeight="1">
      <c r="A508" s="429">
        <v>505</v>
      </c>
      <c r="B508" s="990" t="s">
        <v>3092</v>
      </c>
      <c r="C508" s="990" t="s">
        <v>3112</v>
      </c>
      <c r="D508" s="956" t="str">
        <f t="shared" si="8"/>
        <v>Bedarf Lift</v>
      </c>
      <c r="E508" s="430" t="s">
        <v>3066</v>
      </c>
      <c r="F508" s="960" t="s">
        <v>3312</v>
      </c>
      <c r="G508" s="431" t="s">
        <v>3313</v>
      </c>
    </row>
    <row r="509" spans="1:7" ht="25.9" customHeight="1">
      <c r="A509" s="429">
        <v>506</v>
      </c>
      <c r="B509" s="990" t="s">
        <v>3092</v>
      </c>
      <c r="C509" s="990" t="s">
        <v>3113</v>
      </c>
      <c r="D509" s="956" t="str">
        <f t="shared" si="8"/>
        <v>Bedarf Heizbänder</v>
      </c>
      <c r="E509" s="430" t="s">
        <v>3067</v>
      </c>
      <c r="F509" s="960" t="s">
        <v>3314</v>
      </c>
      <c r="G509" s="431" t="s">
        <v>3315</v>
      </c>
    </row>
    <row r="510" spans="1:7" ht="25.9" customHeight="1">
      <c r="A510" s="429">
        <v>507</v>
      </c>
      <c r="B510" s="990" t="s">
        <v>3092</v>
      </c>
      <c r="C510" s="990" t="s">
        <v>3114</v>
      </c>
      <c r="D510" s="956" t="str">
        <f t="shared" si="8"/>
        <v>Reduktion Geschirrspüler</v>
      </c>
      <c r="E510" s="430" t="s">
        <v>3068</v>
      </c>
      <c r="F510" s="960" t="s">
        <v>3316</v>
      </c>
      <c r="G510" s="431" t="s">
        <v>3317</v>
      </c>
    </row>
    <row r="511" spans="1:7" ht="25.9" customHeight="1">
      <c r="A511" s="429">
        <v>508</v>
      </c>
      <c r="B511" s="990" t="s">
        <v>3092</v>
      </c>
      <c r="C511" s="990" t="s">
        <v>3115</v>
      </c>
      <c r="D511" s="956" t="str">
        <f t="shared" si="8"/>
        <v>Reduktion Kühl- und Gefrierschränke</v>
      </c>
      <c r="E511" s="430" t="s">
        <v>3069</v>
      </c>
      <c r="F511" s="960" t="s">
        <v>3318</v>
      </c>
      <c r="G511" s="431" t="s">
        <v>3319</v>
      </c>
    </row>
    <row r="512" spans="1:7" ht="25.9" customHeight="1">
      <c r="A512" s="429">
        <v>509</v>
      </c>
      <c r="B512" s="990" t="s">
        <v>3092</v>
      </c>
      <c r="C512" s="990" t="s">
        <v>3116</v>
      </c>
      <c r="D512" s="956" t="str">
        <f t="shared" si="8"/>
        <v>Reduktion Waschmaschine</v>
      </c>
      <c r="E512" s="430" t="s">
        <v>3070</v>
      </c>
      <c r="F512" s="960" t="s">
        <v>3320</v>
      </c>
      <c r="G512" s="431" t="s">
        <v>3321</v>
      </c>
    </row>
    <row r="513" spans="1:7" ht="25.9" customHeight="1">
      <c r="A513" s="429">
        <v>510</v>
      </c>
      <c r="B513" s="990" t="s">
        <v>3092</v>
      </c>
      <c r="C513" s="990" t="s">
        <v>3117</v>
      </c>
      <c r="D513" s="956" t="str">
        <f t="shared" si="8"/>
        <v>Reduktion Wäschetrockner</v>
      </c>
      <c r="E513" s="430" t="s">
        <v>3071</v>
      </c>
      <c r="F513" s="960" t="s">
        <v>3322</v>
      </c>
      <c r="G513" s="431" t="s">
        <v>3323</v>
      </c>
    </row>
    <row r="514" spans="1:7" ht="25.9" customHeight="1">
      <c r="A514" s="429">
        <v>511</v>
      </c>
      <c r="B514" s="990" t="s">
        <v>3092</v>
      </c>
      <c r="C514" s="990" t="s">
        <v>3118</v>
      </c>
      <c r="D514" s="956" t="str">
        <f t="shared" si="8"/>
        <v>Reduktion Induktionskochherde</v>
      </c>
      <c r="E514" s="430" t="s">
        <v>3072</v>
      </c>
      <c r="F514" s="960" t="s">
        <v>3324</v>
      </c>
      <c r="G514" s="431" t="s">
        <v>3325</v>
      </c>
    </row>
    <row r="515" spans="1:7" ht="25.9" customHeight="1">
      <c r="A515" s="429">
        <v>512</v>
      </c>
      <c r="B515" s="990" t="s">
        <v>3092</v>
      </c>
      <c r="C515" s="990" t="s">
        <v>3119</v>
      </c>
      <c r="D515" s="956" t="str">
        <f t="shared" si="8"/>
        <v>Reduktion Wohnungsbeleuchtung</v>
      </c>
      <c r="E515" s="430" t="s">
        <v>3073</v>
      </c>
      <c r="F515" s="960" t="s">
        <v>3326</v>
      </c>
      <c r="G515" s="431" t="s">
        <v>3327</v>
      </c>
    </row>
    <row r="516" spans="1:7" ht="25.9" customHeight="1">
      <c r="A516" s="429">
        <v>513</v>
      </c>
      <c r="B516" s="990" t="s">
        <v>3092</v>
      </c>
      <c r="C516" s="990" t="s">
        <v>3120</v>
      </c>
      <c r="D516" s="956" t="str">
        <f t="shared" si="8"/>
        <v>Reduktion allgemeine Beleuchtung</v>
      </c>
      <c r="E516" s="430" t="s">
        <v>3074</v>
      </c>
      <c r="F516" s="960" t="s">
        <v>3328</v>
      </c>
      <c r="G516" s="431" t="s">
        <v>3329</v>
      </c>
    </row>
    <row r="517" spans="1:7" ht="25.9" customHeight="1">
      <c r="A517" s="429">
        <v>514</v>
      </c>
      <c r="B517" s="990" t="s">
        <v>3092</v>
      </c>
      <c r="C517" s="990" t="s">
        <v>3121</v>
      </c>
      <c r="D517" s="956" t="str">
        <f t="shared" si="8"/>
        <v>Reduktion Geräte Gebäudebetrieb</v>
      </c>
      <c r="E517" s="430" t="s">
        <v>3075</v>
      </c>
      <c r="F517" s="960" t="s">
        <v>3330</v>
      </c>
      <c r="G517" s="431" t="s">
        <v>3331</v>
      </c>
    </row>
    <row r="518" spans="1:7" ht="25.9" customHeight="1">
      <c r="A518" s="429">
        <v>515</v>
      </c>
      <c r="B518" s="990" t="s">
        <v>3092</v>
      </c>
      <c r="C518" s="990" t="s">
        <v>3122</v>
      </c>
      <c r="D518" s="956" t="str">
        <f t="shared" si="8"/>
        <v>Bedarf Beleuchtung Zweckbau Rechenwert</v>
      </c>
      <c r="E518" s="430" t="s">
        <v>3076</v>
      </c>
      <c r="F518" s="960" t="s">
        <v>3332</v>
      </c>
      <c r="G518" s="431" t="s">
        <v>3333</v>
      </c>
    </row>
    <row r="519" spans="1:7" ht="25.9" customHeight="1">
      <c r="A519" s="429">
        <v>516</v>
      </c>
      <c r="B519" s="990" t="s">
        <v>3092</v>
      </c>
      <c r="C519" s="990" t="s">
        <v>3123</v>
      </c>
      <c r="D519" s="956" t="str">
        <f t="shared" si="8"/>
        <v>Bedarf Geräte Zweckbau Rechenwert</v>
      </c>
      <c r="E519" s="430" t="s">
        <v>3077</v>
      </c>
      <c r="F519" s="960" t="s">
        <v>3334</v>
      </c>
      <c r="G519" s="431" t="s">
        <v>3335</v>
      </c>
    </row>
    <row r="520" spans="1:7" ht="25.9" customHeight="1">
      <c r="A520" s="429">
        <v>517</v>
      </c>
      <c r="B520" s="990" t="s">
        <v>3092</v>
      </c>
      <c r="C520" s="990" t="s">
        <v>3124</v>
      </c>
      <c r="D520" s="956" t="str">
        <f t="shared" si="8"/>
        <v>Bedarf AGT Zweckbau Rechenwert</v>
      </c>
      <c r="E520" s="430" t="s">
        <v>3078</v>
      </c>
      <c r="F520" s="960" t="s">
        <v>3336</v>
      </c>
      <c r="G520" s="431" t="s">
        <v>3337</v>
      </c>
    </row>
    <row r="521" spans="1:7" ht="25.9" customHeight="1">
      <c r="A521" s="429">
        <v>518</v>
      </c>
      <c r="B521" s="990" t="s">
        <v>313</v>
      </c>
      <c r="C521" s="990" t="s">
        <v>549</v>
      </c>
      <c r="D521" s="956" t="str">
        <f t="shared" si="8"/>
        <v xml:space="preserve"> - Wärmerückgewinnung Abwasser in %</v>
      </c>
      <c r="E521" s="430" t="s">
        <v>3151</v>
      </c>
      <c r="F521" s="960" t="s">
        <v>3338</v>
      </c>
      <c r="G521" s="431" t="s">
        <v>3339</v>
      </c>
    </row>
    <row r="522" spans="1:7" ht="25.9" customHeight="1">
      <c r="A522" s="429">
        <v>519</v>
      </c>
      <c r="B522" s="990" t="s">
        <v>313</v>
      </c>
      <c r="C522" s="990" t="s">
        <v>1783</v>
      </c>
      <c r="D522" s="956" t="str">
        <f t="shared" si="8"/>
        <v>Gebäudehöhe</v>
      </c>
      <c r="E522" s="430" t="s">
        <v>3204</v>
      </c>
      <c r="F522" s="960" t="s">
        <v>3340</v>
      </c>
      <c r="G522" s="431" t="s">
        <v>3341</v>
      </c>
    </row>
    <row r="523" spans="1:7" ht="25.9" customHeight="1">
      <c r="A523" s="429">
        <v>520</v>
      </c>
      <c r="B523" s="990" t="s">
        <v>622</v>
      </c>
      <c r="C523" s="990" t="s">
        <v>3210</v>
      </c>
      <c r="D523" s="956" t="str">
        <f t="shared" si="8"/>
        <v>Gaswärmepumpe, Heizung</v>
      </c>
      <c r="E523" s="430" t="s">
        <v>3206</v>
      </c>
      <c r="F523" s="960" t="s">
        <v>3342</v>
      </c>
      <c r="G523" s="431" t="s">
        <v>3343</v>
      </c>
    </row>
    <row r="524" spans="1:7" ht="25.9" customHeight="1">
      <c r="A524" s="429">
        <v>521</v>
      </c>
      <c r="B524" s="990" t="s">
        <v>622</v>
      </c>
      <c r="C524" s="990" t="s">
        <v>3211</v>
      </c>
      <c r="D524" s="956" t="str">
        <f t="shared" si="8"/>
        <v>Gaswärmepumpe, Warmwasser</v>
      </c>
      <c r="E524" s="430" t="s">
        <v>3207</v>
      </c>
      <c r="F524" s="960" t="s">
        <v>3344</v>
      </c>
      <c r="G524" s="431" t="s">
        <v>3345</v>
      </c>
    </row>
    <row r="525" spans="1:7" ht="25.9" customHeight="1">
      <c r="A525" s="429">
        <v>522</v>
      </c>
      <c r="B525" s="990" t="s">
        <v>622</v>
      </c>
      <c r="C525" s="990" t="s">
        <v>3212</v>
      </c>
      <c r="D525" s="956" t="str">
        <f t="shared" si="8"/>
        <v>Gaswärmepumpe, nur Heizung</v>
      </c>
      <c r="E525" s="430" t="s">
        <v>3208</v>
      </c>
      <c r="F525" s="960" t="s">
        <v>3346</v>
      </c>
      <c r="G525" s="431" t="s">
        <v>3347</v>
      </c>
    </row>
    <row r="526" spans="1:7" ht="25.9" customHeight="1">
      <c r="A526" s="429">
        <v>523</v>
      </c>
      <c r="B526" s="990" t="s">
        <v>622</v>
      </c>
      <c r="C526" s="990" t="s">
        <v>3213</v>
      </c>
      <c r="D526" s="956" t="str">
        <f t="shared" si="8"/>
        <v>Gaswärmepumpe, nur Warmwasser</v>
      </c>
      <c r="E526" s="430" t="s">
        <v>3209</v>
      </c>
      <c r="F526" s="960" t="s">
        <v>3348</v>
      </c>
      <c r="G526" s="431" t="s">
        <v>3349</v>
      </c>
    </row>
    <row r="527" spans="1:7" ht="25.9" customHeight="1">
      <c r="A527" s="429">
        <v>524</v>
      </c>
      <c r="B527" s="990" t="s">
        <v>53</v>
      </c>
      <c r="C527" s="990" t="s">
        <v>3223</v>
      </c>
      <c r="D527" s="956" t="str">
        <f t="shared" si="8"/>
        <v>Einheit prüfen !</v>
      </c>
      <c r="E527" s="430" t="s">
        <v>3222</v>
      </c>
      <c r="F527" s="960" t="s">
        <v>3350</v>
      </c>
      <c r="G527" s="431" t="s">
        <v>3351</v>
      </c>
    </row>
    <row r="528" spans="1:7" ht="25.9" customHeight="1">
      <c r="A528" s="429">
        <v>525</v>
      </c>
      <c r="B528" s="990" t="s">
        <v>313</v>
      </c>
      <c r="C528" s="990" t="s">
        <v>858</v>
      </c>
      <c r="D528" s="956" t="str">
        <f t="shared" si="8"/>
        <v>Beleuchtungsnachweis vorhanden</v>
      </c>
      <c r="E528" s="430" t="s">
        <v>3247</v>
      </c>
      <c r="F528" s="960" t="s">
        <v>3352</v>
      </c>
      <c r="G528" s="431" t="s">
        <v>3353</v>
      </c>
    </row>
    <row r="529" spans="1:7" ht="25.9" customHeight="1">
      <c r="A529" s="429">
        <v>526</v>
      </c>
      <c r="B529" s="990" t="s">
        <v>622</v>
      </c>
      <c r="C529" s="990" t="s">
        <v>1830</v>
      </c>
      <c r="D529" s="956" t="str">
        <f t="shared" si="8"/>
        <v>Konzept Luftdichtheitsmessung beigelegt?</v>
      </c>
      <c r="E529" s="430" t="s">
        <v>3280</v>
      </c>
      <c r="F529" s="960" t="s">
        <v>3354</v>
      </c>
      <c r="G529" s="431" t="s">
        <v>3355</v>
      </c>
    </row>
    <row r="530" spans="1:7" ht="25.9" customHeight="1">
      <c r="A530" s="429">
        <v>527</v>
      </c>
      <c r="B530" s="990" t="s">
        <v>1770</v>
      </c>
      <c r="C530" s="990" t="s">
        <v>549</v>
      </c>
      <c r="D530" s="956" t="str">
        <f t="shared" si="8"/>
        <v>Wohnen (EFH, MFH), Räume mit bis zu 2 Fassaden, Betondecke (&gt;80% frei)</v>
      </c>
      <c r="E530" s="430" t="s">
        <v>3396</v>
      </c>
      <c r="F530" s="960" t="s">
        <v>3592</v>
      </c>
      <c r="G530" s="431" t="s">
        <v>3593</v>
      </c>
    </row>
    <row r="531" spans="1:7" ht="25.9" customHeight="1">
      <c r="A531" s="429">
        <v>528</v>
      </c>
      <c r="B531" s="990" t="s">
        <v>1770</v>
      </c>
      <c r="C531" s="990" t="s">
        <v>1779</v>
      </c>
      <c r="D531" s="956" t="str">
        <f t="shared" si="8"/>
        <v>- Maximale Glasflächenzahl:</v>
      </c>
      <c r="E531" s="430" t="s">
        <v>3397</v>
      </c>
      <c r="F531" s="960" t="s">
        <v>3594</v>
      </c>
      <c r="G531" s="431" t="s">
        <v>3595</v>
      </c>
    </row>
    <row r="532" spans="1:7" ht="25.9" customHeight="1">
      <c r="A532" s="429">
        <v>529</v>
      </c>
      <c r="B532" s="990" t="s">
        <v>1770</v>
      </c>
      <c r="C532" s="990" t="s">
        <v>550</v>
      </c>
      <c r="D532" s="956" t="str">
        <f t="shared" si="8"/>
        <v>Wohnen (EFH, MFH), Räume mit bis zu 2 Fassaden, Holzdecke und Zementunterlagsboden mit min. 6 cm oder Anhydrit min. 5 cm Stärke</v>
      </c>
      <c r="E532" s="430" t="s">
        <v>3398</v>
      </c>
      <c r="F532" s="960" t="s">
        <v>3596</v>
      </c>
      <c r="G532" s="431" t="s">
        <v>3597</v>
      </c>
    </row>
    <row r="533" spans="1:7" ht="25.9" customHeight="1">
      <c r="A533" s="429">
        <v>530</v>
      </c>
      <c r="B533" s="990" t="s">
        <v>1770</v>
      </c>
      <c r="C533" s="990" t="s">
        <v>496</v>
      </c>
      <c r="D533" s="956" t="str">
        <f t="shared" si="8"/>
        <v>Wohnen (EFH, MFH), Räume mit 1 Fassade, Betondecke (&gt;80% frei) SSE-SSW-Orientierung und Verschattung durch Balkon mit 1 Meter Tiefe</v>
      </c>
      <c r="E533" s="430" t="s">
        <v>3454</v>
      </c>
      <c r="F533" s="960" t="s">
        <v>3598</v>
      </c>
      <c r="G533" s="431" t="s">
        <v>3599</v>
      </c>
    </row>
    <row r="534" spans="1:7" ht="25.9" customHeight="1">
      <c r="A534" s="429">
        <v>531</v>
      </c>
      <c r="B534" s="990" t="s">
        <v>1770</v>
      </c>
      <c r="C534" s="990" t="s">
        <v>870</v>
      </c>
      <c r="D534" s="956" t="str">
        <f t="shared" si="8"/>
        <v>Einzelbüro, Gruppenbüro, Räume mit bis zu 2 Fassaden, Betondecke (&gt; 40% frei) und automat. Steuerung des Sonnenschutzes. G-Wert Glas ≤ 30%</v>
      </c>
      <c r="E534" s="430" t="s">
        <v>3399</v>
      </c>
      <c r="F534" s="960" t="s">
        <v>3600</v>
      </c>
      <c r="G534" s="431" t="s">
        <v>3601</v>
      </c>
    </row>
    <row r="535" spans="1:7" ht="25.9" customHeight="1">
      <c r="A535" s="429">
        <v>532</v>
      </c>
      <c r="B535" s="990" t="s">
        <v>1770</v>
      </c>
      <c r="C535" s="990" t="s">
        <v>875</v>
      </c>
      <c r="D535" s="956" t="str">
        <f t="shared" si="8"/>
        <v>Variante 2: Externer Nachweis der Kriterien gemäss SIA382/1 und SIA 180 (ohne Kühlung)</v>
      </c>
      <c r="E535" s="430" t="s">
        <v>3400</v>
      </c>
      <c r="F535" s="960" t="s">
        <v>3602</v>
      </c>
      <c r="G535" s="431" t="s">
        <v>3603</v>
      </c>
    </row>
    <row r="536" spans="1:7" ht="42" customHeight="1">
      <c r="A536" s="429">
        <v>533</v>
      </c>
      <c r="B536" s="990" t="s">
        <v>1770</v>
      </c>
      <c r="C536" s="990" t="s">
        <v>98</v>
      </c>
      <c r="D536" s="956" t="str">
        <f t="shared" si="8"/>
        <v>Anforderungen an den baulichen sommerlichen Wärmeschutz gemäss Nachweis Sommerlicher Wärmeschutz Variante 2 erfüllt?</v>
      </c>
      <c r="E536" s="430" t="s">
        <v>3565</v>
      </c>
      <c r="F536" s="960" t="s">
        <v>3604</v>
      </c>
      <c r="G536" s="431" t="s">
        <v>3605</v>
      </c>
    </row>
    <row r="537" spans="1:7" ht="25.9" customHeight="1">
      <c r="A537" s="429">
        <v>534</v>
      </c>
      <c r="B537" s="990" t="s">
        <v>1770</v>
      </c>
      <c r="C537" s="990" t="s">
        <v>854</v>
      </c>
      <c r="D537" s="956" t="str">
        <f t="shared" si="8"/>
        <v>- Keine Oblichter</v>
      </c>
      <c r="E537" s="430" t="s">
        <v>3401</v>
      </c>
      <c r="F537" s="960" t="s">
        <v>3606</v>
      </c>
      <c r="G537" s="431" t="s">
        <v>3607</v>
      </c>
    </row>
    <row r="538" spans="1:7" ht="25.9" customHeight="1">
      <c r="A538" s="429">
        <v>535</v>
      </c>
      <c r="B538" s="990" t="s">
        <v>1770</v>
      </c>
      <c r="C538" s="990" t="s">
        <v>466</v>
      </c>
      <c r="D538" s="956" t="str">
        <f t="shared" si="8"/>
        <v>- Aussen liegender beweglicher Sonnenschutz mit Rolläden oder Rafflamellenstoren (g-Wert-total max 0.1)</v>
      </c>
      <c r="E538" s="430" t="s">
        <v>3402</v>
      </c>
      <c r="F538" s="960" t="s">
        <v>3608</v>
      </c>
      <c r="G538" s="431" t="s">
        <v>3609</v>
      </c>
    </row>
    <row r="539" spans="1:7" ht="25.9" customHeight="1">
      <c r="A539" s="429">
        <v>536</v>
      </c>
      <c r="B539" s="990" t="s">
        <v>1770</v>
      </c>
      <c r="C539" s="990" t="s">
        <v>857</v>
      </c>
      <c r="D539" s="956" t="str">
        <f t="shared" si="8"/>
        <v>- Eine Nachauskühlung mit Fensterlüftung ist möglich (Hinweis: Der Einbruchschutz wird im Rahmen der Minergie-Zertifizierung generell nicht geprüft.);</v>
      </c>
      <c r="E539" s="430" t="s">
        <v>3403</v>
      </c>
      <c r="F539" s="960" t="s">
        <v>3610</v>
      </c>
      <c r="G539" s="431" t="s">
        <v>3611</v>
      </c>
    </row>
    <row r="540" spans="1:7" ht="25.9" customHeight="1">
      <c r="A540" s="429">
        <v>537</v>
      </c>
      <c r="B540" s="990" t="s">
        <v>1770</v>
      </c>
      <c r="C540" s="990" t="s">
        <v>858</v>
      </c>
      <c r="D540" s="956" t="str">
        <f t="shared" si="8"/>
        <v>- Die internen Wärmelasten sind nicht höher als die Standardwerte im Merkblatt SIA 2024</v>
      </c>
      <c r="E540" s="430" t="s">
        <v>3404</v>
      </c>
      <c r="F540" s="960" t="s">
        <v>3612</v>
      </c>
      <c r="G540" s="431" t="s">
        <v>3613</v>
      </c>
    </row>
    <row r="541" spans="1:7" ht="25.9" customHeight="1">
      <c r="A541" s="429">
        <v>538</v>
      </c>
      <c r="B541" s="990" t="s">
        <v>1770</v>
      </c>
      <c r="C541" s="990" t="s">
        <v>1816</v>
      </c>
      <c r="D541" s="956" t="str">
        <f t="shared" si="8"/>
        <v>Anforderungen an Komfortkriterien gemäss Nachweis Sommerlicher Wärmeschutz erfüllt?</v>
      </c>
      <c r="E541" s="430" t="s">
        <v>3566</v>
      </c>
      <c r="F541" s="960" t="s">
        <v>3614</v>
      </c>
      <c r="G541" s="431" t="s">
        <v>3615</v>
      </c>
    </row>
    <row r="542" spans="1:7" ht="25.9" customHeight="1">
      <c r="A542" s="429">
        <v>539</v>
      </c>
      <c r="B542" s="990" t="s">
        <v>1770</v>
      </c>
      <c r="C542" s="990" t="s">
        <v>3406</v>
      </c>
      <c r="D542" s="956" t="str">
        <f t="shared" si="8"/>
        <v>Bis auf weiteres zulässig</v>
      </c>
      <c r="E542" s="430" t="s">
        <v>3405</v>
      </c>
      <c r="F542" s="960" t="s">
        <v>3616</v>
      </c>
      <c r="G542" s="431" t="s">
        <v>3617</v>
      </c>
    </row>
    <row r="543" spans="1:7" ht="25.9" customHeight="1">
      <c r="A543" s="429">
        <v>540</v>
      </c>
      <c r="B543" s="990" t="s">
        <v>622</v>
      </c>
      <c r="C543" s="990" t="s">
        <v>3500</v>
      </c>
      <c r="D543" s="1845" t="str">
        <f t="shared" si="8"/>
        <v>Leerrohre Elektromobilität</v>
      </c>
      <c r="E543" s="430" t="s">
        <v>3501</v>
      </c>
      <c r="F543" s="960" t="s">
        <v>3618</v>
      </c>
      <c r="G543" s="431" t="s">
        <v>3619</v>
      </c>
    </row>
    <row r="544" spans="1:7" ht="25.9" customHeight="1">
      <c r="A544" s="429">
        <v>541</v>
      </c>
      <c r="B544" s="990" t="s">
        <v>622</v>
      </c>
      <c r="C544" s="990" t="s">
        <v>3502</v>
      </c>
      <c r="D544" s="1845" t="str">
        <f t="shared" si="8"/>
        <v>Sind Leerrohre für E-Mobilität vorgesehen?</v>
      </c>
      <c r="E544" s="430" t="s">
        <v>3503</v>
      </c>
      <c r="F544" s="960" t="s">
        <v>3620</v>
      </c>
      <c r="G544" s="431" t="s">
        <v>3621</v>
      </c>
    </row>
    <row r="545" spans="1:7" ht="25.9" customHeight="1">
      <c r="A545" s="429">
        <v>542</v>
      </c>
      <c r="B545" s="990" t="s">
        <v>1820</v>
      </c>
      <c r="C545" s="990" t="s">
        <v>3539</v>
      </c>
      <c r="D545" s="1845" t="str">
        <f t="shared" si="8"/>
        <v>MKZ,H: Minergie-Teilkennzahl Heizung</v>
      </c>
      <c r="E545" s="430" t="s">
        <v>3529</v>
      </c>
      <c r="F545" s="960" t="s">
        <v>3622</v>
      </c>
      <c r="G545" s="431" t="s">
        <v>3623</v>
      </c>
    </row>
    <row r="546" spans="1:7" ht="25.9" customHeight="1">
      <c r="A546" s="429">
        <v>543</v>
      </c>
      <c r="B546" s="990" t="s">
        <v>1820</v>
      </c>
      <c r="C546" s="990" t="s">
        <v>3540</v>
      </c>
      <c r="D546" s="1845" t="str">
        <f t="shared" si="8"/>
        <v>MKZ,ww: Minergie-Teilkennzahl Warmwasser</v>
      </c>
      <c r="E546" s="430" t="s">
        <v>3530</v>
      </c>
      <c r="F546" s="960" t="s">
        <v>3624</v>
      </c>
      <c r="G546" s="431" t="s">
        <v>3625</v>
      </c>
    </row>
    <row r="547" spans="1:7" ht="25.9" customHeight="1">
      <c r="A547" s="429">
        <v>544</v>
      </c>
      <c r="B547" s="990" t="s">
        <v>1820</v>
      </c>
      <c r="C547" s="990" t="s">
        <v>3541</v>
      </c>
      <c r="D547" s="1845" t="str">
        <f t="shared" si="8"/>
        <v>MKZ,LK: Minergie-Teilkennzahl Lüftung und Klima</v>
      </c>
      <c r="E547" s="430" t="s">
        <v>3531</v>
      </c>
      <c r="F547" s="960" t="s">
        <v>3626</v>
      </c>
      <c r="G547" s="431" t="s">
        <v>3627</v>
      </c>
    </row>
    <row r="548" spans="1:7" ht="25.9" customHeight="1">
      <c r="A548" s="429">
        <v>545</v>
      </c>
      <c r="B548" s="990" t="s">
        <v>1820</v>
      </c>
      <c r="C548" s="990" t="s">
        <v>3542</v>
      </c>
      <c r="D548" s="1845" t="str">
        <f t="shared" si="8"/>
        <v>MKZel,wohn: Minergie-Teilkennzahl Wohnstrom</v>
      </c>
      <c r="E548" s="430" t="s">
        <v>3532</v>
      </c>
      <c r="F548" s="960" t="s">
        <v>3628</v>
      </c>
      <c r="G548" s="431" t="s">
        <v>3629</v>
      </c>
    </row>
    <row r="549" spans="1:7" ht="25.9" customHeight="1">
      <c r="A549" s="429">
        <v>546</v>
      </c>
      <c r="B549" s="990" t="s">
        <v>1820</v>
      </c>
      <c r="C549" s="990" t="s">
        <v>3543</v>
      </c>
      <c r="D549" s="1845" t="str">
        <f t="shared" si="8"/>
        <v>MKZ,Bel: Minergie-Teilkennzahl Beleuchtung</v>
      </c>
      <c r="E549" s="430" t="s">
        <v>3533</v>
      </c>
      <c r="F549" s="960" t="s">
        <v>3630</v>
      </c>
      <c r="G549" s="431" t="s">
        <v>3631</v>
      </c>
    </row>
    <row r="550" spans="1:7" ht="25.9" customHeight="1">
      <c r="A550" s="429">
        <v>547</v>
      </c>
      <c r="B550" s="990" t="s">
        <v>1820</v>
      </c>
      <c r="C550" s="990" t="s">
        <v>3544</v>
      </c>
      <c r="D550" s="1845" t="str">
        <f t="shared" si="8"/>
        <v>MKZ,Geräte: Minergie-Teilkennzahl Geräte</v>
      </c>
      <c r="E550" s="430" t="s">
        <v>3534</v>
      </c>
      <c r="F550" s="960" t="s">
        <v>3632</v>
      </c>
      <c r="G550" s="431" t="s">
        <v>3633</v>
      </c>
    </row>
    <row r="551" spans="1:7" ht="25.9" customHeight="1">
      <c r="A551" s="429">
        <v>548</v>
      </c>
      <c r="B551" s="990" t="s">
        <v>1820</v>
      </c>
      <c r="C551" s="990" t="s">
        <v>3545</v>
      </c>
      <c r="D551" s="1845" t="str">
        <f t="shared" si="8"/>
        <v>MKZ,AGT: Minergie-Teilkennzahl allgemeine Gebäudetechnik</v>
      </c>
      <c r="E551" s="430" t="s">
        <v>3535</v>
      </c>
      <c r="F551" s="960" t="s">
        <v>3634</v>
      </c>
      <c r="G551" s="431" t="s">
        <v>3635</v>
      </c>
    </row>
    <row r="552" spans="1:7" ht="25.9" customHeight="1">
      <c r="A552" s="429">
        <v>549</v>
      </c>
      <c r="B552" s="990" t="s">
        <v>1820</v>
      </c>
      <c r="C552" s="990" t="s">
        <v>3546</v>
      </c>
      <c r="D552" s="1845" t="str">
        <f t="shared" si="8"/>
        <v>E,EB: Eigenverbrauch des selbstproduzierten PV-Stroms</v>
      </c>
      <c r="E552" s="430" t="s">
        <v>3536</v>
      </c>
      <c r="F552" s="960" t="s">
        <v>3636</v>
      </c>
      <c r="G552" s="431" t="s">
        <v>3637</v>
      </c>
    </row>
    <row r="553" spans="1:7" ht="25.9" customHeight="1">
      <c r="A553" s="429">
        <v>550</v>
      </c>
      <c r="B553" s="990" t="s">
        <v>1820</v>
      </c>
      <c r="C553" s="990" t="s">
        <v>3547</v>
      </c>
      <c r="D553" s="1845" t="str">
        <f t="shared" si="8"/>
        <v>E,Netz: Ins Netz eingespiesener PV-Strom aus der eigenen Anlage</v>
      </c>
      <c r="E553" s="430" t="s">
        <v>3537</v>
      </c>
      <c r="F553" s="960" t="s">
        <v>3638</v>
      </c>
      <c r="G553" s="431" t="s">
        <v>3639</v>
      </c>
    </row>
    <row r="554" spans="1:7" ht="25.9" customHeight="1">
      <c r="A554" s="429">
        <v>551</v>
      </c>
      <c r="B554" s="990" t="s">
        <v>1820</v>
      </c>
      <c r="C554" s="990" t="s">
        <v>3548</v>
      </c>
      <c r="D554" s="1845" t="str">
        <f t="shared" si="8"/>
        <v>MKZ: Minergie-Kennzahl</v>
      </c>
      <c r="E554" s="430" t="s">
        <v>3538</v>
      </c>
      <c r="F554" s="960" t="s">
        <v>3640</v>
      </c>
      <c r="G554" s="431" t="s">
        <v>3641</v>
      </c>
    </row>
    <row r="555" spans="1:7" ht="25.9" customHeight="1">
      <c r="A555" s="429">
        <v>552</v>
      </c>
      <c r="B555" s="990" t="s">
        <v>1770</v>
      </c>
      <c r="C555" s="990" t="s">
        <v>3567</v>
      </c>
      <c r="D555" s="1845" t="str">
        <f t="shared" si="8"/>
        <v>Hinweis: Falls Nein, so muss die Möglichkeit zur Fensterlüftung trotzdem erfüllt sein.</v>
      </c>
      <c r="E555" s="430" t="s">
        <v>3564</v>
      </c>
      <c r="F555" s="960" t="s">
        <v>3642</v>
      </c>
      <c r="G555" s="431" t="s">
        <v>3643</v>
      </c>
    </row>
    <row r="556" spans="1:7" ht="25.9" customHeight="1">
      <c r="A556" s="429">
        <v>553</v>
      </c>
      <c r="B556" s="990" t="s">
        <v>1770</v>
      </c>
      <c r="C556" s="990" t="s">
        <v>884</v>
      </c>
      <c r="D556" s="1845" t="str">
        <f t="shared" si="8"/>
        <v>Variante 3: Externer Nachweis der Kriterien gemäss SIA180 und SIA382/1 (mit Kühlung)</v>
      </c>
      <c r="E556" s="430" t="s">
        <v>3644</v>
      </c>
      <c r="F556" s="960" t="s">
        <v>3645</v>
      </c>
      <c r="G556" s="431" t="s">
        <v>3646</v>
      </c>
    </row>
    <row r="557" spans="1:7" ht="63" customHeight="1">
      <c r="A557" s="429">
        <v>554</v>
      </c>
      <c r="B557" s="990" t="s">
        <v>1770</v>
      </c>
      <c r="C557" s="990" t="s">
        <v>1791</v>
      </c>
      <c r="D557" s="1845" t="str">
        <f t="shared" si="8"/>
        <v>Nachweis der baulichen Grundanforderungen muss eingehalten sein. Die sommerlichen Raumlufttemperaturen wurden gemäss SIA 382/1, Ziffer 4.5 berechnet.  Die Grenzwert- kurve gemäss SIA 180/1, Figur 4 wird ohne Kühlung an weniger als 100h überschritten.</v>
      </c>
      <c r="E557" s="430" t="s">
        <v>3574</v>
      </c>
      <c r="F557" s="960" t="s">
        <v>3647</v>
      </c>
      <c r="G557" s="431" t="s">
        <v>3648</v>
      </c>
    </row>
    <row r="558" spans="1:7" ht="25.9" customHeight="1">
      <c r="A558" s="429">
        <v>555</v>
      </c>
      <c r="B558" s="990" t="s">
        <v>1770</v>
      </c>
      <c r="C558" s="990" t="s">
        <v>858</v>
      </c>
      <c r="D558" s="1845" t="str">
        <f t="shared" si="8"/>
        <v>- Windfestigkeit des aussenliegenden beweglichen Sonnenschutzes mindestens Windwiderstandsklasse 5</v>
      </c>
      <c r="E558" s="457" t="s">
        <v>3575</v>
      </c>
      <c r="F558" s="960" t="s">
        <v>3649</v>
      </c>
      <c r="G558" s="431" t="s">
        <v>3650</v>
      </c>
    </row>
    <row r="559" spans="1:7" ht="25.9" customHeight="1">
      <c r="A559" s="429">
        <v>556</v>
      </c>
      <c r="B559" s="990" t="s">
        <v>622</v>
      </c>
      <c r="C559" s="990" t="s">
        <v>3673</v>
      </c>
      <c r="D559" s="1845" t="str">
        <f t="shared" si="8"/>
        <v>Minergie mit SIA 380/1:2016</v>
      </c>
      <c r="E559" s="430" t="s">
        <v>3667</v>
      </c>
      <c r="F559" s="960" t="s">
        <v>3679</v>
      </c>
      <c r="G559" s="431" t="s">
        <v>3685</v>
      </c>
    </row>
    <row r="560" spans="1:7" ht="25.9" customHeight="1">
      <c r="A560" s="429">
        <v>557</v>
      </c>
      <c r="B560" s="990" t="s">
        <v>622</v>
      </c>
      <c r="C560" s="990" t="s">
        <v>3674</v>
      </c>
      <c r="D560" s="1845" t="str">
        <f t="shared" si="8"/>
        <v>Minergie-P mit SIA 380/1:2016</v>
      </c>
      <c r="E560" s="430" t="s">
        <v>3668</v>
      </c>
      <c r="F560" s="960" t="s">
        <v>3680</v>
      </c>
      <c r="G560" s="431" t="s">
        <v>3686</v>
      </c>
    </row>
    <row r="561" spans="1:7" ht="25.9" customHeight="1">
      <c r="A561" s="429">
        <v>558</v>
      </c>
      <c r="B561" s="990" t="s">
        <v>622</v>
      </c>
      <c r="C561" s="990" t="s">
        <v>3675</v>
      </c>
      <c r="D561" s="1845" t="str">
        <f t="shared" si="8"/>
        <v>Minergie-A mit SIA 380/1:2016</v>
      </c>
      <c r="E561" s="430" t="s">
        <v>3669</v>
      </c>
      <c r="F561" s="960" t="s">
        <v>3681</v>
      </c>
      <c r="G561" s="431" t="s">
        <v>3687</v>
      </c>
    </row>
    <row r="562" spans="1:7" ht="25.9" customHeight="1">
      <c r="A562" s="429">
        <v>559</v>
      </c>
      <c r="B562" s="990" t="s">
        <v>622</v>
      </c>
      <c r="C562" s="990" t="s">
        <v>3676</v>
      </c>
      <c r="D562" s="1845" t="str">
        <f t="shared" si="8"/>
        <v>Minergie mit SIA 380/1:2009</v>
      </c>
      <c r="E562" s="430" t="s">
        <v>3670</v>
      </c>
      <c r="F562" s="960" t="s">
        <v>3682</v>
      </c>
      <c r="G562" s="431" t="s">
        <v>3688</v>
      </c>
    </row>
    <row r="563" spans="1:7" ht="25.9" customHeight="1">
      <c r="A563" s="429">
        <v>560</v>
      </c>
      <c r="B563" s="990" t="s">
        <v>622</v>
      </c>
      <c r="C563" s="990" t="s">
        <v>3677</v>
      </c>
      <c r="D563" s="1845" t="str">
        <f t="shared" si="8"/>
        <v>Minergie-P mit SIA 380/1:2009</v>
      </c>
      <c r="E563" s="430" t="s">
        <v>3671</v>
      </c>
      <c r="F563" s="960" t="s">
        <v>3683</v>
      </c>
      <c r="G563" s="431" t="s">
        <v>3689</v>
      </c>
    </row>
    <row r="564" spans="1:7" ht="25.9" customHeight="1">
      <c r="A564" s="429">
        <v>561</v>
      </c>
      <c r="B564" s="990" t="s">
        <v>622</v>
      </c>
      <c r="C564" s="990" t="s">
        <v>3678</v>
      </c>
      <c r="D564" s="1845" t="str">
        <f t="shared" si="8"/>
        <v>Minergie-A mit SIA 380/1:2009</v>
      </c>
      <c r="E564" s="430" t="s">
        <v>3672</v>
      </c>
      <c r="F564" s="960" t="s">
        <v>3684</v>
      </c>
      <c r="G564" s="431" t="s">
        <v>3690</v>
      </c>
    </row>
    <row r="565" spans="1:7" ht="25.9" customHeight="1">
      <c r="A565" s="429">
        <v>562</v>
      </c>
      <c r="B565" s="990" t="s">
        <v>622</v>
      </c>
      <c r="C565" s="990" t="s">
        <v>3728</v>
      </c>
      <c r="D565" s="1845" t="str">
        <f t="shared" si="8"/>
        <v>Abwärmemenge  [kWh]</v>
      </c>
      <c r="E565" s="430" t="s">
        <v>3721</v>
      </c>
      <c r="F565" s="960" t="s">
        <v>3726</v>
      </c>
      <c r="G565" s="431" t="s">
        <v>3727</v>
      </c>
    </row>
    <row r="566" spans="1:7" ht="25.9" customHeight="1">
      <c r="A566" s="429">
        <v>563</v>
      </c>
      <c r="B566" s="990" t="s">
        <v>622</v>
      </c>
      <c r="C566" s="990" t="s">
        <v>3731</v>
      </c>
      <c r="D566" s="1845" t="str">
        <f t="shared" si="8"/>
        <v>Temperatur Abwärme  [°C]</v>
      </c>
      <c r="E566" s="430" t="s">
        <v>3719</v>
      </c>
      <c r="F566" s="960" t="s">
        <v>3729</v>
      </c>
      <c r="G566" s="431" t="s">
        <v>3730</v>
      </c>
    </row>
    <row r="567" spans="1:7" ht="25.9" customHeight="1">
      <c r="A567" s="429">
        <v>564</v>
      </c>
      <c r="B567" s="990" t="s">
        <v>622</v>
      </c>
      <c r="C567" s="990" t="s">
        <v>3733</v>
      </c>
      <c r="D567" s="1845" t="str">
        <f t="shared" si="8"/>
        <v>Nutzungsgrad Kälteerzeugung  (EER)</v>
      </c>
      <c r="E567" s="430" t="s">
        <v>3732</v>
      </c>
      <c r="F567" s="960" t="s">
        <v>3734</v>
      </c>
      <c r="G567" s="431" t="s">
        <v>3735</v>
      </c>
    </row>
    <row r="568" spans="1:7" ht="25.9" customHeight="1">
      <c r="D568" s="1845"/>
    </row>
    <row r="569" spans="1:7" ht="25.9" customHeight="1">
      <c r="D569" s="1845"/>
    </row>
    <row r="570" spans="1:7" ht="25.9" customHeight="1">
      <c r="D570" s="1845"/>
    </row>
    <row r="571" spans="1:7" ht="25.9" customHeight="1">
      <c r="D571" s="1845"/>
    </row>
    <row r="572" spans="1:7" ht="25.9" customHeight="1">
      <c r="D572" s="1845"/>
    </row>
    <row r="573" spans="1:7" ht="25.9" customHeight="1">
      <c r="D573" s="1845"/>
    </row>
  </sheetData>
  <sheetProtection password="C616" sheet="1" objects="1" scenarios="1"/>
  <phoneticPr fontId="6" type="noConversion"/>
  <dataValidations count="1">
    <dataValidation type="list" allowBlank="1" showInputMessage="1" showErrorMessage="1" sqref="C1" xr:uid="{00000000-0002-0000-07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dimension ref="A1:J630"/>
  <sheetViews>
    <sheetView showZeros="0" workbookViewId="0"/>
  </sheetViews>
  <sheetFormatPr baseColWidth="10" defaultColWidth="11.42578125" defaultRowHeight="12.75"/>
  <cols>
    <col min="1" max="1" width="56.42578125" style="1009" customWidth="1"/>
    <col min="2" max="2" width="6.85546875" style="1009" customWidth="1"/>
    <col min="3" max="3" width="11.42578125" style="1415"/>
  </cols>
  <sheetData>
    <row r="1" spans="1:3">
      <c r="A1" s="1009">
        <f>Uebersetzung!C2</f>
        <v>2019</v>
      </c>
      <c r="B1" s="1008">
        <v>1</v>
      </c>
      <c r="C1" s="1415" t="s">
        <v>2148</v>
      </c>
    </row>
    <row r="2" spans="1:3">
      <c r="A2" s="1009">
        <f>Uebersetzung!A2</f>
        <v>3</v>
      </c>
      <c r="B2" s="1008">
        <v>2</v>
      </c>
      <c r="C2" s="1415" t="s">
        <v>2149</v>
      </c>
    </row>
    <row r="3" spans="1:3">
      <c r="A3" s="1008" t="str">
        <f>TEXT(A1,0)&amp;"."&amp;TEXT(A2,0)</f>
        <v>2019.3</v>
      </c>
      <c r="B3" s="1008">
        <v>3</v>
      </c>
      <c r="C3" s="1415" t="s">
        <v>2150</v>
      </c>
    </row>
    <row r="4" spans="1:3">
      <c r="A4" s="1009" t="str">
        <f>Uebersetzung!E4</f>
        <v>v2.3</v>
      </c>
      <c r="B4" s="1008">
        <v>4</v>
      </c>
      <c r="C4" s="1415" t="s">
        <v>2147</v>
      </c>
    </row>
    <row r="5" spans="1:3">
      <c r="A5" s="1009" t="str">
        <f>IF(A6&gt;1,IF(OR(A6=2,A6=5),"MINERGIE",IF(OR(A6=3,A6=6),"MINERGIE-P",IF(OR(A6=4,A6=7),"MINERGIE-A"))),Eingaben!E14)</f>
        <v>MINERGIE</v>
      </c>
      <c r="B5" s="1008">
        <v>5</v>
      </c>
      <c r="C5" s="1415" t="s">
        <v>830</v>
      </c>
    </row>
    <row r="6" spans="1:3">
      <c r="A6" s="1009">
        <f>Standardwerte!AK63</f>
        <v>2</v>
      </c>
      <c r="B6" s="1008">
        <v>6</v>
      </c>
      <c r="C6" s="1415" t="s">
        <v>1969</v>
      </c>
    </row>
    <row r="7" spans="1:3">
      <c r="A7" s="1009" t="str">
        <f>Uebersetzung!C1</f>
        <v>deutsch</v>
      </c>
      <c r="B7" s="1008">
        <v>7</v>
      </c>
      <c r="C7" s="1415" t="s">
        <v>1087</v>
      </c>
    </row>
    <row r="8" spans="1:3">
      <c r="A8" s="1009">
        <f>Uebersetzung!A1</f>
        <v>1</v>
      </c>
      <c r="B8" s="1008">
        <v>8</v>
      </c>
      <c r="C8" s="1415" t="s">
        <v>2114</v>
      </c>
    </row>
    <row r="9" spans="1:3">
      <c r="A9" s="1009">
        <f>Projekt1</f>
        <v>0</v>
      </c>
      <c r="B9" s="1008">
        <v>9</v>
      </c>
      <c r="C9" s="1415" t="s">
        <v>1970</v>
      </c>
    </row>
    <row r="10" spans="1:3">
      <c r="A10" s="1009">
        <f>Projekt2</f>
        <v>0</v>
      </c>
      <c r="B10" s="1008">
        <v>10</v>
      </c>
      <c r="C10" s="1415" t="s">
        <v>1085</v>
      </c>
    </row>
    <row r="11" spans="1:3">
      <c r="A11" s="1009">
        <f>Projekt3</f>
        <v>0</v>
      </c>
      <c r="B11" s="1008">
        <v>11</v>
      </c>
      <c r="C11" s="1415" t="s">
        <v>1971</v>
      </c>
    </row>
    <row r="12" spans="1:3">
      <c r="A12" s="1009">
        <f>Eingaben!J8</f>
        <v>0</v>
      </c>
      <c r="B12" s="1008">
        <v>12</v>
      </c>
      <c r="C12" s="1415" t="s">
        <v>1972</v>
      </c>
    </row>
    <row r="13" spans="1:3">
      <c r="A13" s="1009">
        <f>Projekt4</f>
        <v>0</v>
      </c>
      <c r="B13" s="1008">
        <v>13</v>
      </c>
      <c r="C13" s="1415" t="s">
        <v>1973</v>
      </c>
    </row>
    <row r="14" spans="1:3">
      <c r="A14" s="1009">
        <f>Hoehe</f>
        <v>0</v>
      </c>
      <c r="B14" s="1008">
        <v>14</v>
      </c>
      <c r="C14" s="1415" t="s">
        <v>1086</v>
      </c>
    </row>
    <row r="15" spans="1:3">
      <c r="A15" s="1009">
        <f>Eingaben!I13</f>
        <v>0</v>
      </c>
      <c r="B15" s="1008">
        <v>15</v>
      </c>
      <c r="C15" s="1415" t="s">
        <v>21</v>
      </c>
    </row>
    <row r="16" spans="1:3">
      <c r="A16" s="1009">
        <f>Kanton</f>
        <v>1</v>
      </c>
      <c r="B16" s="1008">
        <v>16</v>
      </c>
      <c r="C16" s="1415" t="s">
        <v>2010</v>
      </c>
    </row>
    <row r="17" spans="1:3">
      <c r="A17" s="1009" t="str">
        <f>Eingaben!I14</f>
        <v xml:space="preserve"> </v>
      </c>
      <c r="B17" s="1008">
        <v>17</v>
      </c>
      <c r="C17" s="1415" t="s">
        <v>15</v>
      </c>
    </row>
    <row r="18" spans="1:3">
      <c r="A18" s="1009">
        <f>Standardwerte!B51</f>
        <v>1</v>
      </c>
      <c r="B18" s="1008">
        <v>18</v>
      </c>
      <c r="C18" s="1415" t="s">
        <v>1974</v>
      </c>
    </row>
    <row r="19" spans="1:3">
      <c r="A19" s="1009">
        <f>Eingaben!F16</f>
        <v>0</v>
      </c>
      <c r="B19" s="1008">
        <v>19</v>
      </c>
      <c r="C19" s="1415" t="s">
        <v>1088</v>
      </c>
    </row>
    <row r="20" spans="1:3">
      <c r="A20" s="1009">
        <f>Kategorie1-1</f>
        <v>0</v>
      </c>
      <c r="B20" s="1008">
        <v>20</v>
      </c>
      <c r="C20" s="1415" t="s">
        <v>2153</v>
      </c>
    </row>
    <row r="21" spans="1:3">
      <c r="A21" s="1009">
        <f>Eingaben!G16</f>
        <v>0</v>
      </c>
      <c r="B21" s="1008">
        <v>21</v>
      </c>
      <c r="C21" s="1415" t="s">
        <v>1091</v>
      </c>
    </row>
    <row r="22" spans="1:3">
      <c r="A22" s="1009">
        <f>Kategorie2-1</f>
        <v>0</v>
      </c>
      <c r="B22" s="1008">
        <v>22</v>
      </c>
      <c r="C22" s="1415" t="s">
        <v>2155</v>
      </c>
    </row>
    <row r="23" spans="1:3">
      <c r="A23" s="1009">
        <f>Eingaben!H16</f>
        <v>0</v>
      </c>
      <c r="B23" s="1008">
        <v>23</v>
      </c>
      <c r="C23" s="1415" t="s">
        <v>1090</v>
      </c>
    </row>
    <row r="24" spans="1:3">
      <c r="A24" s="1009">
        <f>Kategorie3-1</f>
        <v>0</v>
      </c>
      <c r="B24" s="1008">
        <v>24</v>
      </c>
      <c r="C24" s="1415" t="s">
        <v>2156</v>
      </c>
    </row>
    <row r="25" spans="1:3">
      <c r="A25" s="1009">
        <f>Eingaben!I16</f>
        <v>0</v>
      </c>
      <c r="B25" s="1008">
        <v>25</v>
      </c>
      <c r="C25" s="1415" t="s">
        <v>1089</v>
      </c>
    </row>
    <row r="26" spans="1:3">
      <c r="A26" s="1009">
        <f>Kategorie4-1</f>
        <v>0</v>
      </c>
      <c r="B26" s="1008">
        <v>26</v>
      </c>
      <c r="C26" s="1415" t="s">
        <v>2154</v>
      </c>
    </row>
    <row r="27" spans="1:3">
      <c r="A27" s="1009">
        <f>Eingaben!F17</f>
        <v>0</v>
      </c>
      <c r="B27" s="1008">
        <v>27</v>
      </c>
      <c r="C27" s="1415" t="s">
        <v>1092</v>
      </c>
    </row>
    <row r="28" spans="1:3">
      <c r="A28" s="1009">
        <f>IF(A27=Uebersetzung!$D$25,1,IF(A27=Uebersetzung!$D$26,2,0))</f>
        <v>0</v>
      </c>
      <c r="B28" s="1008">
        <v>28</v>
      </c>
      <c r="C28" s="1415" t="s">
        <v>2157</v>
      </c>
    </row>
    <row r="29" spans="1:3">
      <c r="A29" s="1009">
        <f>Eingaben!G17</f>
        <v>0</v>
      </c>
      <c r="B29" s="1008">
        <v>29</v>
      </c>
      <c r="C29" s="1415" t="s">
        <v>1093</v>
      </c>
    </row>
    <row r="30" spans="1:3">
      <c r="A30" s="1009">
        <f>IF(A29=Uebersetzung!$D$25,1,IF(A29=Uebersetzung!$D$26,2,0))</f>
        <v>0</v>
      </c>
      <c r="B30" s="1008">
        <v>30</v>
      </c>
      <c r="C30" s="1415" t="s">
        <v>2160</v>
      </c>
    </row>
    <row r="31" spans="1:3">
      <c r="A31" s="1009">
        <f>Eingaben!H17</f>
        <v>0</v>
      </c>
      <c r="B31" s="1008">
        <v>31</v>
      </c>
      <c r="C31" s="1415" t="s">
        <v>1094</v>
      </c>
    </row>
    <row r="32" spans="1:3">
      <c r="A32" s="1009">
        <f>IF(A31=Uebersetzung!$D$25,1,IF(A31=Uebersetzung!$D$26,2,0))</f>
        <v>0</v>
      </c>
      <c r="B32" s="1008">
        <v>32</v>
      </c>
      <c r="C32" s="1415" t="s">
        <v>2159</v>
      </c>
    </row>
    <row r="33" spans="1:3">
      <c r="A33" s="1009">
        <f>Eingaben!I17</f>
        <v>0</v>
      </c>
      <c r="B33" s="1008">
        <v>33</v>
      </c>
      <c r="C33" s="1415" t="s">
        <v>1095</v>
      </c>
    </row>
    <row r="34" spans="1:3">
      <c r="A34" s="1009">
        <f>IF(A33=Uebersetzung!$D$25,1,IF(A33=Uebersetzung!$D$26,2,0))</f>
        <v>0</v>
      </c>
      <c r="B34" s="1008">
        <v>34</v>
      </c>
      <c r="C34" s="1415" t="s">
        <v>2158</v>
      </c>
    </row>
    <row r="35" spans="1:3">
      <c r="A35" s="1009">
        <f>_EBF1</f>
        <v>0</v>
      </c>
      <c r="B35" s="1008">
        <v>35</v>
      </c>
      <c r="C35" s="1415" t="s">
        <v>1096</v>
      </c>
    </row>
    <row r="36" spans="1:3">
      <c r="A36" s="1009">
        <f>_EBF2</f>
        <v>0</v>
      </c>
      <c r="B36" s="1008">
        <v>36</v>
      </c>
      <c r="C36" s="1415" t="s">
        <v>1097</v>
      </c>
    </row>
    <row r="37" spans="1:3">
      <c r="A37" s="1009">
        <f>_EBF3</f>
        <v>0</v>
      </c>
      <c r="B37" s="1008">
        <v>37</v>
      </c>
      <c r="C37" s="1415" t="s">
        <v>1098</v>
      </c>
    </row>
    <row r="38" spans="1:3">
      <c r="A38" s="1009">
        <f>_EBF4</f>
        <v>0</v>
      </c>
      <c r="B38" s="1008">
        <v>38</v>
      </c>
      <c r="C38" s="1415" t="s">
        <v>1099</v>
      </c>
    </row>
    <row r="39" spans="1:3">
      <c r="A39" s="1009">
        <f>Eingaben!F21</f>
        <v>0</v>
      </c>
      <c r="B39" s="1008">
        <v>39</v>
      </c>
      <c r="C39" s="1415" t="s">
        <v>1100</v>
      </c>
    </row>
    <row r="40" spans="1:3">
      <c r="A40" s="1009">
        <f>Neubau1-1</f>
        <v>0</v>
      </c>
      <c r="B40" s="1008">
        <v>40</v>
      </c>
      <c r="C40" s="1415" t="s">
        <v>2161</v>
      </c>
    </row>
    <row r="41" spans="1:3">
      <c r="A41" s="1009">
        <f>Eingaben!G21</f>
        <v>0</v>
      </c>
      <c r="B41" s="1008">
        <v>41</v>
      </c>
      <c r="C41" s="1415" t="s">
        <v>1103</v>
      </c>
    </row>
    <row r="42" spans="1:3">
      <c r="A42" s="1009">
        <f>Neubau2-1</f>
        <v>0</v>
      </c>
      <c r="B42" s="1008">
        <v>42</v>
      </c>
      <c r="C42" s="1415" t="s">
        <v>2163</v>
      </c>
    </row>
    <row r="43" spans="1:3">
      <c r="A43" s="1009">
        <f>Eingaben!H21</f>
        <v>0</v>
      </c>
      <c r="B43" s="1008">
        <v>43</v>
      </c>
      <c r="C43" s="1415" t="s">
        <v>1102</v>
      </c>
    </row>
    <row r="44" spans="1:3">
      <c r="A44" s="1009">
        <f>Neubau3-1</f>
        <v>0</v>
      </c>
      <c r="B44" s="1008">
        <v>44</v>
      </c>
      <c r="C44" s="1415" t="s">
        <v>2164</v>
      </c>
    </row>
    <row r="45" spans="1:3">
      <c r="A45" s="1009">
        <f>Eingaben!I21</f>
        <v>0</v>
      </c>
      <c r="B45" s="1008">
        <v>45</v>
      </c>
      <c r="C45" s="1415" t="s">
        <v>1101</v>
      </c>
    </row>
    <row r="46" spans="1:3">
      <c r="A46" s="1009">
        <f>Neubau4-1</f>
        <v>0</v>
      </c>
      <c r="B46" s="1008">
        <v>46</v>
      </c>
      <c r="C46" s="1415" t="s">
        <v>2162</v>
      </c>
    </row>
    <row r="47" spans="1:3">
      <c r="A47" s="1009">
        <f>Eingaben!F30</f>
        <v>0</v>
      </c>
      <c r="B47" s="1008">
        <v>47</v>
      </c>
      <c r="C47" s="1415" t="s">
        <v>1104</v>
      </c>
    </row>
    <row r="48" spans="1:3">
      <c r="A48" s="1009">
        <f>IF(A47=Uebersetzung!$D$25,1,IF(A47=Uebersetzung!$D$26,2,0))</f>
        <v>0</v>
      </c>
      <c r="B48" s="1008">
        <v>48</v>
      </c>
      <c r="C48" s="1415" t="s">
        <v>2165</v>
      </c>
    </row>
    <row r="49" spans="1:3">
      <c r="A49" s="1009">
        <f>Eingaben!G30</f>
        <v>0</v>
      </c>
      <c r="B49" s="1008">
        <v>49</v>
      </c>
      <c r="C49" s="1415" t="s">
        <v>1107</v>
      </c>
    </row>
    <row r="50" spans="1:3">
      <c r="A50" s="1009">
        <f>IF(A49=Uebersetzung!$D$25,1,IF(A49=Uebersetzung!$D$26,2,0))</f>
        <v>0</v>
      </c>
      <c r="B50" s="1008">
        <v>50</v>
      </c>
      <c r="C50" s="1415" t="s">
        <v>2166</v>
      </c>
    </row>
    <row r="51" spans="1:3">
      <c r="A51" s="1009">
        <f>Eingaben!H30</f>
        <v>0</v>
      </c>
      <c r="B51" s="1008">
        <v>51</v>
      </c>
      <c r="C51" s="1415" t="s">
        <v>1106</v>
      </c>
    </row>
    <row r="52" spans="1:3">
      <c r="A52" s="1009">
        <f>IF(A51=Uebersetzung!$D$25,1,IF(A51=Uebersetzung!$D$26,2,0))</f>
        <v>0</v>
      </c>
      <c r="B52" s="1008">
        <v>52</v>
      </c>
      <c r="C52" s="1415" t="s">
        <v>2167</v>
      </c>
    </row>
    <row r="53" spans="1:3">
      <c r="A53" s="1009">
        <f>Eingaben!I30</f>
        <v>0</v>
      </c>
      <c r="B53" s="1008">
        <v>53</v>
      </c>
      <c r="C53" s="1415" t="s">
        <v>1105</v>
      </c>
    </row>
    <row r="54" spans="1:3">
      <c r="A54" s="1009">
        <f>IF(A53=Uebersetzung!$D$25,1,IF(A53=Uebersetzung!$D$26,2,0))</f>
        <v>0</v>
      </c>
      <c r="B54" s="1008">
        <v>54</v>
      </c>
      <c r="C54" s="1415" t="s">
        <v>2168</v>
      </c>
    </row>
    <row r="55" spans="1:3">
      <c r="A55" s="1009">
        <f>Eingaben!F31</f>
        <v>0</v>
      </c>
      <c r="B55" s="1008">
        <v>55</v>
      </c>
      <c r="C55" s="1415" t="s">
        <v>1983</v>
      </c>
    </row>
    <row r="56" spans="1:3">
      <c r="A56" s="1009">
        <f>IF(A55=0,1,VLOOKUP(A55,Standardwerte!$O$35:$T$43,6,FALSE))-1</f>
        <v>0</v>
      </c>
      <c r="B56" s="1008">
        <v>56</v>
      </c>
      <c r="C56" s="1415" t="s">
        <v>2169</v>
      </c>
    </row>
    <row r="57" spans="1:3">
      <c r="A57" s="1009">
        <f>Eingaben!G31</f>
        <v>0</v>
      </c>
      <c r="B57" s="1008">
        <v>57</v>
      </c>
      <c r="C57" s="1415" t="s">
        <v>1984</v>
      </c>
    </row>
    <row r="58" spans="1:3">
      <c r="A58" s="1009">
        <f>IF(A57=0,1,VLOOKUP(A57,Standardwerte!$O$35:$T$43,6,FALSE))-1</f>
        <v>0</v>
      </c>
      <c r="B58" s="1008">
        <v>58</v>
      </c>
      <c r="C58" s="1415" t="s">
        <v>2171</v>
      </c>
    </row>
    <row r="59" spans="1:3">
      <c r="A59" s="1009">
        <f>Eingaben!H31</f>
        <v>0</v>
      </c>
      <c r="B59" s="1008">
        <v>59</v>
      </c>
      <c r="C59" s="1415" t="s">
        <v>1985</v>
      </c>
    </row>
    <row r="60" spans="1:3">
      <c r="A60" s="1009">
        <f>IF(A59=0,1,VLOOKUP(A59,Standardwerte!$O$35:$T$43,6,FALSE))-1</f>
        <v>0</v>
      </c>
      <c r="B60" s="1008">
        <v>60</v>
      </c>
      <c r="C60" s="1415" t="s">
        <v>2172</v>
      </c>
    </row>
    <row r="61" spans="1:3">
      <c r="A61" s="1009">
        <f>Eingaben!I31</f>
        <v>0</v>
      </c>
      <c r="B61" s="1008">
        <v>61</v>
      </c>
      <c r="C61" s="1415" t="s">
        <v>1986</v>
      </c>
    </row>
    <row r="62" spans="1:3">
      <c r="A62" s="1009">
        <f>IF(A61=0,1,VLOOKUP(A61,Standardwerte!$O$35:$T$43,6,FALSE))-1</f>
        <v>0</v>
      </c>
      <c r="B62" s="1008">
        <v>62</v>
      </c>
      <c r="C62" s="1415" t="s">
        <v>2170</v>
      </c>
    </row>
    <row r="63" spans="1:3">
      <c r="A63" s="1009">
        <f>Raum1</f>
        <v>0</v>
      </c>
      <c r="B63" s="1008">
        <v>63</v>
      </c>
      <c r="C63" s="1415" t="s">
        <v>1108</v>
      </c>
    </row>
    <row r="64" spans="1:3">
      <c r="A64" s="1009">
        <f>Raum2</f>
        <v>0</v>
      </c>
      <c r="B64" s="1008">
        <v>64</v>
      </c>
      <c r="C64" s="1415" t="s">
        <v>1111</v>
      </c>
    </row>
    <row r="65" spans="1:3">
      <c r="A65" s="1009">
        <f>Raum3</f>
        <v>0</v>
      </c>
      <c r="B65" s="1008">
        <v>65</v>
      </c>
      <c r="C65" s="1415" t="s">
        <v>1110</v>
      </c>
    </row>
    <row r="66" spans="1:3">
      <c r="A66" s="1009">
        <f>Raum4</f>
        <v>0</v>
      </c>
      <c r="B66" s="1008">
        <v>66</v>
      </c>
      <c r="C66" s="1415" t="s">
        <v>1109</v>
      </c>
    </row>
    <row r="67" spans="1:3">
      <c r="A67" s="1009">
        <f>Eingaben!F34</f>
        <v>0</v>
      </c>
      <c r="B67" s="1008">
        <v>67</v>
      </c>
      <c r="C67" s="1415" t="s">
        <v>1987</v>
      </c>
    </row>
    <row r="68" spans="1:3">
      <c r="A68" s="1009">
        <f>IF(A67=0,1,VLOOKUP(A67,Standardwerte!$L$54:$O$59,4,FALSE))-1</f>
        <v>0</v>
      </c>
      <c r="B68" s="1008">
        <v>68</v>
      </c>
      <c r="C68" s="1415" t="s">
        <v>2173</v>
      </c>
    </row>
    <row r="69" spans="1:3">
      <c r="A69" s="1009">
        <f>Eingaben!G34</f>
        <v>0</v>
      </c>
      <c r="B69" s="1008">
        <v>69</v>
      </c>
      <c r="C69" s="1415" t="s">
        <v>1988</v>
      </c>
    </row>
    <row r="70" spans="1:3">
      <c r="A70" s="1009">
        <f>IF(A69=0,1,VLOOKUP(A69,Standardwerte!$L$54:$O$59,4,FALSE))-1</f>
        <v>0</v>
      </c>
      <c r="B70" s="1008">
        <v>70</v>
      </c>
      <c r="C70" s="1415" t="s">
        <v>2174</v>
      </c>
    </row>
    <row r="71" spans="1:3">
      <c r="A71" s="1009">
        <f>Eingaben!H34</f>
        <v>0</v>
      </c>
      <c r="B71" s="1008">
        <v>71</v>
      </c>
      <c r="C71" s="1415" t="s">
        <v>1989</v>
      </c>
    </row>
    <row r="72" spans="1:3">
      <c r="A72" s="1009">
        <f>IF(A71=0,1,VLOOKUP(A71,Standardwerte!$L$54:$O$59,4,FALSE))-1</f>
        <v>0</v>
      </c>
      <c r="B72" s="1008">
        <v>72</v>
      </c>
      <c r="C72" s="1415" t="s">
        <v>2175</v>
      </c>
    </row>
    <row r="73" spans="1:3">
      <c r="A73" s="1009">
        <f>Eingaben!I34</f>
        <v>0</v>
      </c>
      <c r="B73" s="1008">
        <v>73</v>
      </c>
      <c r="C73" s="1415" t="s">
        <v>1990</v>
      </c>
    </row>
    <row r="74" spans="1:3">
      <c r="A74" s="1009">
        <f>IF(A73=0,1,VLOOKUP(A73,Standardwerte!$L$54:$O$59,4,FALSE))-1</f>
        <v>0</v>
      </c>
      <c r="B74" s="1008">
        <v>74</v>
      </c>
      <c r="C74" s="1415" t="s">
        <v>2176</v>
      </c>
    </row>
    <row r="75" spans="1:3">
      <c r="A75" s="1009">
        <f>Eingaben!F35</f>
        <v>0</v>
      </c>
      <c r="B75" s="1008">
        <v>75</v>
      </c>
      <c r="C75" s="1415" t="s">
        <v>1991</v>
      </c>
    </row>
    <row r="76" spans="1:3">
      <c r="A76" s="1009">
        <f>IF(A75=0,1,VLOOKUP(A75,Standardwerte!$AB$46:$AD$48,3,FALSE))-1</f>
        <v>0</v>
      </c>
      <c r="B76" s="1008">
        <v>76</v>
      </c>
      <c r="C76" s="1415" t="s">
        <v>2178</v>
      </c>
    </row>
    <row r="77" spans="1:3">
      <c r="A77" s="1009">
        <f>Eingaben!G35</f>
        <v>0</v>
      </c>
      <c r="B77" s="1008">
        <v>77</v>
      </c>
      <c r="C77" s="1415" t="s">
        <v>1993</v>
      </c>
    </row>
    <row r="78" spans="1:3">
      <c r="A78" s="1009">
        <f>IF(A77=0,1,VLOOKUP(A77,Standardwerte!$AB$46:$AD$48,3,FALSE))-1</f>
        <v>0</v>
      </c>
      <c r="B78" s="1008">
        <v>78</v>
      </c>
      <c r="C78" s="1415" t="s">
        <v>2179</v>
      </c>
    </row>
    <row r="79" spans="1:3">
      <c r="A79" s="1009">
        <f>Eingaben!H35</f>
        <v>0</v>
      </c>
      <c r="B79" s="1008">
        <v>79</v>
      </c>
      <c r="C79" s="1415" t="s">
        <v>1994</v>
      </c>
    </row>
    <row r="80" spans="1:3">
      <c r="A80" s="1009">
        <f>IF(A79=0,1,VLOOKUP(A79,Standardwerte!$AB$46:$AD$48,3,FALSE))-1</f>
        <v>0</v>
      </c>
      <c r="B80" s="1008">
        <v>80</v>
      </c>
      <c r="C80" s="1415" t="s">
        <v>2180</v>
      </c>
    </row>
    <row r="81" spans="1:3">
      <c r="A81" s="1009">
        <f>Eingaben!I35</f>
        <v>0</v>
      </c>
      <c r="B81" s="1008">
        <v>81</v>
      </c>
      <c r="C81" s="1415" t="s">
        <v>1992</v>
      </c>
    </row>
    <row r="82" spans="1:3">
      <c r="A82" s="1009">
        <f>IF(A81=0,1,VLOOKUP(A81,Standardwerte!$AB$46:$AD$48,3,FALSE))-1</f>
        <v>0</v>
      </c>
      <c r="B82" s="1008">
        <v>82</v>
      </c>
      <c r="C82" s="1415" t="s">
        <v>2177</v>
      </c>
    </row>
    <row r="83" spans="1:3">
      <c r="A83" s="1009">
        <f>Eingaben!F39</f>
        <v>0</v>
      </c>
      <c r="B83" s="1008">
        <v>83</v>
      </c>
      <c r="C83" s="1415" t="s">
        <v>1112</v>
      </c>
    </row>
    <row r="84" spans="1:3">
      <c r="A84" s="1009">
        <f>Standardwerte!J118-1</f>
        <v>0</v>
      </c>
      <c r="B84" s="1008">
        <v>84</v>
      </c>
      <c r="C84" s="1415" t="s">
        <v>2182</v>
      </c>
    </row>
    <row r="85" spans="1:3">
      <c r="A85" s="1009">
        <f>Eingaben!G39</f>
        <v>0</v>
      </c>
      <c r="B85" s="1008">
        <v>85</v>
      </c>
      <c r="C85" s="1415" t="s">
        <v>1115</v>
      </c>
    </row>
    <row r="86" spans="1:3">
      <c r="A86" s="1009">
        <f>Standardwerte!K118-1</f>
        <v>0</v>
      </c>
      <c r="B86" s="1008">
        <v>86</v>
      </c>
      <c r="C86" s="1415" t="s">
        <v>2183</v>
      </c>
    </row>
    <row r="87" spans="1:3">
      <c r="A87" s="1009">
        <f>Eingaben!H39</f>
        <v>0</v>
      </c>
      <c r="B87" s="1008">
        <v>87</v>
      </c>
      <c r="C87" s="1415" t="s">
        <v>1114</v>
      </c>
    </row>
    <row r="88" spans="1:3">
      <c r="A88" s="1009">
        <f>Standardwerte!L118-1</f>
        <v>0</v>
      </c>
      <c r="B88" s="1008">
        <v>88</v>
      </c>
      <c r="C88" s="1415" t="s">
        <v>2184</v>
      </c>
    </row>
    <row r="89" spans="1:3">
      <c r="A89" s="1009">
        <f>Eingaben!I39</f>
        <v>0</v>
      </c>
      <c r="B89" s="1008">
        <v>89</v>
      </c>
      <c r="C89" s="1415" t="s">
        <v>1113</v>
      </c>
    </row>
    <row r="90" spans="1:3">
      <c r="A90" s="1009">
        <f>Standardwerte!M118-1</f>
        <v>0</v>
      </c>
      <c r="B90" s="1008">
        <v>90</v>
      </c>
      <c r="C90" s="1415" t="s">
        <v>2181</v>
      </c>
    </row>
    <row r="91" spans="1:3">
      <c r="A91" s="1010">
        <f>Eingaben!F40</f>
        <v>0</v>
      </c>
      <c r="B91" s="1008">
        <v>91</v>
      </c>
      <c r="C91" s="1415" t="s">
        <v>1116</v>
      </c>
    </row>
    <row r="92" spans="1:3">
      <c r="A92" s="1010">
        <f>Eingaben!G40</f>
        <v>0</v>
      </c>
      <c r="B92" s="1008">
        <v>92</v>
      </c>
      <c r="C92" s="1415" t="s">
        <v>1117</v>
      </c>
    </row>
    <row r="93" spans="1:3">
      <c r="A93" s="1010">
        <f>Eingaben!H40</f>
        <v>0</v>
      </c>
      <c r="B93" s="1008">
        <v>93</v>
      </c>
      <c r="C93" s="1415" t="s">
        <v>1118</v>
      </c>
    </row>
    <row r="94" spans="1:3">
      <c r="A94" s="1010">
        <f>Eingaben!I40</f>
        <v>0</v>
      </c>
      <c r="B94" s="1008">
        <v>94</v>
      </c>
      <c r="C94" s="1415" t="s">
        <v>1119</v>
      </c>
    </row>
    <row r="95" spans="1:3">
      <c r="A95" s="1010">
        <f>Eingaben!F41</f>
        <v>0</v>
      </c>
      <c r="B95" s="1008">
        <v>95</v>
      </c>
      <c r="C95" s="1415" t="s">
        <v>1120</v>
      </c>
    </row>
    <row r="96" spans="1:3">
      <c r="A96" s="1010">
        <f>Eingaben!G41</f>
        <v>0</v>
      </c>
      <c r="B96" s="1008">
        <v>96</v>
      </c>
      <c r="C96" s="1415" t="s">
        <v>1121</v>
      </c>
    </row>
    <row r="97" spans="1:3">
      <c r="A97" s="1010">
        <f>Eingaben!H41</f>
        <v>0</v>
      </c>
      <c r="B97" s="1008">
        <v>97</v>
      </c>
      <c r="C97" s="1415" t="s">
        <v>1122</v>
      </c>
    </row>
    <row r="98" spans="1:3">
      <c r="A98" s="1010">
        <f>Eingaben!I41</f>
        <v>0</v>
      </c>
      <c r="B98" s="1008">
        <v>98</v>
      </c>
      <c r="C98" s="1415" t="s">
        <v>1123</v>
      </c>
    </row>
    <row r="99" spans="1:3">
      <c r="A99" s="1010">
        <f>Eingaben!F42</f>
        <v>0</v>
      </c>
      <c r="B99" s="1008">
        <v>99</v>
      </c>
      <c r="C99" s="1415" t="s">
        <v>1126</v>
      </c>
    </row>
    <row r="100" spans="1:3">
      <c r="A100" s="1010">
        <f>Eingaben!G42</f>
        <v>0</v>
      </c>
      <c r="B100" s="1008">
        <v>100</v>
      </c>
      <c r="C100" s="1415" t="s">
        <v>1127</v>
      </c>
    </row>
    <row r="101" spans="1:3">
      <c r="A101" s="1010">
        <f>Eingaben!H42</f>
        <v>0</v>
      </c>
      <c r="B101" s="1008">
        <v>101</v>
      </c>
      <c r="C101" s="1415" t="s">
        <v>1128</v>
      </c>
    </row>
    <row r="102" spans="1:3">
      <c r="A102" s="1010">
        <f>Eingaben!I42</f>
        <v>0</v>
      </c>
      <c r="B102" s="1008">
        <v>102</v>
      </c>
      <c r="C102" s="1415" t="s">
        <v>1129</v>
      </c>
    </row>
    <row r="103" spans="1:3">
      <c r="A103" s="1010">
        <f>Eingaben!F43</f>
        <v>0</v>
      </c>
      <c r="B103" s="1008">
        <v>103</v>
      </c>
      <c r="C103" s="1415" t="s">
        <v>1130</v>
      </c>
    </row>
    <row r="104" spans="1:3">
      <c r="A104" s="1010">
        <f>Eingaben!G43</f>
        <v>0</v>
      </c>
      <c r="B104" s="1008">
        <v>104</v>
      </c>
      <c r="C104" s="1415" t="s">
        <v>1131</v>
      </c>
    </row>
    <row r="105" spans="1:3">
      <c r="A105" s="1010">
        <f>Eingaben!H43</f>
        <v>0</v>
      </c>
      <c r="B105" s="1008">
        <v>105</v>
      </c>
      <c r="C105" s="1415" t="s">
        <v>1132</v>
      </c>
    </row>
    <row r="106" spans="1:3">
      <c r="A106" s="1010">
        <f>Eingaben!I43</f>
        <v>0</v>
      </c>
      <c r="B106" s="1008">
        <v>106</v>
      </c>
      <c r="C106" s="1415" t="s">
        <v>1133</v>
      </c>
    </row>
    <row r="107" spans="1:3">
      <c r="A107" s="1009" t="str">
        <f>Eingaben!E46</f>
        <v>kWh/m2</v>
      </c>
      <c r="B107" s="1008">
        <v>107</v>
      </c>
      <c r="C107" s="1415" t="s">
        <v>1134</v>
      </c>
    </row>
    <row r="108" spans="1:3">
      <c r="A108" s="1009">
        <f>Einheiten</f>
        <v>2</v>
      </c>
      <c r="B108" s="1008">
        <v>108</v>
      </c>
      <c r="C108" s="1415" t="s">
        <v>1995</v>
      </c>
    </row>
    <row r="109" spans="1:3">
      <c r="A109" s="1009">
        <f>_qh1/3.6</f>
        <v>0</v>
      </c>
      <c r="B109" s="1008">
        <v>109</v>
      </c>
      <c r="C109" s="1415" t="s">
        <v>1996</v>
      </c>
    </row>
    <row r="110" spans="1:3">
      <c r="A110" s="1009">
        <f>_qh2/3.6</f>
        <v>0</v>
      </c>
      <c r="B110" s="1008">
        <v>110</v>
      </c>
      <c r="C110" s="1415" t="s">
        <v>1997</v>
      </c>
    </row>
    <row r="111" spans="1:3">
      <c r="A111" s="1009">
        <f>_qh3/3.6</f>
        <v>0</v>
      </c>
      <c r="B111" s="1008">
        <v>111</v>
      </c>
      <c r="C111" s="1415" t="s">
        <v>1998</v>
      </c>
    </row>
    <row r="112" spans="1:3">
      <c r="A112" s="1009">
        <f>_qh4/3.6</f>
        <v>0</v>
      </c>
      <c r="B112" s="1008">
        <v>112</v>
      </c>
      <c r="C112" s="1415" t="s">
        <v>1999</v>
      </c>
    </row>
    <row r="113" spans="1:7">
      <c r="A113" s="1009">
        <f>_qhs1/3.6</f>
        <v>0</v>
      </c>
      <c r="B113" s="1008">
        <v>113</v>
      </c>
      <c r="C113" s="1415" t="s">
        <v>1979</v>
      </c>
    </row>
    <row r="114" spans="1:7">
      <c r="A114" s="1009">
        <f>_qhs2/3.6</f>
        <v>0</v>
      </c>
      <c r="B114" s="1008">
        <v>114</v>
      </c>
      <c r="C114" s="1415" t="s">
        <v>1980</v>
      </c>
    </row>
    <row r="115" spans="1:7">
      <c r="A115" s="1009">
        <f>_qhs3/3.6</f>
        <v>0</v>
      </c>
      <c r="B115" s="1008">
        <v>115</v>
      </c>
      <c r="C115" s="1415" t="s">
        <v>1981</v>
      </c>
    </row>
    <row r="116" spans="1:7">
      <c r="A116" s="1009">
        <f>_qhs4/3.6</f>
        <v>0</v>
      </c>
      <c r="B116" s="1008">
        <v>116</v>
      </c>
      <c r="C116" s="1415" t="s">
        <v>1982</v>
      </c>
    </row>
    <row r="117" spans="1:7">
      <c r="A117" s="1009">
        <f>AEBF1</f>
        <v>0</v>
      </c>
      <c r="B117" s="1008">
        <v>117</v>
      </c>
      <c r="C117" s="1415" t="s">
        <v>1975</v>
      </c>
    </row>
    <row r="118" spans="1:7">
      <c r="A118" s="1009">
        <f>AEBF2</f>
        <v>0</v>
      </c>
      <c r="B118" s="1008">
        <v>118</v>
      </c>
      <c r="C118" s="1415" t="s">
        <v>1976</v>
      </c>
    </row>
    <row r="119" spans="1:7">
      <c r="A119" s="1009">
        <f>AEBF3</f>
        <v>0</v>
      </c>
      <c r="B119" s="1008">
        <v>119</v>
      </c>
      <c r="C119" s="1415" t="s">
        <v>1977</v>
      </c>
    </row>
    <row r="120" spans="1:7">
      <c r="A120" s="1009">
        <f>AEBF4</f>
        <v>0</v>
      </c>
      <c r="B120" s="1008">
        <v>120</v>
      </c>
      <c r="C120" s="1415" t="s">
        <v>1978</v>
      </c>
    </row>
    <row r="121" spans="1:7">
      <c r="A121" s="1009">
        <f>_Vth1</f>
        <v>0</v>
      </c>
      <c r="B121" s="1008">
        <v>121</v>
      </c>
      <c r="C121" s="1415" t="s">
        <v>2000</v>
      </c>
    </row>
    <row r="122" spans="1:7">
      <c r="A122" s="1009">
        <f>_Vth2</f>
        <v>0</v>
      </c>
      <c r="B122" s="1008">
        <v>122</v>
      </c>
      <c r="C122" s="1415" t="s">
        <v>2003</v>
      </c>
    </row>
    <row r="123" spans="1:7">
      <c r="A123" s="1009">
        <f>_Vth3</f>
        <v>0</v>
      </c>
      <c r="B123" s="1008">
        <v>123</v>
      </c>
      <c r="C123" s="1415" t="s">
        <v>2002</v>
      </c>
    </row>
    <row r="124" spans="1:7">
      <c r="A124" s="1011">
        <f>_Vth4</f>
        <v>0</v>
      </c>
      <c r="B124" s="1419">
        <v>124</v>
      </c>
      <c r="C124" s="1416" t="s">
        <v>2001</v>
      </c>
      <c r="D124" s="1012"/>
      <c r="E124" s="1012"/>
      <c r="F124" s="1012"/>
      <c r="G124" s="1012"/>
    </row>
    <row r="125" spans="1:7">
      <c r="A125" s="1009">
        <f>Nachweis!B8</f>
        <v>0</v>
      </c>
      <c r="B125" s="1008">
        <v>125</v>
      </c>
      <c r="C125" s="1000" t="s">
        <v>1135</v>
      </c>
    </row>
    <row r="126" spans="1:7">
      <c r="A126" s="1009">
        <f>INDEX(Standardwerte!$AN$108:$AN$155,Nachweis!M8,1)</f>
        <v>0</v>
      </c>
      <c r="B126" s="1008">
        <v>126</v>
      </c>
      <c r="C126" s="1000" t="s">
        <v>3713</v>
      </c>
    </row>
    <row r="127" spans="1:7">
      <c r="A127" s="1009">
        <f>Nachweis!B12</f>
        <v>0</v>
      </c>
      <c r="B127" s="1008">
        <v>127</v>
      </c>
      <c r="C127" s="1000" t="s">
        <v>1136</v>
      </c>
    </row>
    <row r="128" spans="1:7">
      <c r="A128" s="1009">
        <f>INDEX(Standardwerte!$AN$108:$AN$155,Nachweis!M12,1)</f>
        <v>0</v>
      </c>
      <c r="B128" s="1008">
        <v>128</v>
      </c>
      <c r="C128" s="1728" t="s">
        <v>3716</v>
      </c>
    </row>
    <row r="129" spans="1:3">
      <c r="A129" s="1009">
        <f>Nachweis!B16</f>
        <v>0</v>
      </c>
      <c r="B129" s="1008">
        <v>129</v>
      </c>
      <c r="C129" s="1000" t="s">
        <v>1137</v>
      </c>
    </row>
    <row r="130" spans="1:3">
      <c r="A130" s="1009">
        <f>INDEX(Standardwerte!$AN$108:$AN$155,Nachweis!M16,1)</f>
        <v>0</v>
      </c>
      <c r="B130" s="1008">
        <v>130</v>
      </c>
      <c r="C130" s="1728" t="s">
        <v>3715</v>
      </c>
    </row>
    <row r="131" spans="1:3">
      <c r="A131" s="1009">
        <f>Nachweis!B20</f>
        <v>0</v>
      </c>
      <c r="B131" s="1008">
        <v>131</v>
      </c>
      <c r="C131" s="1000" t="s">
        <v>1138</v>
      </c>
    </row>
    <row r="132" spans="1:3">
      <c r="A132" s="1009">
        <f>INDEX(Standardwerte!$AN$108:$AN$155,Nachweis!M20,1)</f>
        <v>0</v>
      </c>
      <c r="B132" s="1008">
        <v>132</v>
      </c>
      <c r="C132" s="1728" t="s">
        <v>3714</v>
      </c>
    </row>
    <row r="133" spans="1:3">
      <c r="A133" s="1013">
        <f>Nachweis!H8</f>
        <v>0</v>
      </c>
      <c r="B133" s="1008">
        <v>133</v>
      </c>
      <c r="C133" s="1000" t="s">
        <v>1139</v>
      </c>
    </row>
    <row r="134" spans="1:3">
      <c r="A134" s="1013">
        <f>Nachweis!H12</f>
        <v>0</v>
      </c>
      <c r="B134" s="1008">
        <v>134</v>
      </c>
      <c r="C134" s="1000" t="s">
        <v>1140</v>
      </c>
    </row>
    <row r="135" spans="1:3">
      <c r="A135" s="1013">
        <f>Nachweis!H16</f>
        <v>0</v>
      </c>
      <c r="B135" s="1008">
        <v>135</v>
      </c>
      <c r="C135" s="1000" t="s">
        <v>1141</v>
      </c>
    </row>
    <row r="136" spans="1:3">
      <c r="A136" s="1013">
        <f>Nachweis!H20</f>
        <v>0</v>
      </c>
      <c r="B136" s="1008">
        <v>136</v>
      </c>
      <c r="C136" s="1000" t="s">
        <v>1142</v>
      </c>
    </row>
    <row r="137" spans="1:3">
      <c r="A137" s="1009">
        <f>Nachweis!J8</f>
        <v>0</v>
      </c>
      <c r="B137" s="1008">
        <v>137</v>
      </c>
      <c r="C137" s="1000" t="s">
        <v>1143</v>
      </c>
    </row>
    <row r="138" spans="1:3">
      <c r="A138" s="1009">
        <f>Nachweis!L8</f>
        <v>0</v>
      </c>
      <c r="B138" s="1008">
        <v>138</v>
      </c>
      <c r="C138" s="1000" t="s">
        <v>1144</v>
      </c>
    </row>
    <row r="139" spans="1:3">
      <c r="A139" s="1009">
        <f>Nachweis!J12</f>
        <v>0</v>
      </c>
      <c r="B139" s="1008">
        <v>139</v>
      </c>
      <c r="C139" s="1000" t="s">
        <v>1145</v>
      </c>
    </row>
    <row r="140" spans="1:3">
      <c r="A140" s="1009">
        <f>Nachweis!L12</f>
        <v>0</v>
      </c>
      <c r="B140" s="1008">
        <v>140</v>
      </c>
      <c r="C140" s="1000" t="s">
        <v>1146</v>
      </c>
    </row>
    <row r="141" spans="1:3">
      <c r="A141" s="1009">
        <f>Nachweis!J16</f>
        <v>0</v>
      </c>
      <c r="B141" s="1008">
        <v>141</v>
      </c>
      <c r="C141" s="1000" t="s">
        <v>1147</v>
      </c>
    </row>
    <row r="142" spans="1:3">
      <c r="A142" s="1009">
        <f>Nachweis!L16</f>
        <v>0</v>
      </c>
      <c r="B142" s="1008">
        <v>142</v>
      </c>
      <c r="C142" s="1000" t="s">
        <v>1148</v>
      </c>
    </row>
    <row r="143" spans="1:3">
      <c r="A143" s="1009">
        <f>Nachweis!J20</f>
        <v>0</v>
      </c>
      <c r="B143" s="1008">
        <v>143</v>
      </c>
      <c r="C143" s="1000" t="s">
        <v>1149</v>
      </c>
    </row>
    <row r="144" spans="1:3">
      <c r="A144" s="1009">
        <f>Nachweis!L20</f>
        <v>0</v>
      </c>
      <c r="B144" s="1008">
        <v>144</v>
      </c>
      <c r="C144" s="1000" t="s">
        <v>1150</v>
      </c>
    </row>
    <row r="145" spans="1:3">
      <c r="A145" s="1009">
        <f>Nachweis!G9</f>
        <v>0</v>
      </c>
      <c r="B145" s="1008">
        <v>145</v>
      </c>
      <c r="C145" s="1000" t="s">
        <v>1151</v>
      </c>
    </row>
    <row r="146" spans="1:3">
      <c r="A146" s="1009">
        <f>Nachweis!G10</f>
        <v>0</v>
      </c>
      <c r="B146" s="1008">
        <v>146</v>
      </c>
      <c r="C146" s="1000" t="s">
        <v>1152</v>
      </c>
    </row>
    <row r="147" spans="1:3">
      <c r="A147" s="1009">
        <f>Nachweis!G13</f>
        <v>0</v>
      </c>
      <c r="B147" s="1008">
        <v>147</v>
      </c>
      <c r="C147" s="1000" t="s">
        <v>1153</v>
      </c>
    </row>
    <row r="148" spans="1:3">
      <c r="A148" s="1009">
        <f>Nachweis!G14</f>
        <v>0</v>
      </c>
      <c r="B148" s="1008">
        <v>148</v>
      </c>
      <c r="C148" s="1000" t="s">
        <v>1154</v>
      </c>
    </row>
    <row r="149" spans="1:3">
      <c r="A149" s="1009">
        <f>Nachweis!G17</f>
        <v>0</v>
      </c>
      <c r="B149" s="1008">
        <v>149</v>
      </c>
      <c r="C149" s="1000" t="s">
        <v>1155</v>
      </c>
    </row>
    <row r="150" spans="1:3">
      <c r="A150" s="1009">
        <f>Nachweis!G18</f>
        <v>0</v>
      </c>
      <c r="B150" s="1008">
        <v>150</v>
      </c>
      <c r="C150" s="1000" t="s">
        <v>1156</v>
      </c>
    </row>
    <row r="151" spans="1:3">
      <c r="A151" s="1009">
        <f>Nachweis!G21</f>
        <v>0</v>
      </c>
      <c r="B151" s="1008">
        <v>151</v>
      </c>
      <c r="C151" s="1000" t="s">
        <v>1157</v>
      </c>
    </row>
    <row r="152" spans="1:3">
      <c r="A152" s="1009">
        <f>Nachweis!G22</f>
        <v>0</v>
      </c>
      <c r="B152" s="1008">
        <v>152</v>
      </c>
      <c r="C152" s="1000" t="s">
        <v>1158</v>
      </c>
    </row>
    <row r="153" spans="1:3">
      <c r="A153" s="1009">
        <f>Nachweis!B24</f>
        <v>0</v>
      </c>
      <c r="B153" s="1008">
        <v>153</v>
      </c>
      <c r="C153" s="1000" t="s">
        <v>2004</v>
      </c>
    </row>
    <row r="154" spans="1:3">
      <c r="A154" s="1009">
        <f>Nachweis!J24</f>
        <v>0</v>
      </c>
      <c r="B154" s="1008">
        <v>154</v>
      </c>
      <c r="C154" s="1000" t="s">
        <v>1162</v>
      </c>
    </row>
    <row r="155" spans="1:3">
      <c r="A155" s="1009">
        <f>Nachweis!L24</f>
        <v>0</v>
      </c>
      <c r="B155" s="1008">
        <v>155</v>
      </c>
      <c r="C155" s="1000" t="s">
        <v>1163</v>
      </c>
    </row>
    <row r="156" spans="1:3">
      <c r="A156" s="1009">
        <f>StrombedarfE</f>
        <v>0</v>
      </c>
      <c r="B156" s="1008">
        <v>156</v>
      </c>
      <c r="C156" s="1000" t="s">
        <v>1164</v>
      </c>
    </row>
    <row r="157" spans="1:3">
      <c r="A157" s="1009">
        <f>EndenergieE</f>
        <v>0</v>
      </c>
      <c r="B157" s="1008">
        <v>157</v>
      </c>
      <c r="C157" s="1000" t="s">
        <v>1165</v>
      </c>
    </row>
    <row r="158" spans="1:3">
      <c r="A158" s="1009" t="str">
        <f>Nachweis!B63</f>
        <v>x</v>
      </c>
      <c r="B158" s="1008">
        <v>158</v>
      </c>
      <c r="C158" s="1000" t="s">
        <v>1166</v>
      </c>
    </row>
    <row r="159" spans="1:3">
      <c r="A159" s="1009" t="str">
        <f>Nachweis!B64</f>
        <v>x</v>
      </c>
      <c r="B159" s="1008">
        <v>159</v>
      </c>
      <c r="C159" s="1000" t="s">
        <v>1167</v>
      </c>
    </row>
    <row r="160" spans="1:3">
      <c r="A160" s="1009">
        <f>Nachweis!G63</f>
        <v>0</v>
      </c>
      <c r="B160" s="1008">
        <v>160</v>
      </c>
      <c r="C160" s="1000" t="s">
        <v>1168</v>
      </c>
    </row>
    <row r="161" spans="1:7">
      <c r="A161" s="1009">
        <f>Nachweis!H63</f>
        <v>0</v>
      </c>
      <c r="B161" s="1008">
        <v>161</v>
      </c>
      <c r="C161" s="1000" t="s">
        <v>1169</v>
      </c>
    </row>
    <row r="162" spans="1:7">
      <c r="A162" s="1009">
        <f>Nachweis!G64</f>
        <v>0</v>
      </c>
      <c r="B162" s="1008">
        <v>162</v>
      </c>
      <c r="C162" s="1000" t="s">
        <v>1170</v>
      </c>
    </row>
    <row r="163" spans="1:7">
      <c r="A163" s="1011">
        <f>Nachweis!H64</f>
        <v>0</v>
      </c>
      <c r="B163" s="1419">
        <v>163</v>
      </c>
      <c r="C163" s="1417" t="s">
        <v>1171</v>
      </c>
      <c r="D163" s="1012"/>
      <c r="E163" s="1012"/>
      <c r="F163" s="1012"/>
      <c r="G163" s="1012"/>
    </row>
    <row r="164" spans="1:7">
      <c r="A164" s="1009">
        <f>WirkungsgradA</f>
        <v>0</v>
      </c>
      <c r="B164" s="1008">
        <v>164</v>
      </c>
      <c r="C164" s="1000" t="s">
        <v>1172</v>
      </c>
    </row>
    <row r="165" spans="1:7">
      <c r="A165" s="1009">
        <f>WirkungsgradB</f>
        <v>0</v>
      </c>
      <c r="B165" s="1008">
        <v>165</v>
      </c>
      <c r="C165" s="1000" t="s">
        <v>1173</v>
      </c>
    </row>
    <row r="166" spans="1:7">
      <c r="A166" s="1009">
        <f>WirkungsgradC</f>
        <v>0</v>
      </c>
      <c r="B166" s="1008">
        <v>166</v>
      </c>
      <c r="C166" s="1000" t="s">
        <v>1174</v>
      </c>
    </row>
    <row r="167" spans="1:7">
      <c r="A167" s="1009">
        <f>WirkungsgradD</f>
        <v>0</v>
      </c>
      <c r="B167" s="1008">
        <v>167</v>
      </c>
      <c r="C167" s="1000" t="s">
        <v>1175</v>
      </c>
    </row>
    <row r="168" spans="1:7">
      <c r="A168" s="1009">
        <f>Nachweis!G47</f>
        <v>0</v>
      </c>
      <c r="B168" s="1008">
        <v>168</v>
      </c>
      <c r="C168" s="1000" t="s">
        <v>1201</v>
      </c>
    </row>
    <row r="169" spans="1:7">
      <c r="A169" s="1009">
        <f>Nachweis!G48</f>
        <v>0</v>
      </c>
      <c r="B169" s="1008">
        <v>169</v>
      </c>
      <c r="C169" s="1000" t="s">
        <v>1202</v>
      </c>
    </row>
    <row r="170" spans="1:7">
      <c r="A170" s="1009">
        <f>Nachweis!G49</f>
        <v>0</v>
      </c>
      <c r="B170" s="1008">
        <v>170</v>
      </c>
      <c r="C170" s="1000" t="s">
        <v>1204</v>
      </c>
    </row>
    <row r="171" spans="1:7">
      <c r="A171" s="1009">
        <f>Nachweis!G50</f>
        <v>0</v>
      </c>
      <c r="B171" s="1008">
        <v>171</v>
      </c>
      <c r="C171" s="1000" t="s">
        <v>1203</v>
      </c>
    </row>
    <row r="172" spans="1:7">
      <c r="A172" s="1009" t="str">
        <f>Nachweis!G51</f>
        <v/>
      </c>
      <c r="B172" s="1008">
        <v>172</v>
      </c>
      <c r="C172" s="1000" t="s">
        <v>1205</v>
      </c>
    </row>
    <row r="173" spans="1:7">
      <c r="A173" s="1009">
        <f>Nachweis!H47</f>
        <v>0</v>
      </c>
      <c r="B173" s="1008">
        <v>173</v>
      </c>
      <c r="C173" s="1000" t="s">
        <v>1206</v>
      </c>
    </row>
    <row r="174" spans="1:7">
      <c r="A174" s="1009">
        <f>Nachweis!H48</f>
        <v>0</v>
      </c>
      <c r="B174" s="1008">
        <v>174</v>
      </c>
      <c r="C174" s="1000" t="s">
        <v>1208</v>
      </c>
    </row>
    <row r="175" spans="1:7">
      <c r="A175" s="1009">
        <f>Nachweis!H49</f>
        <v>0</v>
      </c>
      <c r="B175" s="1008">
        <v>175</v>
      </c>
      <c r="C175" s="1000" t="s">
        <v>1209</v>
      </c>
    </row>
    <row r="176" spans="1:7">
      <c r="A176" s="1009">
        <f>Nachweis!H50</f>
        <v>0</v>
      </c>
      <c r="B176" s="1008">
        <v>176</v>
      </c>
      <c r="C176" s="1000" t="s">
        <v>1207</v>
      </c>
    </row>
    <row r="177" spans="1:3">
      <c r="A177" s="1009">
        <f>Nachweis!H51</f>
        <v>0</v>
      </c>
      <c r="B177" s="1008">
        <v>177</v>
      </c>
      <c r="C177" s="1000" t="s">
        <v>1210</v>
      </c>
    </row>
    <row r="178" spans="1:3">
      <c r="A178" s="1009">
        <f>DeckungsgradHeizung</f>
        <v>0</v>
      </c>
      <c r="B178" s="1008">
        <v>178</v>
      </c>
      <c r="C178" s="1000" t="s">
        <v>1176</v>
      </c>
    </row>
    <row r="179" spans="1:3">
      <c r="A179" s="1009">
        <f>DeckungsgradWW</f>
        <v>0</v>
      </c>
      <c r="B179" s="1008">
        <v>179</v>
      </c>
      <c r="C179" s="1000" t="s">
        <v>1177</v>
      </c>
    </row>
    <row r="180" spans="1:3">
      <c r="A180" s="1009">
        <f>Nachweis!F47</f>
        <v>0</v>
      </c>
      <c r="B180" s="1008">
        <v>180</v>
      </c>
      <c r="C180" s="1000" t="s">
        <v>1211</v>
      </c>
    </row>
    <row r="181" spans="1:3">
      <c r="A181" s="1009">
        <f>Nachweis!F48</f>
        <v>0</v>
      </c>
      <c r="B181" s="1008">
        <v>181</v>
      </c>
      <c r="C181" s="1000" t="s">
        <v>1212</v>
      </c>
    </row>
    <row r="182" spans="1:3">
      <c r="A182" s="1009">
        <f>Nachweis!F49</f>
        <v>0</v>
      </c>
      <c r="B182" s="1008">
        <v>182</v>
      </c>
      <c r="C182" s="1000" t="s">
        <v>1213</v>
      </c>
    </row>
    <row r="183" spans="1:3">
      <c r="A183" s="1009">
        <f>Nachweis!F50</f>
        <v>0</v>
      </c>
      <c r="B183" s="1008">
        <v>183</v>
      </c>
      <c r="C183" s="1000" t="s">
        <v>1214</v>
      </c>
    </row>
    <row r="184" spans="1:3">
      <c r="A184" s="1009">
        <f>Nachweis!G34</f>
        <v>0</v>
      </c>
      <c r="B184" s="1008">
        <v>184</v>
      </c>
      <c r="C184" s="1415" t="s">
        <v>1178</v>
      </c>
    </row>
    <row r="185" spans="1:3">
      <c r="A185" s="1009">
        <f>Nachweis!H34</f>
        <v>0</v>
      </c>
      <c r="B185" s="1008">
        <v>185</v>
      </c>
      <c r="C185" s="1415" t="s">
        <v>1179</v>
      </c>
    </row>
    <row r="186" spans="1:3">
      <c r="A186" s="1009">
        <f>Nachweis!I34</f>
        <v>0</v>
      </c>
      <c r="B186" s="1008">
        <v>186</v>
      </c>
      <c r="C186" s="1415" t="s">
        <v>1180</v>
      </c>
    </row>
    <row r="187" spans="1:3">
      <c r="A187" s="1009">
        <f>Nachweis!J34</f>
        <v>0</v>
      </c>
      <c r="B187" s="1008">
        <v>187</v>
      </c>
      <c r="C187" s="1415" t="s">
        <v>1181</v>
      </c>
    </row>
    <row r="188" spans="1:3">
      <c r="A188" s="1009">
        <f>Nachweis!L34</f>
        <v>0</v>
      </c>
      <c r="B188" s="1008">
        <v>188</v>
      </c>
      <c r="C188" s="1415" t="s">
        <v>1182</v>
      </c>
    </row>
    <row r="189" spans="1:3">
      <c r="A189" s="1009">
        <f>_qw1</f>
        <v>0</v>
      </c>
      <c r="B189" s="1008">
        <v>189</v>
      </c>
      <c r="C189" s="1415" t="s">
        <v>1183</v>
      </c>
    </row>
    <row r="190" spans="1:3">
      <c r="A190" s="1009">
        <f>_qw2</f>
        <v>0</v>
      </c>
      <c r="B190" s="1008">
        <v>190</v>
      </c>
      <c r="C190" s="1415" t="s">
        <v>1184</v>
      </c>
    </row>
    <row r="191" spans="1:3">
      <c r="A191" s="1009">
        <f>_qw3</f>
        <v>0</v>
      </c>
      <c r="B191" s="1008">
        <v>191</v>
      </c>
      <c r="C191" s="1415" t="s">
        <v>1185</v>
      </c>
    </row>
    <row r="192" spans="1:3">
      <c r="A192" s="1009">
        <f>_qw4</f>
        <v>0</v>
      </c>
      <c r="B192" s="1008">
        <v>192</v>
      </c>
      <c r="C192" s="1415" t="s">
        <v>1186</v>
      </c>
    </row>
    <row r="193" spans="1:3">
      <c r="A193" s="1009">
        <f>qw</f>
        <v>0</v>
      </c>
      <c r="B193" s="1008">
        <v>193</v>
      </c>
      <c r="C193" s="1415" t="s">
        <v>1187</v>
      </c>
    </row>
    <row r="194" spans="1:3">
      <c r="A194" s="1014">
        <f>Nachweis!G39</f>
        <v>0</v>
      </c>
      <c r="B194" s="1008">
        <v>194</v>
      </c>
      <c r="C194" s="1415" t="s">
        <v>1188</v>
      </c>
    </row>
    <row r="195" spans="1:3">
      <c r="A195" s="1014">
        <f>Nachweis!H39</f>
        <v>0</v>
      </c>
      <c r="B195" s="1008">
        <v>195</v>
      </c>
      <c r="C195" s="1415" t="s">
        <v>1189</v>
      </c>
    </row>
    <row r="196" spans="1:3">
      <c r="A196" s="1014">
        <f>Nachweis!I39</f>
        <v>0</v>
      </c>
      <c r="B196" s="1008">
        <v>196</v>
      </c>
      <c r="C196" s="1415" t="s">
        <v>1190</v>
      </c>
    </row>
    <row r="197" spans="1:3">
      <c r="A197" s="1014">
        <f>Nachweis!J39</f>
        <v>0</v>
      </c>
      <c r="B197" s="1008">
        <v>197</v>
      </c>
      <c r="C197" s="1415" t="s">
        <v>1191</v>
      </c>
    </row>
    <row r="198" spans="1:3">
      <c r="A198" s="1014">
        <f>Nachweis!L39</f>
        <v>0</v>
      </c>
      <c r="B198" s="1008">
        <v>198</v>
      </c>
      <c r="C198" s="1415" t="s">
        <v>1192</v>
      </c>
    </row>
    <row r="199" spans="1:3">
      <c r="A199" s="1009">
        <f>Nachweis!G40</f>
        <v>0</v>
      </c>
      <c r="B199" s="1008">
        <v>199</v>
      </c>
      <c r="C199" s="1415" t="s">
        <v>1194</v>
      </c>
    </row>
    <row r="200" spans="1:3">
      <c r="A200" s="1009">
        <f>Nachweis!H40</f>
        <v>0</v>
      </c>
      <c r="B200" s="1008">
        <v>200</v>
      </c>
      <c r="C200" s="1415" t="s">
        <v>1195</v>
      </c>
    </row>
    <row r="201" spans="1:3">
      <c r="A201" s="1009">
        <f>Nachweis!I40</f>
        <v>0</v>
      </c>
      <c r="B201" s="1008">
        <v>201</v>
      </c>
      <c r="C201" s="1415" t="s">
        <v>1196</v>
      </c>
    </row>
    <row r="202" spans="1:3">
      <c r="A202" s="1009">
        <f>Nachweis!J40</f>
        <v>0</v>
      </c>
      <c r="B202" s="1008">
        <v>202</v>
      </c>
      <c r="C202" s="1415" t="s">
        <v>1197</v>
      </c>
    </row>
    <row r="203" spans="1:3">
      <c r="A203" s="1009">
        <f>Nachweis!L40</f>
        <v>0</v>
      </c>
      <c r="B203" s="1008">
        <v>203</v>
      </c>
      <c r="C203" s="1415" t="s">
        <v>1198</v>
      </c>
    </row>
    <row r="204" spans="1:3">
      <c r="A204" s="1009">
        <f>Nachweis!G43</f>
        <v>0</v>
      </c>
      <c r="B204" s="1008">
        <v>204</v>
      </c>
      <c r="C204" s="1415" t="s">
        <v>2005</v>
      </c>
    </row>
    <row r="205" spans="1:3">
      <c r="A205" s="1009">
        <f>Nachweis!H43</f>
        <v>0</v>
      </c>
      <c r="B205" s="1008">
        <v>205</v>
      </c>
      <c r="C205" s="1415" t="s">
        <v>2006</v>
      </c>
    </row>
    <row r="206" spans="1:3">
      <c r="A206" s="1009">
        <f>Nachweis!I43</f>
        <v>0</v>
      </c>
      <c r="B206" s="1008">
        <v>206</v>
      </c>
      <c r="C206" s="1415" t="s">
        <v>2007</v>
      </c>
    </row>
    <row r="207" spans="1:3">
      <c r="A207" s="1009">
        <f>Nachweis!J43</f>
        <v>0</v>
      </c>
      <c r="B207" s="1008">
        <v>207</v>
      </c>
      <c r="C207" s="1415" t="s">
        <v>2008</v>
      </c>
    </row>
    <row r="208" spans="1:3">
      <c r="A208" s="1009">
        <f>Nachweis!L43</f>
        <v>0</v>
      </c>
      <c r="B208" s="1008">
        <v>208</v>
      </c>
      <c r="C208" s="1415" t="s">
        <v>1199</v>
      </c>
    </row>
    <row r="209" spans="1:8">
      <c r="A209" s="1009">
        <f>Nachweis!G58</f>
        <v>0</v>
      </c>
      <c r="B209" s="1008">
        <v>209</v>
      </c>
      <c r="C209" s="1415" t="s">
        <v>2011</v>
      </c>
    </row>
    <row r="210" spans="1:8">
      <c r="A210" s="1009">
        <f>MINERGIE_Wert</f>
        <v>0</v>
      </c>
      <c r="B210" s="1008">
        <v>210</v>
      </c>
      <c r="C210" s="1415" t="s">
        <v>2012</v>
      </c>
    </row>
    <row r="211" spans="1:8">
      <c r="A211" s="1009" t="str">
        <f>Nachweis!L58</f>
        <v/>
      </c>
      <c r="B211" s="1008">
        <v>211</v>
      </c>
      <c r="C211" s="1415" t="s">
        <v>2009</v>
      </c>
    </row>
    <row r="212" spans="1:8">
      <c r="A212" s="1009">
        <f>IF(A211="",0,IF(A211=0,1,VLOOKUP(A211,MINERGIE!$N$11:$P$13,3,FALSE))-1)</f>
        <v>0</v>
      </c>
      <c r="B212" s="1008">
        <v>212</v>
      </c>
      <c r="C212" s="1415" t="s">
        <v>2185</v>
      </c>
    </row>
    <row r="213" spans="1:8">
      <c r="A213" s="1009" t="str">
        <f>Nachweis!L60</f>
        <v>Ja</v>
      </c>
      <c r="B213" s="1008">
        <v>213</v>
      </c>
      <c r="C213" s="1415" t="s">
        <v>1215</v>
      </c>
    </row>
    <row r="214" spans="1:8">
      <c r="A214" s="1009">
        <f>IF(A213=0,1,VLOOKUP(A213,MINERGIE!$N$11:$P$13,3,FALSE))-1</f>
        <v>1</v>
      </c>
      <c r="B214" s="1008">
        <v>214</v>
      </c>
      <c r="C214" s="1418" t="s">
        <v>2186</v>
      </c>
      <c r="D214" s="1411"/>
      <c r="E214" s="1411"/>
      <c r="F214" s="1411"/>
      <c r="G214" s="1411"/>
    </row>
    <row r="215" spans="1:8">
      <c r="A215" s="1009">
        <f>Nachweis!G59</f>
        <v>0</v>
      </c>
      <c r="B215" s="1008">
        <v>215</v>
      </c>
      <c r="C215" s="1415" t="s">
        <v>2013</v>
      </c>
    </row>
    <row r="216" spans="1:8">
      <c r="A216" s="1009">
        <f>Nachweis!I59</f>
        <v>0</v>
      </c>
      <c r="B216" s="1008">
        <v>216</v>
      </c>
      <c r="C216" s="1415" t="s">
        <v>2014</v>
      </c>
    </row>
    <row r="217" spans="1:8">
      <c r="A217" s="1009" t="str">
        <f>Nachweis!L59</f>
        <v/>
      </c>
      <c r="B217" s="1008">
        <v>217</v>
      </c>
      <c r="C217" s="1415" t="s">
        <v>2015</v>
      </c>
    </row>
    <row r="218" spans="1:8">
      <c r="A218" s="1009">
        <f>IF(A217="",0,IF(A217=0,1,VLOOKUP(A217,MINERGIE!$N$11:$P$13,3,FALSE))-1)</f>
        <v>0</v>
      </c>
      <c r="B218" s="1008">
        <v>218</v>
      </c>
      <c r="C218" s="1415" t="s">
        <v>2187</v>
      </c>
    </row>
    <row r="219" spans="1:8">
      <c r="A219" s="1009">
        <f>Nachweis!G44</f>
        <v>0</v>
      </c>
      <c r="B219" s="1008">
        <v>219</v>
      </c>
      <c r="C219" s="1415" t="s">
        <v>2016</v>
      </c>
    </row>
    <row r="220" spans="1:8">
      <c r="A220" s="1009">
        <f>Nachweis!H44</f>
        <v>0</v>
      </c>
      <c r="B220" s="1008">
        <v>220</v>
      </c>
      <c r="C220" s="1415" t="s">
        <v>2017</v>
      </c>
    </row>
    <row r="221" spans="1:8">
      <c r="A221" s="1009">
        <f>Nachweis!I44</f>
        <v>0</v>
      </c>
      <c r="B221" s="1008">
        <v>221</v>
      </c>
      <c r="C221" s="1415" t="s">
        <v>2018</v>
      </c>
    </row>
    <row r="222" spans="1:8">
      <c r="A222" s="1011">
        <f>Nachweis!J44</f>
        <v>0</v>
      </c>
      <c r="B222" s="1419">
        <v>222</v>
      </c>
      <c r="C222" s="1416" t="s">
        <v>2019</v>
      </c>
      <c r="D222" s="1012"/>
      <c r="E222" s="1012"/>
      <c r="F222" s="1012"/>
      <c r="G222" s="1012"/>
      <c r="H222" s="1012"/>
    </row>
    <row r="223" spans="1:8">
      <c r="A223" s="1009">
        <f>MINERGIE!F19</f>
        <v>0</v>
      </c>
      <c r="B223" s="1008">
        <v>223</v>
      </c>
      <c r="C223" s="1000" t="s">
        <v>2020</v>
      </c>
    </row>
    <row r="224" spans="1:8">
      <c r="A224" s="1009">
        <f>IF(A223=0,1,VLOOKUP(A223,MINERGIE!$N$11:$P$13,3,FALSE))-1</f>
        <v>0</v>
      </c>
      <c r="B224" s="1008">
        <v>224</v>
      </c>
      <c r="C224" s="1000" t="s">
        <v>2188</v>
      </c>
    </row>
    <row r="225" spans="1:3">
      <c r="A225" s="1009">
        <f>MINERGIE!G19</f>
        <v>0</v>
      </c>
      <c r="B225" s="1008">
        <v>225</v>
      </c>
      <c r="C225" s="1000" t="s">
        <v>2021</v>
      </c>
    </row>
    <row r="226" spans="1:3">
      <c r="A226" s="1009">
        <f>IF(A225=0,1,VLOOKUP(A225,MINERGIE!$N$11:$P$13,3,FALSE))-1</f>
        <v>0</v>
      </c>
      <c r="B226" s="1008">
        <v>226</v>
      </c>
      <c r="C226" s="1000" t="s">
        <v>2191</v>
      </c>
    </row>
    <row r="227" spans="1:3">
      <c r="A227" s="1009">
        <f>MINERGIE!H19</f>
        <v>0</v>
      </c>
      <c r="B227" s="1008">
        <v>227</v>
      </c>
      <c r="C227" s="1000" t="s">
        <v>2022</v>
      </c>
    </row>
    <row r="228" spans="1:3">
      <c r="A228" s="1009">
        <f>IF(A227=0,1,VLOOKUP(A227,MINERGIE!$N$11:$P$13,3,FALSE))-1</f>
        <v>0</v>
      </c>
      <c r="B228" s="1008">
        <v>228</v>
      </c>
      <c r="C228" s="1000" t="s">
        <v>2190</v>
      </c>
    </row>
    <row r="229" spans="1:3">
      <c r="A229" s="1009">
        <f>MINERGIE!I19</f>
        <v>0</v>
      </c>
      <c r="B229" s="1008">
        <v>229</v>
      </c>
      <c r="C229" s="1000" t="s">
        <v>2023</v>
      </c>
    </row>
    <row r="230" spans="1:3">
      <c r="A230" s="1009">
        <f>IF(A229=0,1,VLOOKUP(A229,MINERGIE!$N$11:$P$13,3,FALSE))-1</f>
        <v>0</v>
      </c>
      <c r="B230" s="1008">
        <v>230</v>
      </c>
      <c r="C230" s="1000" t="s">
        <v>2189</v>
      </c>
    </row>
    <row r="231" spans="1:3">
      <c r="A231" s="1009">
        <f>MINERGIE!F20</f>
        <v>0</v>
      </c>
      <c r="B231" s="1008">
        <v>231</v>
      </c>
      <c r="C231" s="1000" t="s">
        <v>2024</v>
      </c>
    </row>
    <row r="232" spans="1:3">
      <c r="A232" s="1009">
        <f>IF(A231=0,1,VLOOKUP(A231,MINERGIE!$N$11:$P$13,3,FALSE))-1</f>
        <v>0</v>
      </c>
      <c r="B232" s="1008">
        <v>232</v>
      </c>
      <c r="C232" s="1000" t="s">
        <v>2192</v>
      </c>
    </row>
    <row r="233" spans="1:3">
      <c r="A233" s="1009">
        <f>MINERGIE!G20</f>
        <v>0</v>
      </c>
      <c r="B233" s="1008">
        <v>233</v>
      </c>
      <c r="C233" s="1000" t="s">
        <v>2027</v>
      </c>
    </row>
    <row r="234" spans="1:3">
      <c r="A234" s="1009">
        <f>IF(A233=0,1,VLOOKUP(A233,MINERGIE!$N$11:$P$13,3,FALSE))-1</f>
        <v>0</v>
      </c>
      <c r="B234" s="1008">
        <v>234</v>
      </c>
      <c r="C234" s="1000" t="s">
        <v>2193</v>
      </c>
    </row>
    <row r="235" spans="1:3">
      <c r="A235" s="1009">
        <f>MINERGIE!H20</f>
        <v>0</v>
      </c>
      <c r="B235" s="1008">
        <v>235</v>
      </c>
      <c r="C235" s="1000" t="s">
        <v>2026</v>
      </c>
    </row>
    <row r="236" spans="1:3">
      <c r="A236" s="1009">
        <f>IF(A235=0,1,VLOOKUP(A235,MINERGIE!$N$11:$P$13,3,FALSE))-1</f>
        <v>0</v>
      </c>
      <c r="B236" s="1008">
        <v>236</v>
      </c>
      <c r="C236" s="1000" t="s">
        <v>2194</v>
      </c>
    </row>
    <row r="237" spans="1:3">
      <c r="A237" s="1009">
        <f>MINERGIE!R25</f>
        <v>0</v>
      </c>
      <c r="B237" s="1008">
        <v>237</v>
      </c>
      <c r="C237" s="1000" t="s">
        <v>2025</v>
      </c>
    </row>
    <row r="238" spans="1:3">
      <c r="A238" s="1009">
        <f>IF(A237=0,1,VLOOKUP(A237,MINERGIE!$N$11:$P$13,3,FALSE))-1</f>
        <v>0</v>
      </c>
      <c r="B238" s="1008">
        <v>238</v>
      </c>
      <c r="C238" s="1000" t="s">
        <v>2195</v>
      </c>
    </row>
    <row r="239" spans="1:3">
      <c r="A239" s="1009">
        <f>MINERGIE!O25</f>
        <v>0</v>
      </c>
      <c r="B239" s="1008">
        <v>239</v>
      </c>
      <c r="C239" s="1000" t="s">
        <v>2028</v>
      </c>
    </row>
    <row r="240" spans="1:3">
      <c r="A240" s="1009">
        <f>MINERGIE!P25</f>
        <v>0</v>
      </c>
      <c r="B240" s="1008">
        <v>240</v>
      </c>
      <c r="C240" s="1000" t="s">
        <v>2030</v>
      </c>
    </row>
    <row r="241" spans="1:3">
      <c r="A241" s="1009">
        <f>MINERGIE!Q25</f>
        <v>0</v>
      </c>
      <c r="B241" s="1008">
        <v>241</v>
      </c>
      <c r="C241" s="1000" t="s">
        <v>2031</v>
      </c>
    </row>
    <row r="242" spans="1:3">
      <c r="A242" s="1009">
        <f>MINERGIE!R25</f>
        <v>0</v>
      </c>
      <c r="B242" s="1008">
        <v>242</v>
      </c>
      <c r="C242" s="1000" t="s">
        <v>2029</v>
      </c>
    </row>
    <row r="243" spans="1:3">
      <c r="A243" s="1009">
        <f>MINERGIE!F33</f>
        <v>0</v>
      </c>
      <c r="B243" s="1008">
        <v>243</v>
      </c>
      <c r="C243" s="1000" t="s">
        <v>2033</v>
      </c>
    </row>
    <row r="244" spans="1:3">
      <c r="A244" s="1009">
        <f>IF(A243=0,1,VLOOKUP(A243,MINERGIE!$N$11:$P$13,3,FALSE))-1</f>
        <v>0</v>
      </c>
      <c r="B244" s="1008">
        <v>244</v>
      </c>
      <c r="C244" s="1000" t="s">
        <v>2196</v>
      </c>
    </row>
    <row r="245" spans="1:3">
      <c r="A245" s="1009">
        <f>MINERGIE!G33</f>
        <v>0</v>
      </c>
      <c r="B245" s="1008">
        <v>245</v>
      </c>
      <c r="C245" s="1000" t="s">
        <v>2035</v>
      </c>
    </row>
    <row r="246" spans="1:3">
      <c r="A246" s="1009">
        <f>IF(A245=0,1,VLOOKUP(A245,MINERGIE!$N$11:$P$13,3,FALSE))-1</f>
        <v>0</v>
      </c>
      <c r="B246" s="1008">
        <v>246</v>
      </c>
      <c r="C246" s="1000" t="s">
        <v>2197</v>
      </c>
    </row>
    <row r="247" spans="1:3">
      <c r="A247" s="1009">
        <f>MINERGIE!H33</f>
        <v>0</v>
      </c>
      <c r="B247" s="1008">
        <v>247</v>
      </c>
      <c r="C247" s="1000" t="s">
        <v>2036</v>
      </c>
    </row>
    <row r="248" spans="1:3">
      <c r="A248" s="1009">
        <f>IF(A247=0,1,VLOOKUP(A247,MINERGIE!$N$11:$P$13,3,FALSE))-1</f>
        <v>0</v>
      </c>
      <c r="B248" s="1008">
        <v>248</v>
      </c>
      <c r="C248" s="1000" t="s">
        <v>2198</v>
      </c>
    </row>
    <row r="249" spans="1:3">
      <c r="A249" s="1009">
        <f>MINERGIE!I33</f>
        <v>0</v>
      </c>
      <c r="B249" s="1008">
        <v>249</v>
      </c>
      <c r="C249" s="1000" t="s">
        <v>2034</v>
      </c>
    </row>
    <row r="250" spans="1:3">
      <c r="A250" s="1009">
        <f>IF(A249=0,1,VLOOKUP(A249,MINERGIE!$N$11:$P$13,3,FALSE))-1</f>
        <v>0</v>
      </c>
      <c r="B250" s="1008">
        <v>250</v>
      </c>
      <c r="C250" s="1000" t="s">
        <v>2199</v>
      </c>
    </row>
    <row r="251" spans="1:3">
      <c r="A251" s="1009">
        <f>MINERGIE!F34</f>
        <v>0</v>
      </c>
      <c r="B251" s="1008">
        <v>251</v>
      </c>
      <c r="C251" s="1415" t="s">
        <v>2037</v>
      </c>
    </row>
    <row r="252" spans="1:3">
      <c r="A252" s="1009">
        <f>IF(A251=0,1,VLOOKUP(A251,MINERGIE!$N$11:$P$13,3,FALSE))-1</f>
        <v>0</v>
      </c>
      <c r="B252" s="1008">
        <v>252</v>
      </c>
      <c r="C252" s="1415" t="s">
        <v>2200</v>
      </c>
    </row>
    <row r="253" spans="1:3">
      <c r="A253" s="1009">
        <f>MINERGIE!G34</f>
        <v>0</v>
      </c>
      <c r="B253" s="1008">
        <v>253</v>
      </c>
      <c r="C253" s="1415" t="s">
        <v>2038</v>
      </c>
    </row>
    <row r="254" spans="1:3">
      <c r="A254" s="1009">
        <f>IF(A253=0,1,VLOOKUP(A253,MINERGIE!$N$11:$P$13,3,FALSE))-1</f>
        <v>0</v>
      </c>
      <c r="B254" s="1008">
        <v>254</v>
      </c>
      <c r="C254" s="1415" t="s">
        <v>2201</v>
      </c>
    </row>
    <row r="255" spans="1:3">
      <c r="A255" s="1009">
        <f>MINERGIE!H34</f>
        <v>0</v>
      </c>
      <c r="B255" s="1008">
        <v>255</v>
      </c>
      <c r="C255" s="1415" t="s">
        <v>2039</v>
      </c>
    </row>
    <row r="256" spans="1:3">
      <c r="A256" s="1009">
        <f>IF(A255=0,1,VLOOKUP(A255,MINERGIE!$N$11:$P$13,3,FALSE))-1</f>
        <v>0</v>
      </c>
      <c r="B256" s="1008">
        <v>256</v>
      </c>
      <c r="C256" s="1415" t="s">
        <v>2202</v>
      </c>
    </row>
    <row r="257" spans="1:4">
      <c r="A257" s="1009">
        <f>MINERGIE!I34</f>
        <v>0</v>
      </c>
      <c r="B257" s="1008">
        <v>257</v>
      </c>
      <c r="C257" s="1415" t="s">
        <v>2040</v>
      </c>
    </row>
    <row r="258" spans="1:4">
      <c r="A258" s="1009">
        <f>IF(A257=0,1,VLOOKUP(A257,MINERGIE!$N$11:$P$13,3,FALSE))-1</f>
        <v>0</v>
      </c>
      <c r="B258" s="1008">
        <v>258</v>
      </c>
      <c r="C258" s="1415" t="s">
        <v>2203</v>
      </c>
    </row>
    <row r="259" spans="1:4">
      <c r="A259" s="1009">
        <f>MINERGIE!F35</f>
        <v>0</v>
      </c>
      <c r="B259" s="1008">
        <v>259</v>
      </c>
      <c r="C259" s="1415" t="s">
        <v>2041</v>
      </c>
    </row>
    <row r="260" spans="1:4">
      <c r="A260" s="1009">
        <f>IF(A259=0,1,VLOOKUP(A259,MINERGIE!$N$11:$P$13,3,FALSE))-1</f>
        <v>0</v>
      </c>
      <c r="B260" s="1008">
        <v>260</v>
      </c>
      <c r="C260" s="1415" t="s">
        <v>2204</v>
      </c>
      <c r="D260" s="1410"/>
    </row>
    <row r="261" spans="1:4">
      <c r="A261" s="1009">
        <f>MINERGIE!G35</f>
        <v>0</v>
      </c>
      <c r="B261" s="1008">
        <v>261</v>
      </c>
      <c r="C261" s="1415" t="s">
        <v>2042</v>
      </c>
    </row>
    <row r="262" spans="1:4">
      <c r="A262" s="1009">
        <f>IF(A261=0,1,VLOOKUP(A261,MINERGIE!$N$11:$P$13,3,FALSE))-1</f>
        <v>0</v>
      </c>
      <c r="B262" s="1008">
        <v>262</v>
      </c>
      <c r="C262" s="1415" t="s">
        <v>2205</v>
      </c>
    </row>
    <row r="263" spans="1:4">
      <c r="A263" s="1009">
        <f>MINERGIE!H35</f>
        <v>0</v>
      </c>
      <c r="B263" s="1008">
        <v>263</v>
      </c>
      <c r="C263" s="1415" t="s">
        <v>2043</v>
      </c>
    </row>
    <row r="264" spans="1:4">
      <c r="A264" s="1009">
        <f>IF(A263=0,1,VLOOKUP(A263,MINERGIE!$N$11:$P$13,3,FALSE))-1</f>
        <v>0</v>
      </c>
      <c r="B264" s="1008">
        <v>264</v>
      </c>
      <c r="C264" s="1415" t="s">
        <v>2206</v>
      </c>
    </row>
    <row r="265" spans="1:4">
      <c r="A265" s="1008">
        <f>MINERGIE!I35</f>
        <v>0</v>
      </c>
      <c r="B265" s="1008">
        <v>265</v>
      </c>
      <c r="C265" s="1415" t="s">
        <v>2044</v>
      </c>
    </row>
    <row r="266" spans="1:4">
      <c r="A266" s="1009">
        <f>IF(A265=0,1,VLOOKUP(A265,MINERGIE!$N$11:$P$13,3,FALSE))-1</f>
        <v>0</v>
      </c>
      <c r="B266" s="1008">
        <v>266</v>
      </c>
      <c r="C266" s="1415" t="s">
        <v>2207</v>
      </c>
    </row>
    <row r="267" spans="1:4">
      <c r="A267" s="1009">
        <f>MINERGIE!F36</f>
        <v>0</v>
      </c>
      <c r="B267" s="1008">
        <v>267</v>
      </c>
      <c r="C267" s="1415" t="s">
        <v>2045</v>
      </c>
    </row>
    <row r="268" spans="1:4">
      <c r="A268" s="1009">
        <f>IF(A267=0,1,VLOOKUP(A267,MINERGIE!$N$11:$P$13,3,FALSE))-1</f>
        <v>0</v>
      </c>
      <c r="B268" s="1008">
        <v>268</v>
      </c>
      <c r="C268" s="1415" t="s">
        <v>2208</v>
      </c>
    </row>
    <row r="269" spans="1:4">
      <c r="A269" s="1009">
        <f>MINERGIE!G36</f>
        <v>0</v>
      </c>
      <c r="B269" s="1008">
        <v>269</v>
      </c>
      <c r="C269" s="1415" t="s">
        <v>2046</v>
      </c>
    </row>
    <row r="270" spans="1:4">
      <c r="A270" s="1009">
        <f>IF(A269=0,1,VLOOKUP(A269,MINERGIE!$N$11:$P$13,3,FALSE))-1</f>
        <v>0</v>
      </c>
      <c r="B270" s="1008">
        <v>270</v>
      </c>
      <c r="C270" s="1415" t="s">
        <v>2209</v>
      </c>
    </row>
    <row r="271" spans="1:4">
      <c r="A271" s="1009">
        <f>MINERGIE!H36</f>
        <v>0</v>
      </c>
      <c r="B271" s="1008">
        <v>271</v>
      </c>
      <c r="C271" s="1415" t="s">
        <v>2047</v>
      </c>
    </row>
    <row r="272" spans="1:4">
      <c r="A272" s="1009">
        <f>IF(A271=0,1,VLOOKUP(A271,MINERGIE!$N$11:$P$13,3,FALSE))-1</f>
        <v>0</v>
      </c>
      <c r="B272" s="1008">
        <v>272</v>
      </c>
      <c r="C272" s="1415" t="s">
        <v>2210</v>
      </c>
    </row>
    <row r="273" spans="1:4">
      <c r="A273" s="1009">
        <f>MINERGIE!I36</f>
        <v>0</v>
      </c>
      <c r="B273" s="1008">
        <v>273</v>
      </c>
      <c r="C273" s="1415" t="s">
        <v>2048</v>
      </c>
    </row>
    <row r="274" spans="1:4">
      <c r="A274" s="1009">
        <f>IF(A273=0,1,VLOOKUP(A273,MINERGIE!$N$11:$P$13,3,FALSE))-1</f>
        <v>0</v>
      </c>
      <c r="B274" s="1008">
        <v>274</v>
      </c>
      <c r="C274" s="1415" t="s">
        <v>2211</v>
      </c>
    </row>
    <row r="275" spans="1:4">
      <c r="A275" s="1009">
        <f>MINERGIE!F37</f>
        <v>0</v>
      </c>
      <c r="B275" s="1008">
        <v>275</v>
      </c>
      <c r="C275" s="1415" t="s">
        <v>2049</v>
      </c>
      <c r="D275" s="1410"/>
    </row>
    <row r="276" spans="1:4">
      <c r="A276" s="1009">
        <f>IF(A275=0,1,VLOOKUP(A275,MINERGIE!$N$11:$P$13,3,FALSE))-1</f>
        <v>0</v>
      </c>
      <c r="B276" s="1008">
        <v>276</v>
      </c>
      <c r="C276" s="1415" t="s">
        <v>2212</v>
      </c>
    </row>
    <row r="277" spans="1:4">
      <c r="A277" s="1009">
        <f>MINERGIE!G37</f>
        <v>0</v>
      </c>
      <c r="B277" s="1008">
        <v>277</v>
      </c>
      <c r="C277" s="1415" t="s">
        <v>2050</v>
      </c>
    </row>
    <row r="278" spans="1:4">
      <c r="A278" s="1009">
        <f>IF(A277=0,1,VLOOKUP(A277,MINERGIE!$N$11:$P$13,3,FALSE))-1</f>
        <v>0</v>
      </c>
      <c r="B278" s="1008">
        <v>278</v>
      </c>
      <c r="C278" s="1415" t="s">
        <v>2213</v>
      </c>
    </row>
    <row r="279" spans="1:4">
      <c r="A279" s="1009">
        <f>MINERGIE!H37</f>
        <v>0</v>
      </c>
      <c r="B279" s="1008">
        <v>279</v>
      </c>
      <c r="C279" s="1415" t="s">
        <v>2051</v>
      </c>
    </row>
    <row r="280" spans="1:4">
      <c r="A280" s="1009">
        <f>IF(A279=0,1,VLOOKUP(A279,MINERGIE!$N$11:$P$13,3,FALSE))-1</f>
        <v>0</v>
      </c>
      <c r="B280" s="1008">
        <v>280</v>
      </c>
      <c r="C280" s="1415" t="s">
        <v>2214</v>
      </c>
    </row>
    <row r="281" spans="1:4">
      <c r="A281" s="1008">
        <f>MINERGIE!I37</f>
        <v>0</v>
      </c>
      <c r="B281" s="1008">
        <v>281</v>
      </c>
      <c r="C281" s="1415" t="s">
        <v>2052</v>
      </c>
    </row>
    <row r="282" spans="1:4">
      <c r="A282" s="1009">
        <f>IF(A281=0,1,VLOOKUP(A281,MINERGIE!$N$11:$P$13,3,FALSE))-1</f>
        <v>0</v>
      </c>
      <c r="B282" s="1008">
        <v>282</v>
      </c>
      <c r="C282" s="1415" t="s">
        <v>2215</v>
      </c>
    </row>
    <row r="283" spans="1:4">
      <c r="A283" s="1009">
        <f>MINERGIE!F38</f>
        <v>0</v>
      </c>
      <c r="B283" s="1008">
        <v>283</v>
      </c>
      <c r="C283" s="1415" t="s">
        <v>2053</v>
      </c>
    </row>
    <row r="284" spans="1:4">
      <c r="A284" s="1009">
        <f>IF(A283=0,1,VLOOKUP(A283,MINERGIE!$N$11:$P$13,3,FALSE))-1</f>
        <v>0</v>
      </c>
      <c r="B284" s="1008">
        <v>284</v>
      </c>
      <c r="C284" s="1415" t="s">
        <v>2216</v>
      </c>
    </row>
    <row r="285" spans="1:4">
      <c r="A285" s="1009">
        <f>MINERGIE!G38</f>
        <v>0</v>
      </c>
      <c r="B285" s="1008">
        <v>285</v>
      </c>
      <c r="C285" s="1415" t="s">
        <v>2054</v>
      </c>
    </row>
    <row r="286" spans="1:4">
      <c r="A286" s="1009">
        <f>IF(A285=0,1,VLOOKUP(A285,MINERGIE!$N$11:$P$13,3,FALSE))-1</f>
        <v>0</v>
      </c>
      <c r="B286" s="1008">
        <v>286</v>
      </c>
      <c r="C286" s="1415" t="s">
        <v>2217</v>
      </c>
    </row>
    <row r="287" spans="1:4">
      <c r="A287" s="1009">
        <f>MINERGIE!H38</f>
        <v>0</v>
      </c>
      <c r="B287" s="1008">
        <v>287</v>
      </c>
      <c r="C287" s="1415" t="s">
        <v>2055</v>
      </c>
    </row>
    <row r="288" spans="1:4">
      <c r="A288" s="1009">
        <f>IF(A287=0,1,VLOOKUP(A287,MINERGIE!$N$11:$P$13,3,FALSE))-1</f>
        <v>0</v>
      </c>
      <c r="B288" s="1008">
        <v>288</v>
      </c>
      <c r="C288" s="1415" t="s">
        <v>2218</v>
      </c>
    </row>
    <row r="289" spans="1:5">
      <c r="A289" s="1009">
        <f>MINERGIE!I38</f>
        <v>0</v>
      </c>
      <c r="B289" s="1008">
        <v>289</v>
      </c>
      <c r="C289" s="1415" t="s">
        <v>2056</v>
      </c>
    </row>
    <row r="290" spans="1:5">
      <c r="A290" s="1009">
        <f>IF(A289=0,1,VLOOKUP(A289,MINERGIE!$N$11:$P$13,3,FALSE))-1</f>
        <v>0</v>
      </c>
      <c r="B290" s="1008">
        <v>290</v>
      </c>
      <c r="C290" s="1415" t="s">
        <v>2219</v>
      </c>
    </row>
    <row r="291" spans="1:5">
      <c r="A291" s="1009">
        <f>MINERGIE!F39</f>
        <v>0</v>
      </c>
      <c r="B291" s="1008">
        <v>291</v>
      </c>
      <c r="C291" s="1415" t="s">
        <v>2057</v>
      </c>
      <c r="D291" s="1410"/>
    </row>
    <row r="292" spans="1:5">
      <c r="A292" s="1009">
        <f>IF(A291=0,1,VLOOKUP(A291,MINERGIE!$N$11:$P$13,3,FALSE))-1</f>
        <v>0</v>
      </c>
      <c r="B292" s="1008">
        <v>292</v>
      </c>
      <c r="C292" s="1415" t="s">
        <v>2220</v>
      </c>
      <c r="D292" s="1410"/>
      <c r="E292" s="1410"/>
    </row>
    <row r="293" spans="1:5">
      <c r="A293" s="1009">
        <f>MINERGIE!G39</f>
        <v>0</v>
      </c>
      <c r="B293" s="1008">
        <v>293</v>
      </c>
      <c r="C293" s="1415" t="s">
        <v>2058</v>
      </c>
    </row>
    <row r="294" spans="1:5">
      <c r="A294" s="1009">
        <f>IF(A293=0,1,VLOOKUP(A293,MINERGIE!$N$11:$P$13,3,FALSE))-1</f>
        <v>0</v>
      </c>
      <c r="B294" s="1008">
        <v>294</v>
      </c>
      <c r="C294" s="1415" t="s">
        <v>2221</v>
      </c>
    </row>
    <row r="295" spans="1:5">
      <c r="A295" s="1009">
        <f>MINERGIE!H39</f>
        <v>0</v>
      </c>
      <c r="B295" s="1008">
        <v>295</v>
      </c>
      <c r="C295" s="1415" t="s">
        <v>2059</v>
      </c>
    </row>
    <row r="296" spans="1:5">
      <c r="A296" s="1009">
        <f>IF(A295=0,1,VLOOKUP(A295,MINERGIE!$N$11:$P$13,3,FALSE))-1</f>
        <v>0</v>
      </c>
      <c r="B296" s="1008">
        <v>296</v>
      </c>
      <c r="C296" s="1415" t="s">
        <v>2222</v>
      </c>
    </row>
    <row r="297" spans="1:5">
      <c r="A297" s="1009">
        <f>MINERGIE!I39</f>
        <v>0</v>
      </c>
      <c r="B297" s="1008">
        <v>297</v>
      </c>
      <c r="C297" s="1415" t="s">
        <v>2060</v>
      </c>
    </row>
    <row r="298" spans="1:5">
      <c r="A298" s="1009">
        <f>IF(A297=0,1,VLOOKUP(A297,MINERGIE!$N$11:$P$13,3,FALSE))-1</f>
        <v>0</v>
      </c>
      <c r="B298" s="1008">
        <v>298</v>
      </c>
      <c r="C298" s="1415" t="s">
        <v>2223</v>
      </c>
    </row>
    <row r="299" spans="1:5">
      <c r="A299" s="1009">
        <f>MINERGIE!F40</f>
        <v>0</v>
      </c>
      <c r="B299" s="1008">
        <v>299</v>
      </c>
      <c r="C299" s="1415" t="s">
        <v>2061</v>
      </c>
      <c r="D299" s="1410"/>
    </row>
    <row r="300" spans="1:5">
      <c r="A300" s="1009">
        <f>IF(A299=0,1,VLOOKUP(A299,MINERGIE!$N$11:$P$13,3,FALSE))-1</f>
        <v>0</v>
      </c>
      <c r="B300" s="1008">
        <v>300</v>
      </c>
      <c r="C300" s="1415" t="s">
        <v>2224</v>
      </c>
    </row>
    <row r="301" spans="1:5">
      <c r="A301" s="1009">
        <f>MINERGIE!G40</f>
        <v>0</v>
      </c>
      <c r="B301" s="1008">
        <v>301</v>
      </c>
      <c r="C301" s="1415" t="s">
        <v>2062</v>
      </c>
    </row>
    <row r="302" spans="1:5">
      <c r="A302" s="1009">
        <f>IF(A301=0,1,VLOOKUP(A301,MINERGIE!$N$11:$P$13,3,FALSE))-1</f>
        <v>0</v>
      </c>
      <c r="B302" s="1008">
        <v>302</v>
      </c>
      <c r="C302" s="1415" t="s">
        <v>2225</v>
      </c>
    </row>
    <row r="303" spans="1:5">
      <c r="A303" s="1009">
        <f>MINERGIE!H40</f>
        <v>0</v>
      </c>
      <c r="B303" s="1008">
        <v>303</v>
      </c>
      <c r="C303" s="1415" t="s">
        <v>2063</v>
      </c>
    </row>
    <row r="304" spans="1:5">
      <c r="A304" s="1009">
        <f>IF(A303=0,1,VLOOKUP(A303,MINERGIE!$N$11:$P$13,3,FALSE))-1</f>
        <v>0</v>
      </c>
      <c r="B304" s="1008">
        <v>304</v>
      </c>
      <c r="C304" s="1415" t="s">
        <v>2226</v>
      </c>
    </row>
    <row r="305" spans="1:5">
      <c r="A305" s="1009">
        <f>MINERGIE!I40</f>
        <v>0</v>
      </c>
      <c r="B305" s="1008">
        <v>305</v>
      </c>
      <c r="C305" s="1415" t="s">
        <v>2064</v>
      </c>
    </row>
    <row r="306" spans="1:5">
      <c r="A306" s="1009">
        <f>IF(A305=0,1,VLOOKUP(A305,MINERGIE!$N$11:$P$13,3,FALSE))-1</f>
        <v>0</v>
      </c>
      <c r="B306" s="1008">
        <v>306</v>
      </c>
      <c r="C306" s="1415" t="s">
        <v>2227</v>
      </c>
    </row>
    <row r="307" spans="1:5">
      <c r="A307" s="1009">
        <f>MINERGIE!F44</f>
        <v>0</v>
      </c>
      <c r="B307" s="1008">
        <v>307</v>
      </c>
      <c r="C307" s="1415" t="s">
        <v>2065</v>
      </c>
      <c r="D307" s="1410"/>
    </row>
    <row r="308" spans="1:5">
      <c r="A308" s="1009">
        <f>IF(A307=0,1,VLOOKUP(A307,MINERGIE!$N$11:$P$13,3,FALSE))-1</f>
        <v>0</v>
      </c>
      <c r="B308" s="1008">
        <v>308</v>
      </c>
      <c r="C308" s="1415" t="s">
        <v>2228</v>
      </c>
    </row>
    <row r="309" spans="1:5">
      <c r="A309" s="1009">
        <f>MINERGIE!G44</f>
        <v>0</v>
      </c>
      <c r="B309" s="1008">
        <v>309</v>
      </c>
      <c r="C309" s="1415" t="s">
        <v>2066</v>
      </c>
    </row>
    <row r="310" spans="1:5">
      <c r="A310" s="1009">
        <f>IF(A309=0,1,VLOOKUP(A309,MINERGIE!$N$11:$P$13,3,FALSE))-1</f>
        <v>0</v>
      </c>
      <c r="B310" s="1008">
        <v>310</v>
      </c>
      <c r="C310" s="1415" t="s">
        <v>2229</v>
      </c>
    </row>
    <row r="311" spans="1:5">
      <c r="A311" s="1009">
        <f>MINERGIE!H44</f>
        <v>0</v>
      </c>
      <c r="B311" s="1008">
        <v>311</v>
      </c>
      <c r="C311" s="1415" t="s">
        <v>2067</v>
      </c>
    </row>
    <row r="312" spans="1:5">
      <c r="A312" s="1009">
        <f>IF(A311=0,1,VLOOKUP(A311,MINERGIE!$N$11:$P$13,3,FALSE))-1</f>
        <v>0</v>
      </c>
      <c r="B312" s="1008">
        <v>312</v>
      </c>
      <c r="C312" s="1415" t="s">
        <v>2230</v>
      </c>
    </row>
    <row r="313" spans="1:5">
      <c r="A313" s="1009">
        <f>MINERGIE!I44</f>
        <v>0</v>
      </c>
      <c r="B313" s="1008">
        <v>313</v>
      </c>
      <c r="C313" s="1415" t="s">
        <v>2068</v>
      </c>
    </row>
    <row r="314" spans="1:5">
      <c r="A314" s="1009">
        <f>IF(A313=0,1,VLOOKUP(A313,MINERGIE!$N$11:$P$13,3,FALSE))-1</f>
        <v>0</v>
      </c>
      <c r="B314" s="1008">
        <v>314</v>
      </c>
      <c r="C314" s="1415" t="s">
        <v>2231</v>
      </c>
    </row>
    <row r="315" spans="1:5">
      <c r="A315" s="1009">
        <f>MINERGIE!F46</f>
        <v>0</v>
      </c>
      <c r="B315" s="1008">
        <v>315</v>
      </c>
      <c r="C315" s="1415" t="s">
        <v>2069</v>
      </c>
      <c r="D315" s="1410"/>
    </row>
    <row r="316" spans="1:5">
      <c r="A316" s="1009">
        <f>IF(A315=0,1,VLOOKUP(A315,MINERGIE!$N$11:$P$13,3,FALSE))-1</f>
        <v>0</v>
      </c>
      <c r="B316" s="1008">
        <v>316</v>
      </c>
      <c r="C316" s="1415" t="s">
        <v>2232</v>
      </c>
      <c r="D316" s="1410"/>
      <c r="E316" s="1410"/>
    </row>
    <row r="317" spans="1:5">
      <c r="A317" s="1009">
        <f>MINERGIE!G46</f>
        <v>0</v>
      </c>
      <c r="B317" s="1008">
        <v>317</v>
      </c>
      <c r="C317" s="1415" t="s">
        <v>2070</v>
      </c>
    </row>
    <row r="318" spans="1:5">
      <c r="A318" s="1009">
        <f>IF(A317=0,1,VLOOKUP(A317,MINERGIE!$N$11:$P$13,3,FALSE))-1</f>
        <v>0</v>
      </c>
      <c r="B318" s="1008">
        <v>318</v>
      </c>
      <c r="C318" s="1415" t="s">
        <v>2233</v>
      </c>
    </row>
    <row r="319" spans="1:5">
      <c r="A319" s="1009">
        <f>MINERGIE!H46</f>
        <v>0</v>
      </c>
      <c r="B319" s="1008">
        <v>319</v>
      </c>
      <c r="C319" s="1415" t="s">
        <v>2071</v>
      </c>
    </row>
    <row r="320" spans="1:5">
      <c r="A320" s="1009">
        <f>IF(A319=0,1,VLOOKUP(A319,MINERGIE!$N$11:$P$13,3,FALSE))-1</f>
        <v>0</v>
      </c>
      <c r="B320" s="1008">
        <v>320</v>
      </c>
      <c r="C320" s="1415" t="s">
        <v>2234</v>
      </c>
    </row>
    <row r="321" spans="1:4">
      <c r="A321" s="1009">
        <f>MINERGIE!I46</f>
        <v>0</v>
      </c>
      <c r="B321" s="1008">
        <v>321</v>
      </c>
      <c r="C321" s="1415" t="s">
        <v>2072</v>
      </c>
    </row>
    <row r="322" spans="1:4">
      <c r="A322" s="1009">
        <f>IF(A321=0,1,VLOOKUP(A321,MINERGIE!$N$11:$P$13,3,FALSE))-1</f>
        <v>0</v>
      </c>
      <c r="B322" s="1008">
        <v>322</v>
      </c>
      <c r="C322" s="1415" t="s">
        <v>2235</v>
      </c>
    </row>
    <row r="323" spans="1:4">
      <c r="A323" s="1009">
        <f>MINERGIE!F47</f>
        <v>0</v>
      </c>
      <c r="B323" s="1008">
        <v>323</v>
      </c>
      <c r="C323" s="1415" t="s">
        <v>2073</v>
      </c>
      <c r="D323" s="1410"/>
    </row>
    <row r="324" spans="1:4">
      <c r="A324" s="1009">
        <f>IF(A323=0,1,VLOOKUP(A323,MINERGIE!$N$11:$P$13,3,FALSE))-1</f>
        <v>0</v>
      </c>
      <c r="B324" s="1008">
        <v>324</v>
      </c>
      <c r="C324" s="1415" t="s">
        <v>2236</v>
      </c>
    </row>
    <row r="325" spans="1:4">
      <c r="A325" s="1009">
        <f>MINERGIE!G47</f>
        <v>0</v>
      </c>
      <c r="B325" s="1008">
        <v>325</v>
      </c>
      <c r="C325" s="1415" t="s">
        <v>2074</v>
      </c>
    </row>
    <row r="326" spans="1:4">
      <c r="A326" s="1009">
        <f>IF(A325=0,1,VLOOKUP(A325,MINERGIE!$N$11:$P$13,3,FALSE))-1</f>
        <v>0</v>
      </c>
      <c r="B326" s="1008">
        <v>326</v>
      </c>
      <c r="C326" s="1415" t="s">
        <v>2237</v>
      </c>
    </row>
    <row r="327" spans="1:4">
      <c r="A327" s="1009">
        <f>MINERGIE!H47</f>
        <v>0</v>
      </c>
      <c r="B327" s="1008">
        <v>327</v>
      </c>
      <c r="C327" s="1415" t="s">
        <v>2075</v>
      </c>
    </row>
    <row r="328" spans="1:4">
      <c r="A328" s="1009">
        <f>IF(A327=0,1,VLOOKUP(A327,MINERGIE!$N$11:$P$13,3,FALSE))-1</f>
        <v>0</v>
      </c>
      <c r="B328" s="1008">
        <v>328</v>
      </c>
      <c r="C328" s="1415" t="s">
        <v>2238</v>
      </c>
    </row>
    <row r="329" spans="1:4">
      <c r="A329" s="1009">
        <f>MINERGIE!I47</f>
        <v>0</v>
      </c>
      <c r="B329" s="1008">
        <v>329</v>
      </c>
      <c r="C329" s="1415" t="s">
        <v>2076</v>
      </c>
    </row>
    <row r="330" spans="1:4">
      <c r="A330" s="1009">
        <f>IF(A329=0,1,VLOOKUP(A329,MINERGIE!$N$11:$P$13,3,FALSE))-1</f>
        <v>0</v>
      </c>
      <c r="B330" s="1008">
        <v>330</v>
      </c>
      <c r="C330" s="1415" t="s">
        <v>2239</v>
      </c>
    </row>
    <row r="331" spans="1:4">
      <c r="A331" s="1009">
        <f>MINERGIE!O92</f>
        <v>0</v>
      </c>
      <c r="B331" s="1008">
        <v>331</v>
      </c>
      <c r="C331" s="1415" t="s">
        <v>2077</v>
      </c>
    </row>
    <row r="332" spans="1:4">
      <c r="A332" s="1009">
        <f>MINERGIE!P92</f>
        <v>0</v>
      </c>
      <c r="B332" s="1008">
        <v>332</v>
      </c>
      <c r="C332" s="1415" t="s">
        <v>2079</v>
      </c>
    </row>
    <row r="333" spans="1:4">
      <c r="A333" s="1009">
        <f>MINERGIE!Q92</f>
        <v>0</v>
      </c>
      <c r="B333" s="1008">
        <v>333</v>
      </c>
      <c r="C333" s="1415" t="s">
        <v>2080</v>
      </c>
    </row>
    <row r="334" spans="1:4">
      <c r="A334" s="1009">
        <f>MINERGIE!R92</f>
        <v>0</v>
      </c>
      <c r="B334" s="1008">
        <v>334</v>
      </c>
      <c r="C334" s="1415" t="s">
        <v>2081</v>
      </c>
    </row>
    <row r="335" spans="1:4">
      <c r="A335" s="1009">
        <f>MINERGIE!O93</f>
        <v>0</v>
      </c>
      <c r="B335" s="1008">
        <v>335</v>
      </c>
      <c r="C335" s="1415" t="s">
        <v>2078</v>
      </c>
    </row>
    <row r="336" spans="1:4">
      <c r="A336" s="1009">
        <f>MINERGIE!P93</f>
        <v>0</v>
      </c>
      <c r="B336" s="1008">
        <v>336</v>
      </c>
      <c r="C336" s="1415" t="s">
        <v>2082</v>
      </c>
    </row>
    <row r="337" spans="1:5">
      <c r="A337" s="1009">
        <f>MINERGIE!Q93</f>
        <v>0</v>
      </c>
      <c r="B337" s="1008">
        <v>337</v>
      </c>
      <c r="C337" s="1415" t="s">
        <v>2083</v>
      </c>
    </row>
    <row r="338" spans="1:5">
      <c r="A338" s="1009">
        <f>MINERGIE!R93</f>
        <v>0</v>
      </c>
      <c r="B338" s="1008">
        <v>338</v>
      </c>
      <c r="C338" s="1415" t="s">
        <v>2084</v>
      </c>
    </row>
    <row r="339" spans="1:5">
      <c r="A339" s="1009" t="str">
        <f>MINERGIE!D50</f>
        <v/>
      </c>
      <c r="B339" s="1008">
        <v>339</v>
      </c>
      <c r="C339" s="1415" t="s">
        <v>1835</v>
      </c>
      <c r="D339" s="1410"/>
    </row>
    <row r="340" spans="1:5">
      <c r="A340" s="1009">
        <f>IF(OR(A339=0,A339=""),1,VLOOKUP(A339,MINERGIE!$Q$11:$S$13,3,FALSE))-1</f>
        <v>0</v>
      </c>
      <c r="B340" s="1008">
        <v>340</v>
      </c>
      <c r="C340" s="1415" t="s">
        <v>2240</v>
      </c>
    </row>
    <row r="341" spans="1:5">
      <c r="A341" s="1009">
        <f>MINERGIE!E55</f>
        <v>0</v>
      </c>
      <c r="B341" s="1008">
        <v>341</v>
      </c>
      <c r="C341" s="1415" t="s">
        <v>2529</v>
      </c>
    </row>
    <row r="342" spans="1:5">
      <c r="A342" s="1009">
        <f>MINERGIE!H55</f>
        <v>0</v>
      </c>
      <c r="B342" s="1008">
        <v>342</v>
      </c>
      <c r="C342" s="1415" t="s">
        <v>2085</v>
      </c>
      <c r="D342" s="1410"/>
    </row>
    <row r="343" spans="1:5">
      <c r="A343" s="1009">
        <f>MINERGIE!G55</f>
        <v>800</v>
      </c>
      <c r="B343" s="1008">
        <v>343</v>
      </c>
      <c r="C343" s="1415" t="s">
        <v>2086</v>
      </c>
    </row>
    <row r="344" spans="1:5">
      <c r="A344" s="1009">
        <f>MINERGIE!K55</f>
        <v>0</v>
      </c>
      <c r="B344" s="1008">
        <v>344</v>
      </c>
      <c r="C344" s="1415" t="s">
        <v>2087</v>
      </c>
      <c r="D344" s="1410"/>
      <c r="E344" s="1410"/>
    </row>
    <row r="345" spans="1:5">
      <c r="A345" s="1009">
        <f>MINERGIE!I55</f>
        <v>0.2</v>
      </c>
      <c r="B345" s="1008">
        <v>345</v>
      </c>
      <c r="C345" s="1415" t="s">
        <v>2088</v>
      </c>
    </row>
    <row r="346" spans="1:5">
      <c r="A346" s="1009">
        <f>MINERGIE!E56</f>
        <v>0</v>
      </c>
      <c r="B346" s="1008">
        <v>346</v>
      </c>
      <c r="C346" s="1415" t="s">
        <v>2528</v>
      </c>
    </row>
    <row r="347" spans="1:5">
      <c r="A347" s="1014">
        <f>MINERGIE!E57</f>
        <v>0</v>
      </c>
      <c r="B347" s="1008">
        <v>347</v>
      </c>
      <c r="C347" s="1415" t="s">
        <v>2527</v>
      </c>
    </row>
    <row r="348" spans="1:5">
      <c r="A348" s="1009" t="str">
        <f>MINERGIE!I57</f>
        <v/>
      </c>
      <c r="B348" s="1008">
        <v>348</v>
      </c>
      <c r="C348" s="1415" t="s">
        <v>2530</v>
      </c>
    </row>
    <row r="349" spans="1:5">
      <c r="A349" s="1009">
        <f>IF(OR(A348=0,A348=""),1,VLOOKUP(A348,MINERGIE!$N$11:$P$13,3,FALSE))-1</f>
        <v>0</v>
      </c>
      <c r="B349" s="1008">
        <v>349</v>
      </c>
      <c r="C349" s="1415" t="s">
        <v>2531</v>
      </c>
    </row>
    <row r="350" spans="1:5">
      <c r="A350" s="1412">
        <f>MINERGIE!I63</f>
        <v>0</v>
      </c>
      <c r="B350" s="1008">
        <v>350</v>
      </c>
      <c r="C350" s="1415" t="s">
        <v>1954</v>
      </c>
      <c r="D350" s="1410"/>
    </row>
    <row r="351" spans="1:5">
      <c r="A351" s="1009">
        <f>IF(A350=0,1,VLOOKUP(A350,MINERGIE!$N$11:$P$13,3,FALSE))-1</f>
        <v>0</v>
      </c>
      <c r="B351" s="1008">
        <v>351</v>
      </c>
      <c r="C351" s="1415" t="s">
        <v>2241</v>
      </c>
    </row>
    <row r="352" spans="1:5">
      <c r="A352" s="1412">
        <f>MINERGIE!J63</f>
        <v>0</v>
      </c>
      <c r="B352" s="1008">
        <v>352</v>
      </c>
      <c r="C352" s="1415" t="s">
        <v>2089</v>
      </c>
    </row>
    <row r="353" spans="1:6">
      <c r="A353" s="1009" t="e">
        <f>MINERGIE!#REF!</f>
        <v>#REF!</v>
      </c>
      <c r="B353" s="1008">
        <v>353</v>
      </c>
      <c r="C353" s="1415" t="s">
        <v>2090</v>
      </c>
    </row>
    <row r="354" spans="1:6">
      <c r="A354" s="1412">
        <f>MINERGIE!I64</f>
        <v>0</v>
      </c>
      <c r="B354" s="1008">
        <v>354</v>
      </c>
      <c r="C354" s="1415" t="s">
        <v>1955</v>
      </c>
    </row>
    <row r="355" spans="1:6">
      <c r="A355" s="1009">
        <f>IF(A354=0,1,VLOOKUP(A354,MINERGIE!$N$11:$P$13,3,FALSE))-1</f>
        <v>0</v>
      </c>
      <c r="B355" s="1008">
        <v>355</v>
      </c>
      <c r="C355" s="1415" t="s">
        <v>2242</v>
      </c>
    </row>
    <row r="356" spans="1:6">
      <c r="A356" s="1009" t="str">
        <f>MINERGIE!K64</f>
        <v>1.6 m3/hm2</v>
      </c>
      <c r="B356" s="1008">
        <v>356</v>
      </c>
      <c r="C356" s="1415" t="s">
        <v>2091</v>
      </c>
    </row>
    <row r="357" spans="1:6">
      <c r="A357" s="1009">
        <f>MINERGIE!J64</f>
        <v>0</v>
      </c>
      <c r="B357" s="1008">
        <v>357</v>
      </c>
      <c r="C357" s="1415" t="s">
        <v>2092</v>
      </c>
    </row>
    <row r="358" spans="1:6">
      <c r="A358" s="1412">
        <f>MINERGIE!I65</f>
        <v>0</v>
      </c>
      <c r="B358" s="1008">
        <v>358</v>
      </c>
      <c r="C358" s="1415" t="s">
        <v>2093</v>
      </c>
    </row>
    <row r="359" spans="1:6">
      <c r="A359" s="1009">
        <f>IF(A358=0,1,VLOOKUP(A358,MINERGIE!$N$11:$P$13,3,FALSE))-1</f>
        <v>0</v>
      </c>
      <c r="B359" s="1008">
        <v>359</v>
      </c>
      <c r="C359" s="1415" t="s">
        <v>2243</v>
      </c>
    </row>
    <row r="360" spans="1:6">
      <c r="A360" s="1009">
        <f>MINERGIE!J65</f>
        <v>0</v>
      </c>
      <c r="B360" s="1008">
        <v>360</v>
      </c>
      <c r="C360" s="1415" t="s">
        <v>2094</v>
      </c>
    </row>
    <row r="361" spans="1:6">
      <c r="A361" s="1009">
        <f>IF(A360=0,1,VLOOKUP(A360,MINERGIE!$Q$11:$S$13,3,FALSE))-1</f>
        <v>0</v>
      </c>
      <c r="B361" s="1008">
        <v>361</v>
      </c>
      <c r="C361" s="1415" t="s">
        <v>2246</v>
      </c>
    </row>
    <row r="362" spans="1:6">
      <c r="A362" s="1412">
        <f>MINERGIE!I66</f>
        <v>0</v>
      </c>
      <c r="B362" s="1008">
        <v>362</v>
      </c>
      <c r="C362" s="1415" t="s">
        <v>2095</v>
      </c>
    </row>
    <row r="363" spans="1:6">
      <c r="A363" s="1009">
        <f>IF(A362=0,1,VLOOKUP(A362,MINERGIE!$N$11:$P$13,3,FALSE))-1</f>
        <v>0</v>
      </c>
      <c r="B363" s="1008">
        <v>363</v>
      </c>
      <c r="C363" s="1415" t="s">
        <v>2245</v>
      </c>
    </row>
    <row r="364" spans="1:6">
      <c r="A364" s="1009">
        <f>MINERGIE!K66</f>
        <v>0</v>
      </c>
      <c r="B364" s="1008">
        <v>364</v>
      </c>
      <c r="C364" s="1415" t="s">
        <v>2096</v>
      </c>
    </row>
    <row r="365" spans="1:6">
      <c r="A365" s="1009">
        <f>IF(A364=0,1,VLOOKUP(A364,MINERGIE!$Q$11:$S$13,3,FALSE))-1</f>
        <v>0</v>
      </c>
      <c r="B365" s="1008">
        <v>365</v>
      </c>
      <c r="C365" s="1415" t="s">
        <v>2244</v>
      </c>
    </row>
    <row r="366" spans="1:6">
      <c r="A366" s="1412">
        <f>MINERGIE!I67</f>
        <v>0</v>
      </c>
      <c r="B366" s="1008">
        <v>366</v>
      </c>
      <c r="C366" s="1415" t="s">
        <v>37</v>
      </c>
      <c r="D366" s="1410"/>
      <c r="E366" s="1410"/>
      <c r="F366" s="1410"/>
    </row>
    <row r="367" spans="1:6">
      <c r="A367" s="1009">
        <f>IF(A366=0,1,VLOOKUP(A366,MINERGIE!$N$11:$P$13,3,FALSE))-1</f>
        <v>0</v>
      </c>
      <c r="B367" s="1008">
        <v>367</v>
      </c>
      <c r="C367" s="1415" t="s">
        <v>2247</v>
      </c>
    </row>
    <row r="368" spans="1:6">
      <c r="A368" s="1412">
        <f>MINERGIE!I68</f>
        <v>0</v>
      </c>
      <c r="B368" s="1008">
        <v>368</v>
      </c>
      <c r="C368" s="1415" t="s">
        <v>1831</v>
      </c>
      <c r="D368" s="1410"/>
      <c r="E368" s="1410"/>
      <c r="F368" s="1410"/>
    </row>
    <row r="369" spans="1:9">
      <c r="A369" s="1009">
        <f>IF(A368=0,1,VLOOKUP(A368,MINERGIE!$N$11:$P$13,3,FALSE))-1</f>
        <v>0</v>
      </c>
      <c r="B369" s="1008">
        <v>369</v>
      </c>
      <c r="C369" s="1415" t="s">
        <v>2248</v>
      </c>
    </row>
    <row r="370" spans="1:9">
      <c r="A370" s="1412">
        <f>MINERGIE!I69</f>
        <v>0</v>
      </c>
      <c r="B370" s="1008">
        <v>370</v>
      </c>
      <c r="C370" s="1415" t="s">
        <v>2097</v>
      </c>
    </row>
    <row r="371" spans="1:9">
      <c r="A371" s="1009">
        <f>IF(A370=0,1,VLOOKUP(A370,MINERGIE!$N$11:$P$13,3,FALSE))-1</f>
        <v>0</v>
      </c>
      <c r="B371" s="1008">
        <v>371</v>
      </c>
      <c r="C371" s="1415" t="s">
        <v>2249</v>
      </c>
    </row>
    <row r="372" spans="1:9">
      <c r="A372" s="1009">
        <f>MINERGIE!J69</f>
        <v>0</v>
      </c>
      <c r="B372" s="1008">
        <v>372</v>
      </c>
      <c r="C372" s="1415" t="s">
        <v>2098</v>
      </c>
    </row>
    <row r="373" spans="1:9">
      <c r="A373" s="1009">
        <f>IF(A372=0,1,VLOOKUP(A372,MINERGIE!$Q$11:$S$13,3,FALSE))-1</f>
        <v>0</v>
      </c>
      <c r="B373" s="1008">
        <v>373</v>
      </c>
      <c r="C373" s="1415" t="s">
        <v>2250</v>
      </c>
    </row>
    <row r="374" spans="1:9">
      <c r="A374" s="1412">
        <f>MINERGIE!I70</f>
        <v>0</v>
      </c>
      <c r="B374" s="1008">
        <v>374</v>
      </c>
      <c r="C374" s="1415" t="s">
        <v>1963</v>
      </c>
    </row>
    <row r="375" spans="1:9">
      <c r="A375" s="1009">
        <f>IF(A374=0,1,VLOOKUP(A374,MINERGIE!$N$11:$P$13,3,FALSE))-1</f>
        <v>0</v>
      </c>
      <c r="B375" s="1008">
        <v>375</v>
      </c>
      <c r="C375" s="1415" t="s">
        <v>2251</v>
      </c>
    </row>
    <row r="376" spans="1:9">
      <c r="A376" s="1412">
        <f>MINERGIE!I71</f>
        <v>0</v>
      </c>
      <c r="B376" s="1008">
        <v>376</v>
      </c>
      <c r="C376" s="1415" t="s">
        <v>1960</v>
      </c>
    </row>
    <row r="377" spans="1:9">
      <c r="A377" s="1009">
        <f>IF(A376=0,1,VLOOKUP(A376,MINERGIE!$N$11:$P$13,3,FALSE))-1</f>
        <v>0</v>
      </c>
      <c r="B377" s="1008">
        <v>377</v>
      </c>
      <c r="C377" s="1415" t="s">
        <v>2252</v>
      </c>
    </row>
    <row r="378" spans="1:9">
      <c r="A378" s="1009">
        <f>MINERGIE!J71</f>
        <v>0</v>
      </c>
      <c r="B378" s="1008">
        <v>378</v>
      </c>
      <c r="C378" s="1415" t="s">
        <v>2099</v>
      </c>
    </row>
    <row r="379" spans="1:9">
      <c r="A379" s="1011">
        <f>IF(A378=0,1,VLOOKUP(A378,MINERGIE!$Q$11:$S$13,3,FALSE))-1</f>
        <v>0</v>
      </c>
      <c r="B379" s="1419">
        <v>379</v>
      </c>
      <c r="C379" s="1416" t="s">
        <v>2253</v>
      </c>
      <c r="D379" s="1012"/>
      <c r="E379" s="1012"/>
      <c r="F379" s="1012"/>
      <c r="G379" s="1012"/>
    </row>
    <row r="380" spans="1:9">
      <c r="A380" s="1009">
        <f>Sommer!I19</f>
        <v>0</v>
      </c>
      <c r="B380" s="1008">
        <v>380</v>
      </c>
      <c r="C380" s="1415" t="s">
        <v>2101</v>
      </c>
      <c r="D380" s="1410"/>
      <c r="E380" s="1410"/>
      <c r="F380" s="1410"/>
      <c r="G380" s="1410"/>
      <c r="H380" s="1410"/>
      <c r="I380" s="1410"/>
    </row>
    <row r="381" spans="1:9">
      <c r="A381" s="1413">
        <f>IF(A380=0,1,VLOOKUP(A380,Sommer!$Q$11:$R$15,2,FALSE))-1</f>
        <v>0</v>
      </c>
      <c r="B381" s="1008">
        <v>381</v>
      </c>
      <c r="C381" s="1415" t="s">
        <v>2255</v>
      </c>
    </row>
    <row r="382" spans="1:9">
      <c r="A382" s="1009">
        <f>Sommer!J19</f>
        <v>0</v>
      </c>
      <c r="B382" s="1008">
        <v>382</v>
      </c>
      <c r="C382" s="1415" t="s">
        <v>2100</v>
      </c>
    </row>
    <row r="383" spans="1:9">
      <c r="A383" s="1413">
        <f>IF(A382=0,1,VLOOKUP(A382,Sommer!$Q$11:$R$15,2,FALSE))-1</f>
        <v>0</v>
      </c>
      <c r="B383" s="1008">
        <v>383</v>
      </c>
      <c r="C383" s="1415" t="s">
        <v>2256</v>
      </c>
    </row>
    <row r="384" spans="1:9">
      <c r="A384" s="1009">
        <f>Sommer!K19</f>
        <v>0</v>
      </c>
      <c r="B384" s="1008">
        <v>384</v>
      </c>
      <c r="C384" s="1415" t="s">
        <v>2102</v>
      </c>
    </row>
    <row r="385" spans="1:3">
      <c r="A385" s="1413">
        <f>IF(A384=0,1,VLOOKUP(A384,Sommer!$Q$11:$R$15,2,FALSE))-1</f>
        <v>0</v>
      </c>
      <c r="B385" s="1008">
        <v>385</v>
      </c>
      <c r="C385" s="1415" t="s">
        <v>2257</v>
      </c>
    </row>
    <row r="386" spans="1:3">
      <c r="A386" s="1009">
        <f>Sommer!L19</f>
        <v>0</v>
      </c>
      <c r="B386" s="1008">
        <v>386</v>
      </c>
      <c r="C386" s="1415" t="s">
        <v>2103</v>
      </c>
    </row>
    <row r="387" spans="1:3">
      <c r="A387" s="1413">
        <f>IF(A386=0,1,VLOOKUP(A386,Sommer!$Q$11:$R$15,2,FALSE))-1</f>
        <v>0</v>
      </c>
      <c r="B387" s="1008">
        <v>387</v>
      </c>
      <c r="C387" s="1415" t="s">
        <v>2254</v>
      </c>
    </row>
    <row r="388" spans="1:3">
      <c r="A388" s="1009">
        <f>Sommer!B20</f>
        <v>0</v>
      </c>
      <c r="B388" s="1008">
        <v>388</v>
      </c>
      <c r="C388" s="1415" t="s">
        <v>2104</v>
      </c>
    </row>
    <row r="389" spans="1:3">
      <c r="A389" s="1009">
        <f>Sommer!I21</f>
        <v>0</v>
      </c>
      <c r="B389" s="1008">
        <v>389</v>
      </c>
      <c r="C389" s="1415" t="s">
        <v>3455</v>
      </c>
    </row>
    <row r="390" spans="1:3">
      <c r="A390" s="1413">
        <f>IF(A389=0,1,VLOOKUP(A389,Sommer!$P$11:$S$14,4,FALSE))-1</f>
        <v>0</v>
      </c>
      <c r="B390" s="1008">
        <v>390</v>
      </c>
      <c r="C390" s="1415" t="s">
        <v>3456</v>
      </c>
    </row>
    <row r="391" spans="1:3">
      <c r="A391" s="1009">
        <f>Sommer!J21</f>
        <v>0</v>
      </c>
      <c r="B391" s="1008">
        <v>391</v>
      </c>
      <c r="C391" s="1415" t="s">
        <v>3457</v>
      </c>
    </row>
    <row r="392" spans="1:3">
      <c r="A392" s="1413">
        <f>IF(A391=0,1,VLOOKUP(A391,Sommer!$P$11:$S$14,4,FALSE))-1</f>
        <v>0</v>
      </c>
      <c r="B392" s="1008">
        <v>392</v>
      </c>
      <c r="C392" s="1415" t="s">
        <v>3458</v>
      </c>
    </row>
    <row r="393" spans="1:3">
      <c r="A393" s="1009">
        <f>Sommer!K21</f>
        <v>0</v>
      </c>
      <c r="B393" s="1008">
        <v>393</v>
      </c>
      <c r="C393" s="1415" t="s">
        <v>3459</v>
      </c>
    </row>
    <row r="394" spans="1:3">
      <c r="A394" s="1413">
        <f>IF(A393=0,1,VLOOKUP(A393,Sommer!$P$11:$S$14,4,FALSE))-1</f>
        <v>0</v>
      </c>
      <c r="B394" s="1008">
        <v>394</v>
      </c>
      <c r="C394" s="1415" t="s">
        <v>3460</v>
      </c>
    </row>
    <row r="395" spans="1:3">
      <c r="A395" s="1009">
        <f>Sommer!L21</f>
        <v>0</v>
      </c>
      <c r="B395" s="1008">
        <v>395</v>
      </c>
      <c r="C395" s="1415" t="s">
        <v>3461</v>
      </c>
    </row>
    <row r="396" spans="1:3">
      <c r="A396" s="1413">
        <f>IF(A395=0,1,VLOOKUP(A395,Sommer!$P$11:$S$14,4,FALSE))-1</f>
        <v>0</v>
      </c>
      <c r="B396" s="1008">
        <v>396</v>
      </c>
      <c r="C396" s="1415" t="s">
        <v>3462</v>
      </c>
    </row>
    <row r="397" spans="1:3">
      <c r="B397" s="1008">
        <v>397</v>
      </c>
    </row>
    <row r="398" spans="1:3">
      <c r="B398" s="1008">
        <v>398</v>
      </c>
    </row>
    <row r="399" spans="1:3">
      <c r="B399" s="1008">
        <v>399</v>
      </c>
    </row>
    <row r="400" spans="1:3">
      <c r="B400" s="1008">
        <v>400</v>
      </c>
    </row>
    <row r="401" spans="1:3">
      <c r="B401" s="1008">
        <v>401</v>
      </c>
    </row>
    <row r="402" spans="1:3">
      <c r="B402" s="1008">
        <v>402</v>
      </c>
    </row>
    <row r="403" spans="1:3">
      <c r="B403" s="1008">
        <v>403</v>
      </c>
    </row>
    <row r="404" spans="1:3">
      <c r="B404" s="1008">
        <v>404</v>
      </c>
    </row>
    <row r="405" spans="1:3">
      <c r="A405" s="1009">
        <f>Sommer!I23</f>
        <v>0</v>
      </c>
      <c r="B405" s="1008">
        <v>405</v>
      </c>
      <c r="C405" s="1415" t="s">
        <v>3479</v>
      </c>
    </row>
    <row r="406" spans="1:3">
      <c r="A406" s="1413">
        <f>IF(A405=0,1,VLOOKUP(A405,Sommer!$P$11:$S$14,4,FALSE))-1</f>
        <v>0</v>
      </c>
      <c r="B406" s="1008">
        <v>406</v>
      </c>
      <c r="C406" s="1415" t="s">
        <v>3480</v>
      </c>
    </row>
    <row r="407" spans="1:3">
      <c r="A407" s="1009">
        <f>Sommer!J23</f>
        <v>0</v>
      </c>
      <c r="B407" s="1008">
        <v>407</v>
      </c>
      <c r="C407" s="1415" t="s">
        <v>3481</v>
      </c>
    </row>
    <row r="408" spans="1:3">
      <c r="A408" s="1413">
        <f>IF(A407=0,1,VLOOKUP(A407,Sommer!$P$11:$S$14,4,FALSE))-1</f>
        <v>0</v>
      </c>
      <c r="B408" s="1008">
        <v>408</v>
      </c>
      <c r="C408" s="1415" t="s">
        <v>3482</v>
      </c>
    </row>
    <row r="409" spans="1:3">
      <c r="A409" s="1009">
        <f>Sommer!K23</f>
        <v>0</v>
      </c>
      <c r="B409" s="1008">
        <v>409</v>
      </c>
      <c r="C409" s="1415" t="s">
        <v>3483</v>
      </c>
    </row>
    <row r="410" spans="1:3">
      <c r="A410" s="1413">
        <f>IF(A409=0,1,VLOOKUP(A409,Sommer!$P$11:$S$14,4,FALSE))-1</f>
        <v>0</v>
      </c>
      <c r="B410" s="1008">
        <v>410</v>
      </c>
      <c r="C410" s="1415" t="s">
        <v>3484</v>
      </c>
    </row>
    <row r="411" spans="1:3">
      <c r="A411" s="1009">
        <f>Sommer!L23</f>
        <v>0</v>
      </c>
      <c r="B411" s="1008">
        <v>411</v>
      </c>
      <c r="C411" s="1415" t="s">
        <v>3485</v>
      </c>
    </row>
    <row r="412" spans="1:3">
      <c r="A412" s="1413">
        <f>IF(A411=0,1,VLOOKUP(A411,Sommer!$P$11:$S$14,4,FALSE))-1</f>
        <v>0</v>
      </c>
      <c r="B412" s="1008">
        <v>412</v>
      </c>
      <c r="C412" s="1415" t="s">
        <v>3486</v>
      </c>
    </row>
    <row r="413" spans="1:3">
      <c r="A413" s="1009">
        <f>Sommer!I25</f>
        <v>0</v>
      </c>
      <c r="B413" s="1008">
        <v>413</v>
      </c>
      <c r="C413" s="1415" t="s">
        <v>3471</v>
      </c>
    </row>
    <row r="414" spans="1:3">
      <c r="A414" s="1413">
        <f>IF(A413=0,1,VLOOKUP(A413,Sommer!$P$11:$S$14,4,FALSE))-1</f>
        <v>0</v>
      </c>
      <c r="B414" s="1008">
        <v>414</v>
      </c>
      <c r="C414" s="1415" t="s">
        <v>3472</v>
      </c>
    </row>
    <row r="415" spans="1:3">
      <c r="A415" s="1009">
        <f>Sommer!J25</f>
        <v>0</v>
      </c>
      <c r="B415" s="1008">
        <v>415</v>
      </c>
      <c r="C415" s="1415" t="s">
        <v>3473</v>
      </c>
    </row>
    <row r="416" spans="1:3">
      <c r="A416" s="1413">
        <f>IF(A415=0,1,VLOOKUP(A415,Sommer!$P$11:$S$14,4,FALSE))-1</f>
        <v>0</v>
      </c>
      <c r="B416" s="1008">
        <v>416</v>
      </c>
      <c r="C416" s="1415" t="s">
        <v>3474</v>
      </c>
    </row>
    <row r="417" spans="1:9">
      <c r="A417" s="1009">
        <f>Sommer!K25</f>
        <v>0</v>
      </c>
      <c r="B417" s="1008">
        <v>417</v>
      </c>
      <c r="C417" s="1415" t="s">
        <v>3475</v>
      </c>
    </row>
    <row r="418" spans="1:9">
      <c r="A418" s="1413">
        <f>IF(A417=0,1,VLOOKUP(A417,Sommer!$P$11:$S$14,4,FALSE))-1</f>
        <v>0</v>
      </c>
      <c r="B418" s="1008">
        <v>418</v>
      </c>
      <c r="C418" s="1415" t="s">
        <v>3476</v>
      </c>
    </row>
    <row r="419" spans="1:9">
      <c r="A419" s="1009">
        <f>Sommer!L25</f>
        <v>0</v>
      </c>
      <c r="B419" s="1008">
        <v>419</v>
      </c>
      <c r="C419" s="1415" t="s">
        <v>3477</v>
      </c>
    </row>
    <row r="420" spans="1:9">
      <c r="A420" s="1413">
        <f>IF(A419=0,1,VLOOKUP(A419,Sommer!$P$11:$S$14,4,FALSE))-1</f>
        <v>0</v>
      </c>
      <c r="B420" s="1008">
        <v>420</v>
      </c>
      <c r="C420" s="1415" t="s">
        <v>3478</v>
      </c>
    </row>
    <row r="421" spans="1:9">
      <c r="A421" s="1009">
        <f>Sommer!I27</f>
        <v>0</v>
      </c>
      <c r="B421" s="1008">
        <v>421</v>
      </c>
      <c r="C421" s="1415" t="s">
        <v>3463</v>
      </c>
      <c r="D421" s="1410"/>
      <c r="E421" s="1410"/>
      <c r="F421" s="1410"/>
      <c r="G421" s="1410"/>
      <c r="H421" s="1410"/>
      <c r="I421" s="1410"/>
    </row>
    <row r="422" spans="1:9">
      <c r="A422" s="1413">
        <f>IF(A421=0,1,VLOOKUP(A421,Sommer!$P$11:$S$14,4,FALSE))-1</f>
        <v>0</v>
      </c>
      <c r="B422" s="1008">
        <v>422</v>
      </c>
      <c r="C422" s="1415" t="s">
        <v>3467</v>
      </c>
    </row>
    <row r="423" spans="1:9">
      <c r="A423" s="1009">
        <f>Sommer!J27</f>
        <v>0</v>
      </c>
      <c r="B423" s="1008">
        <v>423</v>
      </c>
      <c r="C423" s="1415" t="s">
        <v>3466</v>
      </c>
    </row>
    <row r="424" spans="1:9">
      <c r="A424" s="1413">
        <f>IF(A423=0,1,VLOOKUP(A423,Sommer!$P$11:$S$14,4,FALSE))-1</f>
        <v>0</v>
      </c>
      <c r="B424" s="1008">
        <v>424</v>
      </c>
      <c r="C424" s="1415" t="s">
        <v>3470</v>
      </c>
    </row>
    <row r="425" spans="1:9">
      <c r="A425" s="1009">
        <f>Sommer!K27</f>
        <v>0</v>
      </c>
      <c r="B425" s="1008">
        <v>425</v>
      </c>
      <c r="C425" s="1415" t="s">
        <v>3465</v>
      </c>
    </row>
    <row r="426" spans="1:9">
      <c r="A426" s="1413">
        <f>IF(A425=0,1,VLOOKUP(A425,Sommer!$P$11:$S$14,4,FALSE))-1</f>
        <v>0</v>
      </c>
      <c r="B426" s="1008">
        <v>426</v>
      </c>
      <c r="C426" s="1415" t="s">
        <v>3469</v>
      </c>
    </row>
    <row r="427" spans="1:9">
      <c r="A427" s="1009">
        <f>Sommer!L27</f>
        <v>0</v>
      </c>
      <c r="B427" s="1008">
        <v>427</v>
      </c>
      <c r="C427" s="1415" t="s">
        <v>3464</v>
      </c>
    </row>
    <row r="428" spans="1:9">
      <c r="A428" s="1413">
        <f>IF(A427=0,1,VLOOKUP(A427,Sommer!$P$11:$S$14,4,FALSE))-1</f>
        <v>0</v>
      </c>
      <c r="B428" s="1008">
        <v>428</v>
      </c>
      <c r="C428" s="1415" t="s">
        <v>3468</v>
      </c>
    </row>
    <row r="429" spans="1:9">
      <c r="B429" s="1008">
        <v>429</v>
      </c>
    </row>
    <row r="430" spans="1:9">
      <c r="B430" s="1008">
        <v>430</v>
      </c>
    </row>
    <row r="431" spans="1:9">
      <c r="B431" s="1008">
        <v>431</v>
      </c>
    </row>
    <row r="432" spans="1:9">
      <c r="B432" s="1008">
        <v>432</v>
      </c>
    </row>
    <row r="433" spans="1:8">
      <c r="B433" s="1008">
        <v>433</v>
      </c>
    </row>
    <row r="434" spans="1:8">
      <c r="B434" s="1008">
        <v>434</v>
      </c>
    </row>
    <row r="435" spans="1:8">
      <c r="B435" s="1008">
        <v>435</v>
      </c>
    </row>
    <row r="436" spans="1:8">
      <c r="B436" s="1008">
        <v>436</v>
      </c>
    </row>
    <row r="437" spans="1:8">
      <c r="A437" s="1009">
        <f>Sommer!I35</f>
        <v>0</v>
      </c>
      <c r="B437" s="1008">
        <v>437</v>
      </c>
      <c r="C437" s="1415" t="s">
        <v>3446</v>
      </c>
      <c r="D437" s="1410"/>
      <c r="E437" s="1410"/>
      <c r="F437" s="1410"/>
      <c r="G437" s="1410"/>
      <c r="H437" s="1410"/>
    </row>
    <row r="438" spans="1:8">
      <c r="A438" s="1413">
        <f>IF(A437=0,1,VLOOKUP(A437,Sommer!$P$11:$S$14,4,FALSE))-1</f>
        <v>0</v>
      </c>
      <c r="B438" s="1008">
        <v>438</v>
      </c>
      <c r="C438" s="1415" t="s">
        <v>3447</v>
      </c>
    </row>
    <row r="439" spans="1:8">
      <c r="A439" s="1009">
        <f>Sommer!J35</f>
        <v>0</v>
      </c>
      <c r="B439" s="1008">
        <v>439</v>
      </c>
      <c r="C439" s="1415" t="s">
        <v>3448</v>
      </c>
    </row>
    <row r="440" spans="1:8">
      <c r="A440" s="1413">
        <f>IF(A439=0,1,VLOOKUP(A439,Sommer!$P$11:$S$14,4,FALSE))-1</f>
        <v>0</v>
      </c>
      <c r="B440" s="1008">
        <v>440</v>
      </c>
      <c r="C440" s="1415" t="s">
        <v>3449</v>
      </c>
    </row>
    <row r="441" spans="1:8">
      <c r="A441" s="1009">
        <f>Sommer!K35</f>
        <v>0</v>
      </c>
      <c r="B441" s="1008">
        <v>441</v>
      </c>
      <c r="C441" s="1415" t="s">
        <v>3450</v>
      </c>
    </row>
    <row r="442" spans="1:8">
      <c r="A442" s="1413">
        <f>IF(A441=0,1,VLOOKUP(A441,Sommer!$P$11:$S$14,4,FALSE))-1</f>
        <v>0</v>
      </c>
      <c r="B442" s="1008">
        <v>442</v>
      </c>
      <c r="C442" s="1415" t="s">
        <v>3451</v>
      </c>
    </row>
    <row r="443" spans="1:8">
      <c r="A443" s="1009">
        <f>Sommer!L35</f>
        <v>0</v>
      </c>
      <c r="B443" s="1008">
        <v>443</v>
      </c>
      <c r="C443" s="1415" t="s">
        <v>3452</v>
      </c>
    </row>
    <row r="444" spans="1:8">
      <c r="A444" s="1413">
        <f>IF(A443=0,1,VLOOKUP(A443,Sommer!$P$11:$S$14,4,FALSE))-1</f>
        <v>0</v>
      </c>
      <c r="B444" s="1008">
        <v>444</v>
      </c>
      <c r="C444" s="1415" t="s">
        <v>3453</v>
      </c>
    </row>
    <row r="445" spans="1:8">
      <c r="A445" s="1009">
        <f>Sommer!B43</f>
        <v>0</v>
      </c>
      <c r="B445" s="1008">
        <v>445</v>
      </c>
      <c r="C445" s="1415" t="s">
        <v>2105</v>
      </c>
    </row>
    <row r="446" spans="1:8">
      <c r="A446" s="1413">
        <f>Sommer!I47</f>
        <v>0</v>
      </c>
      <c r="B446" s="1008">
        <v>446</v>
      </c>
      <c r="C446" s="1415" t="s">
        <v>2106</v>
      </c>
    </row>
    <row r="447" spans="1:8">
      <c r="A447" s="1413">
        <f>IF(A446=0,1,VLOOKUP(A446,Sommer!$P$11:$S$14,4,FALSE))-1</f>
        <v>0</v>
      </c>
      <c r="B447" s="1008">
        <v>447</v>
      </c>
      <c r="C447" s="1415" t="s">
        <v>2263</v>
      </c>
    </row>
    <row r="448" spans="1:8">
      <c r="A448" s="1009">
        <f>Sommer!J47</f>
        <v>0</v>
      </c>
      <c r="B448" s="1008">
        <v>448</v>
      </c>
      <c r="C448" s="1415" t="s">
        <v>2107</v>
      </c>
    </row>
    <row r="449" spans="1:3">
      <c r="A449" s="1413">
        <f>IF(A448=0,1,VLOOKUP(A448,Sommer!$P$11:$S$14,4,FALSE))-1</f>
        <v>0</v>
      </c>
      <c r="B449" s="1008">
        <v>449</v>
      </c>
      <c r="C449" s="1415" t="s">
        <v>2264</v>
      </c>
    </row>
    <row r="450" spans="1:3">
      <c r="A450" s="1009">
        <f>Sommer!K47</f>
        <v>0</v>
      </c>
      <c r="B450" s="1008">
        <v>450</v>
      </c>
      <c r="C450" s="1415" t="s">
        <v>2108</v>
      </c>
    </row>
    <row r="451" spans="1:3">
      <c r="A451" s="1413">
        <f>IF(A450=0,1,VLOOKUP(A450,Sommer!$P$11:$S$14,4,FALSE))-1</f>
        <v>0</v>
      </c>
      <c r="B451" s="1008">
        <v>451</v>
      </c>
      <c r="C451" s="1415" t="s">
        <v>2265</v>
      </c>
    </row>
    <row r="452" spans="1:3">
      <c r="A452" s="1009">
        <f>Sommer!L47</f>
        <v>0</v>
      </c>
      <c r="B452" s="1008">
        <v>452</v>
      </c>
      <c r="C452" s="1415" t="s">
        <v>2109</v>
      </c>
    </row>
    <row r="453" spans="1:3">
      <c r="A453" s="1413">
        <f>IF(A452=0,1,VLOOKUP(A452,Sommer!$P$11:$S$14,4,FALSE))-1</f>
        <v>0</v>
      </c>
      <c r="B453" s="1008">
        <v>453</v>
      </c>
      <c r="C453" s="1415" t="s">
        <v>2262</v>
      </c>
    </row>
    <row r="454" spans="1:3">
      <c r="A454" s="1009">
        <f>Sommer!I48</f>
        <v>0</v>
      </c>
      <c r="B454" s="1008">
        <v>454</v>
      </c>
      <c r="C454" s="1415" t="s">
        <v>2110</v>
      </c>
    </row>
    <row r="455" spans="1:3">
      <c r="A455" s="1413">
        <f>IF(A454=0,1,VLOOKUP(A454,Sommer!$P$11:$S$14,4,FALSE))-1</f>
        <v>0</v>
      </c>
      <c r="B455" s="1008">
        <v>455</v>
      </c>
      <c r="C455" s="1415" t="s">
        <v>2261</v>
      </c>
    </row>
    <row r="456" spans="1:3">
      <c r="A456" s="1009">
        <f>Sommer!J48</f>
        <v>0</v>
      </c>
      <c r="B456" s="1008">
        <v>456</v>
      </c>
      <c r="C456" s="1415" t="s">
        <v>2111</v>
      </c>
    </row>
    <row r="457" spans="1:3">
      <c r="A457" s="1413">
        <f>IF(A456=0,1,VLOOKUP(A456,Sommer!$P$11:$S$14,4,FALSE))-1</f>
        <v>0</v>
      </c>
      <c r="B457" s="1008">
        <v>457</v>
      </c>
      <c r="C457" s="1415" t="s">
        <v>2260</v>
      </c>
    </row>
    <row r="458" spans="1:3">
      <c r="A458" s="1009">
        <f>Sommer!K48</f>
        <v>0</v>
      </c>
      <c r="B458" s="1008">
        <v>458</v>
      </c>
      <c r="C458" s="1415" t="s">
        <v>2112</v>
      </c>
    </row>
    <row r="459" spans="1:3">
      <c r="A459" s="1413">
        <f>IF(A458=0,1,VLOOKUP(A458,Sommer!$P$11:$S$14,4,FALSE))-1</f>
        <v>0</v>
      </c>
      <c r="B459" s="1008">
        <v>459</v>
      </c>
      <c r="C459" s="1415" t="s">
        <v>2259</v>
      </c>
    </row>
    <row r="460" spans="1:3">
      <c r="A460" s="1009">
        <f>Sommer!L48</f>
        <v>0</v>
      </c>
      <c r="B460" s="1008">
        <v>460</v>
      </c>
      <c r="C460" s="1415" t="s">
        <v>2113</v>
      </c>
    </row>
    <row r="461" spans="1:3">
      <c r="A461" s="1413">
        <f>IF(A460=0,1,VLOOKUP(A460,Sommer!$P$11:$S$14,4,FALSE))-1</f>
        <v>0</v>
      </c>
      <c r="B461" s="1008">
        <v>461</v>
      </c>
      <c r="C461" s="1415" t="s">
        <v>2258</v>
      </c>
    </row>
    <row r="462" spans="1:3">
      <c r="A462" s="1009">
        <f>IF(Kategorie1=1,0,Sommer!I52)</f>
        <v>0</v>
      </c>
      <c r="B462" s="1008">
        <v>462</v>
      </c>
      <c r="C462" s="1415" t="s">
        <v>3504</v>
      </c>
    </row>
    <row r="463" spans="1:3">
      <c r="A463" s="1413">
        <f>IF(A462=0,1,VLOOKUP(A462,Sommer!$P$11:$S$14,4,FALSE))-1</f>
        <v>0</v>
      </c>
      <c r="B463" s="1008">
        <v>463</v>
      </c>
      <c r="C463" s="1415" t="s">
        <v>3508</v>
      </c>
    </row>
    <row r="464" spans="1:3">
      <c r="A464" s="1009">
        <f>IF(Kategorie2=1,0,Sommer!J52)</f>
        <v>0</v>
      </c>
      <c r="B464" s="1008">
        <v>464</v>
      </c>
      <c r="C464" s="1415" t="s">
        <v>3505</v>
      </c>
    </row>
    <row r="465" spans="1:8">
      <c r="A465" s="1413">
        <f>IF(A464=0,1,VLOOKUP(A464,Sommer!$P$11:$S$14,4,FALSE))-1</f>
        <v>0</v>
      </c>
      <c r="B465" s="1008">
        <v>465</v>
      </c>
      <c r="C465" s="1415" t="s">
        <v>3511</v>
      </c>
    </row>
    <row r="466" spans="1:8">
      <c r="A466" s="1009">
        <f>IF(Kategorie3=1,0,Sommer!K52)</f>
        <v>0</v>
      </c>
      <c r="B466" s="1008">
        <v>466</v>
      </c>
      <c r="C466" s="1415" t="s">
        <v>3506</v>
      </c>
    </row>
    <row r="467" spans="1:8">
      <c r="A467" s="1413">
        <f>IF(A466=0,1,VLOOKUP(A466,Sommer!$P$11:$S$14,4,FALSE))-1</f>
        <v>0</v>
      </c>
      <c r="B467" s="1008">
        <v>467</v>
      </c>
      <c r="C467" s="1415" t="s">
        <v>3510</v>
      </c>
    </row>
    <row r="468" spans="1:8">
      <c r="A468" s="1009">
        <f>IF(Kategorie4=1,0,Sommer!L52)</f>
        <v>0</v>
      </c>
      <c r="B468" s="1008">
        <v>468</v>
      </c>
      <c r="C468" s="1415" t="s">
        <v>3507</v>
      </c>
    </row>
    <row r="469" spans="1:8">
      <c r="A469" s="1011">
        <f>IF(A468=0,1,VLOOKUP(A468,Sommer!$P$11:$S$14,4,FALSE))-1</f>
        <v>0</v>
      </c>
      <c r="B469" s="1419">
        <v>469</v>
      </c>
      <c r="C469" s="1416" t="s">
        <v>3509</v>
      </c>
      <c r="D469" s="1012"/>
      <c r="E469" s="1012"/>
      <c r="F469" s="1012"/>
      <c r="G469" s="1012"/>
      <c r="H469" s="1012"/>
    </row>
    <row r="470" spans="1:8">
      <c r="A470" s="1009">
        <f>Uebersicht!F30</f>
        <v>0</v>
      </c>
      <c r="B470" s="1008">
        <v>470</v>
      </c>
      <c r="C470" s="1415" t="s">
        <v>2115</v>
      </c>
    </row>
    <row r="471" spans="1:8">
      <c r="A471" s="1009">
        <f>Uebersicht!H30</f>
        <v>0</v>
      </c>
      <c r="B471" s="1008">
        <v>471</v>
      </c>
      <c r="C471" s="1415" t="s">
        <v>2121</v>
      </c>
    </row>
    <row r="472" spans="1:8">
      <c r="A472" s="1014" t="str">
        <f>Uebersicht!K30</f>
        <v>Nein</v>
      </c>
      <c r="B472" s="1008">
        <v>472</v>
      </c>
      <c r="C472" s="1415" t="s">
        <v>2116</v>
      </c>
    </row>
    <row r="473" spans="1:8">
      <c r="A473" s="1413">
        <f>IF(A472=0,1,VLOOKUP(A472,Sommer!$P$11:$S$14,4,FALSE))-1</f>
        <v>2</v>
      </c>
      <c r="B473" s="1008">
        <v>473</v>
      </c>
      <c r="C473" s="1415" t="s">
        <v>2266</v>
      </c>
    </row>
    <row r="474" spans="1:8">
      <c r="A474" s="1009" t="str">
        <f>Uebersicht!F31</f>
        <v>Keine Anforderungen</v>
      </c>
      <c r="B474" s="1008">
        <v>474</v>
      </c>
      <c r="C474" s="1415" t="s">
        <v>2117</v>
      </c>
    </row>
    <row r="475" spans="1:8">
      <c r="A475" s="1009">
        <f>Uebersicht!H31</f>
        <v>0</v>
      </c>
      <c r="B475" s="1008">
        <v>475</v>
      </c>
      <c r="C475" s="1415" t="s">
        <v>2118</v>
      </c>
    </row>
    <row r="476" spans="1:8">
      <c r="A476" s="1009">
        <f>Uebersicht!F37</f>
        <v>0</v>
      </c>
      <c r="B476" s="1008">
        <v>476</v>
      </c>
      <c r="C476" s="1415" t="s">
        <v>2119</v>
      </c>
    </row>
    <row r="477" spans="1:8">
      <c r="A477" s="1009">
        <f>Uebersicht!H37</f>
        <v>0</v>
      </c>
      <c r="B477" s="1008">
        <v>477</v>
      </c>
      <c r="C477" s="1415" t="s">
        <v>2120</v>
      </c>
    </row>
    <row r="478" spans="1:8">
      <c r="A478" s="1009">
        <f>Uebersicht!K37</f>
        <v>0</v>
      </c>
      <c r="B478" s="1008">
        <v>478</v>
      </c>
      <c r="C478" s="1415" t="s">
        <v>2122</v>
      </c>
    </row>
    <row r="479" spans="1:8">
      <c r="A479" s="1413">
        <f>IF(A478=0,1,VLOOKUP(A478,Sommer!$P$11:$S$14,4,FALSE))-1</f>
        <v>0</v>
      </c>
      <c r="B479" s="1008">
        <v>479</v>
      </c>
      <c r="C479" s="1415" t="s">
        <v>2267</v>
      </c>
    </row>
    <row r="480" spans="1:8">
      <c r="A480" s="1009">
        <f>Uebersicht!F38</f>
        <v>0</v>
      </c>
      <c r="B480" s="1008">
        <v>480</v>
      </c>
      <c r="C480" s="1415" t="s">
        <v>2123</v>
      </c>
    </row>
    <row r="481" spans="1:8">
      <c r="A481" s="1009">
        <f>Uebersicht!H38</f>
        <v>0</v>
      </c>
      <c r="B481" s="1008">
        <v>481</v>
      </c>
      <c r="C481" s="1415" t="s">
        <v>2124</v>
      </c>
    </row>
    <row r="482" spans="1:8">
      <c r="A482" s="1009" t="str">
        <f>Uebersicht!K38</f>
        <v>Nein</v>
      </c>
      <c r="B482" s="1008">
        <v>482</v>
      </c>
      <c r="C482" s="1415" t="s">
        <v>2125</v>
      </c>
    </row>
    <row r="483" spans="1:8">
      <c r="A483" s="1413">
        <f>IF(A482=0,1,VLOOKUP(A482,Sommer!$P$11:$S$14,4,FALSE))-1</f>
        <v>2</v>
      </c>
      <c r="B483" s="1008">
        <v>483</v>
      </c>
      <c r="C483" s="1415" t="s">
        <v>2268</v>
      </c>
    </row>
    <row r="484" spans="1:8">
      <c r="A484" s="1009">
        <f>Uebersicht!F39</f>
        <v>0</v>
      </c>
      <c r="B484" s="1008">
        <v>484</v>
      </c>
      <c r="C484" s="1415" t="s">
        <v>2126</v>
      </c>
    </row>
    <row r="485" spans="1:8">
      <c r="A485" s="1009">
        <f>Uebersicht!H39</f>
        <v>0</v>
      </c>
      <c r="B485" s="1008">
        <v>485</v>
      </c>
      <c r="C485" s="1415" t="s">
        <v>2127</v>
      </c>
    </row>
    <row r="486" spans="1:8">
      <c r="A486" s="1009" t="str">
        <f>Uebersicht!K39</f>
        <v/>
      </c>
      <c r="B486" s="1008">
        <v>486</v>
      </c>
      <c r="C486" s="1415" t="s">
        <v>2128</v>
      </c>
      <c r="G486" t="str">
        <f>A486&amp;"ss"</f>
        <v>ss</v>
      </c>
    </row>
    <row r="487" spans="1:8">
      <c r="A487" s="1011">
        <f>IF(OR(A486=0,A486=""),1,VLOOKUP(A486,Sommer!$P$11:$S$14,4,FALSE))-1</f>
        <v>0</v>
      </c>
      <c r="B487" s="1419">
        <v>487</v>
      </c>
      <c r="C487" s="1416" t="s">
        <v>2269</v>
      </c>
      <c r="D487" s="1012"/>
      <c r="E487" s="1012"/>
      <c r="F487" s="1012"/>
      <c r="G487" s="1012"/>
      <c r="H487" s="1012"/>
    </row>
    <row r="488" spans="1:8">
      <c r="A488" s="1009">
        <f>Eingaben!C51</f>
        <v>0</v>
      </c>
      <c r="B488" s="1008">
        <v>488</v>
      </c>
      <c r="C488" s="1000" t="s">
        <v>2129</v>
      </c>
    </row>
    <row r="489" spans="1:8">
      <c r="A489" s="1009">
        <f>Eingaben!C55</f>
        <v>0</v>
      </c>
      <c r="B489" s="1008">
        <v>489</v>
      </c>
      <c r="C489" s="1000" t="s">
        <v>2131</v>
      </c>
    </row>
    <row r="490" spans="1:8">
      <c r="A490" s="1009">
        <f>Eingaben!C57</f>
        <v>0</v>
      </c>
      <c r="B490" s="1008">
        <v>490</v>
      </c>
      <c r="C490" s="1000" t="s">
        <v>2134</v>
      </c>
    </row>
    <row r="491" spans="1:8">
      <c r="A491" s="1009">
        <f>Eingaben!G51</f>
        <v>0</v>
      </c>
      <c r="B491" s="1008">
        <v>491</v>
      </c>
      <c r="C491" s="1000" t="s">
        <v>2130</v>
      </c>
    </row>
    <row r="492" spans="1:8">
      <c r="A492" s="1009">
        <f>Eingaben!G55</f>
        <v>0</v>
      </c>
      <c r="B492" s="1008">
        <v>492</v>
      </c>
      <c r="C492" s="1000" t="s">
        <v>2132</v>
      </c>
    </row>
    <row r="493" spans="1:8">
      <c r="A493" s="1009">
        <f>Eingaben!G57</f>
        <v>0</v>
      </c>
      <c r="B493" s="1008">
        <v>493</v>
      </c>
      <c r="C493" s="1000" t="s">
        <v>2133</v>
      </c>
    </row>
    <row r="494" spans="1:8">
      <c r="A494" s="1009">
        <f>Eingaben!D60</f>
        <v>0</v>
      </c>
      <c r="B494" s="1008">
        <v>494</v>
      </c>
      <c r="C494" s="1000" t="s">
        <v>2135</v>
      </c>
    </row>
    <row r="495" spans="1:8">
      <c r="A495" s="1413">
        <f>IF(A494=0,1,VLOOKUP(A494,Sommer!$P$11:$S$14,4,FALSE))-1</f>
        <v>0</v>
      </c>
      <c r="B495" s="1008">
        <v>495</v>
      </c>
      <c r="C495" s="1000" t="s">
        <v>2270</v>
      </c>
    </row>
    <row r="496" spans="1:8">
      <c r="A496" s="1011">
        <f>Eingaben!G60</f>
        <v>0</v>
      </c>
      <c r="B496" s="1419">
        <v>496</v>
      </c>
      <c r="C496" s="1417" t="s">
        <v>2136</v>
      </c>
      <c r="D496" s="1012"/>
      <c r="E496" s="1012"/>
      <c r="F496" s="1012"/>
      <c r="G496" s="1012"/>
      <c r="H496" s="1012"/>
    </row>
    <row r="497" spans="1:3">
      <c r="A497" s="1009">
        <f>Nachweis!AL45</f>
        <v>0</v>
      </c>
      <c r="B497" s="1009">
        <v>497</v>
      </c>
      <c r="C497" s="1000" t="s">
        <v>2289</v>
      </c>
    </row>
    <row r="498" spans="1:3">
      <c r="A498" s="1009">
        <f>MINERGIE!F41</f>
        <v>0</v>
      </c>
      <c r="B498" s="1009">
        <v>498</v>
      </c>
      <c r="C498" s="1415" t="s">
        <v>2518</v>
      </c>
    </row>
    <row r="499" spans="1:3">
      <c r="A499" s="1413">
        <f>IF(A498=0,1,VLOOKUP(A498,Sommer!$P$11:$S$14,4,FALSE))-1</f>
        <v>0</v>
      </c>
      <c r="B499" s="1009">
        <v>499</v>
      </c>
      <c r="C499" s="1415" t="s">
        <v>2519</v>
      </c>
    </row>
    <row r="500" spans="1:3">
      <c r="A500" s="1009">
        <f>MINERGIE!G41</f>
        <v>0</v>
      </c>
      <c r="B500" s="1009">
        <v>500</v>
      </c>
      <c r="C500" s="1415" t="s">
        <v>2520</v>
      </c>
    </row>
    <row r="501" spans="1:3">
      <c r="A501" s="1413">
        <f>IF(A500=0,1,VLOOKUP(A500,Sommer!$P$11:$S$14,4,FALSE))-1</f>
        <v>0</v>
      </c>
      <c r="B501" s="1009">
        <v>501</v>
      </c>
      <c r="C501" s="1415" t="s">
        <v>2521</v>
      </c>
    </row>
    <row r="502" spans="1:3">
      <c r="A502" s="1009">
        <f>MINERGIE!H41</f>
        <v>0</v>
      </c>
      <c r="B502" s="1009">
        <v>502</v>
      </c>
      <c r="C502" s="1415" t="s">
        <v>2522</v>
      </c>
    </row>
    <row r="503" spans="1:3">
      <c r="A503" s="1413">
        <f>IF(A502=0,1,VLOOKUP(A502,Sommer!$P$11:$S$14,4,FALSE))-1</f>
        <v>0</v>
      </c>
      <c r="B503" s="1009">
        <v>503</v>
      </c>
      <c r="C503" s="1415" t="s">
        <v>2523</v>
      </c>
    </row>
    <row r="504" spans="1:3">
      <c r="A504" s="1009">
        <f>MINERGIE!I41</f>
        <v>0</v>
      </c>
      <c r="B504" s="1009">
        <v>504</v>
      </c>
      <c r="C504" s="1415" t="s">
        <v>2524</v>
      </c>
    </row>
    <row r="505" spans="1:3">
      <c r="A505" s="1413">
        <f>IF(A504=0,1,VLOOKUP(A504,Sommer!$P$11:$S$14,4,FALSE))-1</f>
        <v>0</v>
      </c>
      <c r="B505" s="1009">
        <v>505</v>
      </c>
      <c r="C505" s="1415" t="s">
        <v>2525</v>
      </c>
    </row>
    <row r="506" spans="1:3">
      <c r="A506" s="1009">
        <f>Eingaben!F19+Eingaben!G19+Eingaben!H19+Eingaben!I19</f>
        <v>0</v>
      </c>
      <c r="B506" s="1009">
        <v>506</v>
      </c>
      <c r="C506" s="1415" t="s">
        <v>2526</v>
      </c>
    </row>
    <row r="507" spans="1:3">
      <c r="A507" s="1009" t="str">
        <f>Uebersicht!K41</f>
        <v>Nein</v>
      </c>
      <c r="B507" s="1009">
        <v>507</v>
      </c>
      <c r="C507" s="1415" t="s">
        <v>2532</v>
      </c>
    </row>
    <row r="508" spans="1:3">
      <c r="A508" s="1413">
        <f>IF(A507=0,1,VLOOKUP(A507,Sommer!$P$11:$S$14,4,FALSE))-1</f>
        <v>2</v>
      </c>
      <c r="B508" s="1009">
        <v>508</v>
      </c>
      <c r="C508" s="1415" t="s">
        <v>2533</v>
      </c>
    </row>
    <row r="509" spans="1:3">
      <c r="A509" s="1009">
        <f>MINERGIE!S15</f>
        <v>0</v>
      </c>
      <c r="B509" s="1009">
        <v>509</v>
      </c>
      <c r="C509" s="1415" t="s">
        <v>2539</v>
      </c>
    </row>
    <row r="510" spans="1:3">
      <c r="A510" s="1009">
        <f>Uebersicht!K48</f>
        <v>0</v>
      </c>
      <c r="B510" s="1009">
        <v>510</v>
      </c>
      <c r="C510" s="1415" t="s">
        <v>2540</v>
      </c>
    </row>
    <row r="511" spans="1:3">
      <c r="A511" s="1009">
        <f>Uebersicht!K52</f>
        <v>0</v>
      </c>
      <c r="B511" s="1009">
        <v>511</v>
      </c>
      <c r="C511" s="1415" t="s">
        <v>2541</v>
      </c>
    </row>
    <row r="512" spans="1:3">
      <c r="A512" s="1009">
        <f>Uebersicht!K54</f>
        <v>0</v>
      </c>
      <c r="B512" s="1009">
        <v>512</v>
      </c>
      <c r="C512" s="1415" t="s">
        <v>2542</v>
      </c>
    </row>
    <row r="513" spans="1:3">
      <c r="A513" s="1009">
        <f>Uebersicht!K56</f>
        <v>0</v>
      </c>
      <c r="B513" s="1009">
        <v>513</v>
      </c>
      <c r="C513" s="1415" t="s">
        <v>2543</v>
      </c>
    </row>
    <row r="514" spans="1:3">
      <c r="A514" s="1009">
        <f>Uebersicht!K58</f>
        <v>0</v>
      </c>
      <c r="B514" s="1009">
        <v>514</v>
      </c>
      <c r="C514" s="1415" t="s">
        <v>2544</v>
      </c>
    </row>
    <row r="515" spans="1:3">
      <c r="A515" s="1009">
        <f>Uebersicht!K60</f>
        <v>0</v>
      </c>
      <c r="B515" s="1009">
        <v>515</v>
      </c>
      <c r="C515" s="1415" t="s">
        <v>2545</v>
      </c>
    </row>
    <row r="516" spans="1:3">
      <c r="A516" s="1009">
        <f>Uebersicht!K62</f>
        <v>0</v>
      </c>
      <c r="B516" s="1009">
        <v>516</v>
      </c>
      <c r="C516" s="1415" t="s">
        <v>2546</v>
      </c>
    </row>
    <row r="517" spans="1:3">
      <c r="A517" s="1009">
        <f>Nachweis!L39</f>
        <v>0</v>
      </c>
      <c r="B517" s="1009">
        <v>517</v>
      </c>
      <c r="C517" s="1415" t="s">
        <v>2547</v>
      </c>
    </row>
    <row r="518" spans="1:3">
      <c r="A518" s="1009">
        <f>Nachweis!L40</f>
        <v>0</v>
      </c>
      <c r="B518" s="1009">
        <v>518</v>
      </c>
      <c r="C518" s="1415" t="s">
        <v>2548</v>
      </c>
    </row>
    <row r="519" spans="1:3">
      <c r="A519" s="1009">
        <f>Nachweis!I47</f>
        <v>0</v>
      </c>
      <c r="B519" s="1009">
        <v>519</v>
      </c>
      <c r="C519" s="1415" t="s">
        <v>2554</v>
      </c>
    </row>
    <row r="520" spans="1:3">
      <c r="A520" s="1009">
        <f>Nachweis!I48</f>
        <v>0</v>
      </c>
      <c r="B520" s="1009">
        <v>520</v>
      </c>
      <c r="C520" s="1415" t="s">
        <v>2555</v>
      </c>
    </row>
    <row r="521" spans="1:3">
      <c r="A521" s="1009">
        <f>Nachweis!I49</f>
        <v>0</v>
      </c>
      <c r="B521" s="1009">
        <v>521</v>
      </c>
      <c r="C521" s="1415" t="s">
        <v>2556</v>
      </c>
    </row>
    <row r="522" spans="1:3">
      <c r="A522" s="1009">
        <f>Nachweis!I50</f>
        <v>0</v>
      </c>
      <c r="B522" s="1009">
        <v>522</v>
      </c>
      <c r="C522" s="1415" t="s">
        <v>2557</v>
      </c>
    </row>
    <row r="523" spans="1:3">
      <c r="A523" s="1009">
        <f>Nachweis!I51</f>
        <v>0</v>
      </c>
      <c r="B523" s="1009">
        <v>523</v>
      </c>
      <c r="C523" s="1415" t="s">
        <v>2558</v>
      </c>
    </row>
    <row r="524" spans="1:3">
      <c r="A524" s="1009">
        <f>Nachweis!J47</f>
        <v>0</v>
      </c>
      <c r="B524" s="1009">
        <v>524</v>
      </c>
      <c r="C524" s="1415" t="s">
        <v>2559</v>
      </c>
    </row>
    <row r="525" spans="1:3">
      <c r="A525" s="1009">
        <f>Nachweis!J48</f>
        <v>0</v>
      </c>
      <c r="B525" s="1009">
        <v>525</v>
      </c>
      <c r="C525" s="1415" t="s">
        <v>2563</v>
      </c>
    </row>
    <row r="526" spans="1:3">
      <c r="A526" s="1009">
        <f>Nachweis!J49</f>
        <v>0</v>
      </c>
      <c r="B526" s="1009">
        <v>526</v>
      </c>
      <c r="C526" s="1415" t="s">
        <v>2562</v>
      </c>
    </row>
    <row r="527" spans="1:3">
      <c r="A527" s="1009">
        <f>Nachweis!J50</f>
        <v>0</v>
      </c>
      <c r="B527" s="1009">
        <v>527</v>
      </c>
      <c r="C527" s="1415" t="s">
        <v>2561</v>
      </c>
    </row>
    <row r="528" spans="1:3">
      <c r="A528" s="1009">
        <f>Nachweis!J51</f>
        <v>0</v>
      </c>
      <c r="B528" s="1009">
        <v>528</v>
      </c>
      <c r="C528" s="1415" t="s">
        <v>2560</v>
      </c>
    </row>
    <row r="529" spans="1:3">
      <c r="A529" s="1009">
        <f>Nachweis!I52</f>
        <v>0</v>
      </c>
      <c r="B529" s="1009">
        <v>529</v>
      </c>
      <c r="C529" s="1415" t="s">
        <v>2564</v>
      </c>
    </row>
    <row r="530" spans="1:3">
      <c r="A530" s="1009">
        <f>Nachweis!I53</f>
        <v>0</v>
      </c>
      <c r="B530" s="1009">
        <v>530</v>
      </c>
      <c r="C530" s="1415" t="s">
        <v>2565</v>
      </c>
    </row>
    <row r="531" spans="1:3">
      <c r="A531" s="1009">
        <f>Uebersicht!F42</f>
        <v>0</v>
      </c>
      <c r="B531" s="1009">
        <v>531</v>
      </c>
      <c r="C531" s="1415" t="s">
        <v>2623</v>
      </c>
    </row>
    <row r="532" spans="1:3">
      <c r="A532" s="1009">
        <f>Uebersicht!H42</f>
        <v>0</v>
      </c>
      <c r="B532" s="1009">
        <v>532</v>
      </c>
      <c r="C532" s="1415" t="s">
        <v>2624</v>
      </c>
    </row>
    <row r="533" spans="1:3">
      <c r="A533" s="1009" t="str">
        <f>Uebersicht!K42</f>
        <v>Ja</v>
      </c>
      <c r="B533" s="1009">
        <v>533</v>
      </c>
      <c r="C533" s="1415" t="s">
        <v>2625</v>
      </c>
    </row>
    <row r="534" spans="1:3">
      <c r="A534" s="1413">
        <f>IF(A533=0,1,VLOOKUP(A533,Sommer!$P$11:$S$14,4,FALSE))-1</f>
        <v>1</v>
      </c>
      <c r="B534" s="1009">
        <v>534</v>
      </c>
      <c r="C534" s="1415" t="s">
        <v>2626</v>
      </c>
    </row>
    <row r="535" spans="1:3">
      <c r="A535" s="1009" t="str">
        <f>Uebersicht!F43</f>
        <v/>
      </c>
      <c r="B535" s="1009">
        <v>535</v>
      </c>
      <c r="C535" s="1415" t="s">
        <v>2627</v>
      </c>
    </row>
    <row r="536" spans="1:3">
      <c r="A536" s="1009" t="str">
        <f>Uebersicht!H43</f>
        <v/>
      </c>
      <c r="B536" s="1009">
        <v>536</v>
      </c>
      <c r="C536" s="1415" t="s">
        <v>2628</v>
      </c>
    </row>
    <row r="537" spans="1:3">
      <c r="A537" s="1009" t="e">
        <f>Uebersicht!K43</f>
        <v>#VALUE!</v>
      </c>
      <c r="B537" s="1009">
        <v>537</v>
      </c>
      <c r="C537" s="1415" t="s">
        <v>2629</v>
      </c>
    </row>
    <row r="538" spans="1:3">
      <c r="A538" s="1413" t="e">
        <f>IF(OR(A537="",A537=0),1,VLOOKUP(A537,Sommer!$P$11:$S$14,4,FALSE))-1</f>
        <v>#VALUE!</v>
      </c>
      <c r="B538" s="1009">
        <v>538</v>
      </c>
      <c r="C538" s="1415" t="s">
        <v>2630</v>
      </c>
    </row>
    <row r="539" spans="1:3">
      <c r="A539" s="1014">
        <f>MINERGIE!F17</f>
        <v>0</v>
      </c>
      <c r="B539" s="1009">
        <v>539</v>
      </c>
      <c r="C539" s="1415" t="s">
        <v>2671</v>
      </c>
    </row>
    <row r="540" spans="1:3">
      <c r="A540" s="1014">
        <f>MINERGIE!G17</f>
        <v>0</v>
      </c>
      <c r="B540" s="1009">
        <v>540</v>
      </c>
      <c r="C540" s="1415" t="s">
        <v>2672</v>
      </c>
    </row>
    <row r="541" spans="1:3">
      <c r="A541" s="1014">
        <f>MINERGIE!H17</f>
        <v>0</v>
      </c>
      <c r="B541" s="1009">
        <v>541</v>
      </c>
      <c r="C541" s="1415" t="s">
        <v>2673</v>
      </c>
    </row>
    <row r="542" spans="1:3">
      <c r="A542" s="1014">
        <f>MINERGIE!I17</f>
        <v>0</v>
      </c>
      <c r="B542" s="1009">
        <v>542</v>
      </c>
      <c r="C542" s="1415" t="s">
        <v>2674</v>
      </c>
    </row>
    <row r="543" spans="1:3">
      <c r="A543" s="1009">
        <f>MINERGIE!F45</f>
        <v>0</v>
      </c>
      <c r="B543" s="1009">
        <v>543</v>
      </c>
      <c r="C543" s="1415" t="s">
        <v>2757</v>
      </c>
    </row>
    <row r="544" spans="1:3">
      <c r="A544" s="1009">
        <f>IF(A543=0,1,VLOOKUP(A543,MINERGIE!$N$11:$P$13,3,FALSE))-1</f>
        <v>0</v>
      </c>
      <c r="B544" s="1009">
        <v>544</v>
      </c>
      <c r="C544" s="1415" t="s">
        <v>2761</v>
      </c>
    </row>
    <row r="545" spans="1:3">
      <c r="A545" s="1009">
        <f>MINERGIE!G45</f>
        <v>0</v>
      </c>
      <c r="B545" s="1009">
        <v>545</v>
      </c>
      <c r="C545" s="1415" t="s">
        <v>2758</v>
      </c>
    </row>
    <row r="546" spans="1:3">
      <c r="A546" s="1009">
        <f>IF(A545=0,1,VLOOKUP(A545,MINERGIE!$N$11:$P$13,3,FALSE))-1</f>
        <v>0</v>
      </c>
      <c r="B546" s="1009">
        <v>546</v>
      </c>
      <c r="C546" s="1415" t="s">
        <v>2762</v>
      </c>
    </row>
    <row r="547" spans="1:3">
      <c r="A547" s="1009">
        <f>MINERGIE!H45</f>
        <v>0</v>
      </c>
      <c r="B547" s="1009">
        <v>547</v>
      </c>
      <c r="C547" s="1415" t="s">
        <v>2759</v>
      </c>
    </row>
    <row r="548" spans="1:3">
      <c r="A548" s="1009">
        <f>IF(A547=0,1,VLOOKUP(A547,MINERGIE!$N$11:$P$13,3,FALSE))-1</f>
        <v>0</v>
      </c>
      <c r="B548" s="1009">
        <v>548</v>
      </c>
      <c r="C548" s="1415" t="s">
        <v>2763</v>
      </c>
    </row>
    <row r="549" spans="1:3">
      <c r="A549" s="1009">
        <f>MINERGIE!I45</f>
        <v>0</v>
      </c>
      <c r="B549" s="1009">
        <v>549</v>
      </c>
      <c r="C549" s="1415" t="s">
        <v>2760</v>
      </c>
    </row>
    <row r="550" spans="1:3">
      <c r="A550" s="1009">
        <f>IF(A549=0,1,VLOOKUP(A549,MINERGIE!$N$11:$P$13,3,FALSE))-1</f>
        <v>0</v>
      </c>
      <c r="B550" s="1009">
        <v>550</v>
      </c>
      <c r="C550" s="1415" t="s">
        <v>2764</v>
      </c>
    </row>
    <row r="551" spans="1:3">
      <c r="A551" s="1009">
        <f>MINERGIE!O56</f>
        <v>0</v>
      </c>
      <c r="B551" s="1009">
        <v>551</v>
      </c>
      <c r="C551" s="1415" t="s">
        <v>2765</v>
      </c>
    </row>
    <row r="552" spans="1:3">
      <c r="A552" s="1009">
        <f>MINERGIE!P56</f>
        <v>0</v>
      </c>
      <c r="B552" s="1009">
        <v>552</v>
      </c>
      <c r="C552" s="1415" t="s">
        <v>2766</v>
      </c>
    </row>
    <row r="553" spans="1:3">
      <c r="A553" s="1009">
        <f>MINERGIE!Q56</f>
        <v>0</v>
      </c>
      <c r="B553" s="1009">
        <v>553</v>
      </c>
      <c r="C553" s="1415" t="s">
        <v>2767</v>
      </c>
    </row>
    <row r="554" spans="1:3">
      <c r="A554" s="1009">
        <f>MINERGIE!R56</f>
        <v>0</v>
      </c>
      <c r="B554" s="1009">
        <v>554</v>
      </c>
      <c r="C554" s="1415" t="s">
        <v>2768</v>
      </c>
    </row>
    <row r="555" spans="1:3">
      <c r="A555" s="1009">
        <f>MINERGIE!S56</f>
        <v>0</v>
      </c>
      <c r="B555" s="1009">
        <v>555</v>
      </c>
      <c r="C555" s="1415" t="s">
        <v>2769</v>
      </c>
    </row>
    <row r="556" spans="1:3">
      <c r="A556" s="1009">
        <f>MINERGIE!O100</f>
        <v>0</v>
      </c>
      <c r="B556" s="1009">
        <v>556</v>
      </c>
      <c r="C556" s="1415" t="s">
        <v>2770</v>
      </c>
    </row>
    <row r="557" spans="1:3">
      <c r="A557" s="1009">
        <f>MINERGIE!P100</f>
        <v>0</v>
      </c>
      <c r="B557" s="1009">
        <v>557</v>
      </c>
      <c r="C557" s="1415" t="s">
        <v>2771</v>
      </c>
    </row>
    <row r="558" spans="1:3">
      <c r="A558" s="1009">
        <f>MINERGIE!Q100</f>
        <v>0</v>
      </c>
      <c r="B558" s="1009">
        <v>558</v>
      </c>
      <c r="C558" s="1415" t="s">
        <v>2772</v>
      </c>
    </row>
    <row r="559" spans="1:3">
      <c r="A559" s="1009">
        <f>MINERGIE!R100</f>
        <v>0</v>
      </c>
      <c r="B559" s="1009">
        <v>559</v>
      </c>
      <c r="C559" s="1415" t="s">
        <v>2773</v>
      </c>
    </row>
    <row r="560" spans="1:3">
      <c r="A560" s="1009">
        <f>MINERGIE!S100</f>
        <v>0</v>
      </c>
      <c r="B560" s="1009">
        <v>560</v>
      </c>
      <c r="C560" s="1415" t="s">
        <v>2774</v>
      </c>
    </row>
    <row r="561" spans="1:3">
      <c r="A561" s="1009">
        <f>MINERGIE!O94</f>
        <v>0</v>
      </c>
      <c r="B561" s="1009">
        <v>561</v>
      </c>
      <c r="C561" s="1415" t="s">
        <v>2775</v>
      </c>
    </row>
    <row r="562" spans="1:3">
      <c r="A562" s="1009">
        <f>MINERGIE!P94</f>
        <v>0</v>
      </c>
      <c r="B562" s="1009">
        <v>562</v>
      </c>
      <c r="C562" s="1415" t="s">
        <v>2776</v>
      </c>
    </row>
    <row r="563" spans="1:3">
      <c r="A563" s="1009">
        <f>MINERGIE!Q94</f>
        <v>0</v>
      </c>
      <c r="B563" s="1009">
        <v>563</v>
      </c>
      <c r="C563" s="1415" t="s">
        <v>2777</v>
      </c>
    </row>
    <row r="564" spans="1:3">
      <c r="A564" s="1009">
        <f>MINERGIE!R94</f>
        <v>0</v>
      </c>
      <c r="B564" s="1009">
        <v>564</v>
      </c>
      <c r="C564" s="1415" t="s">
        <v>2778</v>
      </c>
    </row>
    <row r="565" spans="1:3">
      <c r="A565" s="1009">
        <f>MINERGIE!S94</f>
        <v>0</v>
      </c>
      <c r="B565" s="1009">
        <v>565</v>
      </c>
      <c r="C565" s="1415" t="s">
        <v>2779</v>
      </c>
    </row>
    <row r="566" spans="1:3">
      <c r="A566" s="1009">
        <f>MINERGIE!O68</f>
        <v>0</v>
      </c>
      <c r="B566" s="1009">
        <v>566</v>
      </c>
      <c r="C566" s="1415" t="s">
        <v>2780</v>
      </c>
    </row>
    <row r="567" spans="1:3">
      <c r="A567" s="1009">
        <f>MINERGIE!P68</f>
        <v>0</v>
      </c>
      <c r="B567" s="1009">
        <v>567</v>
      </c>
      <c r="C567" s="1415" t="s">
        <v>2781</v>
      </c>
    </row>
    <row r="568" spans="1:3">
      <c r="A568" s="1009">
        <f>MINERGIE!Q68</f>
        <v>0</v>
      </c>
      <c r="B568" s="1009">
        <v>568</v>
      </c>
      <c r="C568" s="1415" t="s">
        <v>2782</v>
      </c>
    </row>
    <row r="569" spans="1:3">
      <c r="A569" s="1009">
        <f>MINERGIE!R68</f>
        <v>0</v>
      </c>
      <c r="B569" s="1009">
        <v>569</v>
      </c>
      <c r="C569" s="1415" t="s">
        <v>2783</v>
      </c>
    </row>
    <row r="570" spans="1:3">
      <c r="A570" s="1009">
        <f>MINERGIE!S68</f>
        <v>0</v>
      </c>
      <c r="B570" s="1009">
        <v>570</v>
      </c>
      <c r="C570" s="1415" t="s">
        <v>2784</v>
      </c>
    </row>
    <row r="571" spans="1:3">
      <c r="A571" s="1009">
        <f>MINERGIE!O59</f>
        <v>0</v>
      </c>
      <c r="B571" s="1009">
        <v>571</v>
      </c>
      <c r="C571" s="1415" t="s">
        <v>2785</v>
      </c>
    </row>
    <row r="572" spans="1:3">
      <c r="A572" s="1009">
        <f>MINERGIE!P59</f>
        <v>0</v>
      </c>
      <c r="B572" s="1009">
        <v>572</v>
      </c>
      <c r="C572" s="1415" t="s">
        <v>2786</v>
      </c>
    </row>
    <row r="573" spans="1:3">
      <c r="A573" s="1009">
        <f>MINERGIE!Q59</f>
        <v>0</v>
      </c>
      <c r="B573" s="1009">
        <v>573</v>
      </c>
      <c r="C573" s="1415" t="s">
        <v>2787</v>
      </c>
    </row>
    <row r="574" spans="1:3">
      <c r="A574" s="1009">
        <f>MINERGIE!R59</f>
        <v>0</v>
      </c>
      <c r="B574" s="1009">
        <v>574</v>
      </c>
      <c r="C574" s="1415" t="s">
        <v>2788</v>
      </c>
    </row>
    <row r="575" spans="1:3">
      <c r="A575" s="1009">
        <f>MINERGIE!S59</f>
        <v>0</v>
      </c>
      <c r="B575" s="1009">
        <v>575</v>
      </c>
      <c r="C575" s="1415" t="s">
        <v>2789</v>
      </c>
    </row>
    <row r="576" spans="1:3">
      <c r="A576" s="1009">
        <f>MINERGIE!O44</f>
        <v>0</v>
      </c>
      <c r="B576" s="1009">
        <v>576</v>
      </c>
      <c r="C576" s="1415" t="s">
        <v>2790</v>
      </c>
    </row>
    <row r="577" spans="1:3">
      <c r="A577" s="1009">
        <f>MINERGIE!P44</f>
        <v>0</v>
      </c>
      <c r="B577" s="1009">
        <v>577</v>
      </c>
      <c r="C577" s="1415" t="s">
        <v>2791</v>
      </c>
    </row>
    <row r="578" spans="1:3">
      <c r="A578" s="1009">
        <f>MINERGIE!Q44</f>
        <v>0</v>
      </c>
      <c r="B578" s="1009">
        <v>578</v>
      </c>
      <c r="C578" s="1415" t="s">
        <v>2792</v>
      </c>
    </row>
    <row r="579" spans="1:3">
      <c r="A579" s="1009">
        <f>MINERGIE!R44</f>
        <v>0</v>
      </c>
      <c r="B579" s="1009">
        <v>579</v>
      </c>
      <c r="C579" s="1415" t="s">
        <v>2793</v>
      </c>
    </row>
    <row r="580" spans="1:3">
      <c r="A580" s="1009">
        <f>MINERGIE!S44</f>
        <v>0</v>
      </c>
      <c r="B580" s="1009">
        <v>580</v>
      </c>
      <c r="C580" s="1415" t="s">
        <v>2794</v>
      </c>
    </row>
    <row r="581" spans="1:3">
      <c r="A581" s="1014">
        <f>MINERGIE!O15</f>
        <v>0</v>
      </c>
      <c r="B581" s="1009">
        <v>581</v>
      </c>
      <c r="C581" s="1415" t="s">
        <v>2795</v>
      </c>
    </row>
    <row r="582" spans="1:3">
      <c r="A582" s="1014">
        <f>MINERGIE!P15</f>
        <v>0</v>
      </c>
      <c r="B582" s="1009">
        <v>582</v>
      </c>
      <c r="C582" s="1415" t="s">
        <v>2796</v>
      </c>
    </row>
    <row r="583" spans="1:3">
      <c r="A583" s="1014">
        <f>MINERGIE!Q15</f>
        <v>0</v>
      </c>
      <c r="B583" s="1009">
        <v>583</v>
      </c>
      <c r="C583" s="1415" t="s">
        <v>2797</v>
      </c>
    </row>
    <row r="584" spans="1:3">
      <c r="A584" s="1014">
        <f>MINERGIE!R15</f>
        <v>0</v>
      </c>
      <c r="B584" s="1009">
        <v>584</v>
      </c>
      <c r="C584" s="1415" t="s">
        <v>2798</v>
      </c>
    </row>
    <row r="585" spans="1:3">
      <c r="A585" s="1009">
        <f>MINERGIE!S15</f>
        <v>0</v>
      </c>
      <c r="B585" s="1009">
        <v>585</v>
      </c>
      <c r="C585" s="1415" t="s">
        <v>2799</v>
      </c>
    </row>
    <row r="586" spans="1:3">
      <c r="A586" s="1014">
        <f>MINERGIE!O18</f>
        <v>0</v>
      </c>
      <c r="B586" s="1009">
        <v>586</v>
      </c>
      <c r="C586" s="1415" t="s">
        <v>2800</v>
      </c>
    </row>
    <row r="587" spans="1:3">
      <c r="A587" s="1014">
        <f>MINERGIE!P18</f>
        <v>0</v>
      </c>
      <c r="B587" s="1009">
        <v>587</v>
      </c>
      <c r="C587" s="1415" t="s">
        <v>2801</v>
      </c>
    </row>
    <row r="588" spans="1:3">
      <c r="A588" s="1014">
        <f>MINERGIE!Q18</f>
        <v>0</v>
      </c>
      <c r="B588" s="1009">
        <v>588</v>
      </c>
      <c r="C588" s="1415" t="s">
        <v>2802</v>
      </c>
    </row>
    <row r="589" spans="1:3">
      <c r="A589" s="1014">
        <f>MINERGIE!R18</f>
        <v>0</v>
      </c>
      <c r="B589" s="1009">
        <v>589</v>
      </c>
      <c r="C589" s="1415" t="s">
        <v>2803</v>
      </c>
    </row>
    <row r="590" spans="1:3">
      <c r="A590" s="1009">
        <f>MINERGIE!S18</f>
        <v>0</v>
      </c>
      <c r="B590" s="1009">
        <v>590</v>
      </c>
      <c r="C590" s="1415" t="s">
        <v>2804</v>
      </c>
    </row>
    <row r="591" spans="1:3">
      <c r="A591" s="1009">
        <f>MINERGIE!O103</f>
        <v>0</v>
      </c>
      <c r="B591" s="1009">
        <v>591</v>
      </c>
      <c r="C591" s="1415" t="s">
        <v>2805</v>
      </c>
    </row>
    <row r="592" spans="1:3">
      <c r="A592" s="1009">
        <f>MINERGIE!P103</f>
        <v>0</v>
      </c>
      <c r="B592" s="1009">
        <v>592</v>
      </c>
      <c r="C592" s="1415" t="s">
        <v>2806</v>
      </c>
    </row>
    <row r="593" spans="1:10">
      <c r="A593" s="1009">
        <f>MINERGIE!Q103</f>
        <v>0</v>
      </c>
      <c r="B593" s="1009">
        <v>593</v>
      </c>
      <c r="C593" s="1415" t="s">
        <v>2807</v>
      </c>
    </row>
    <row r="594" spans="1:10">
      <c r="A594" s="1009">
        <f>MINERGIE!R103</f>
        <v>0</v>
      </c>
      <c r="B594" s="1009">
        <v>594</v>
      </c>
      <c r="C594" s="1415" t="s">
        <v>2808</v>
      </c>
    </row>
    <row r="595" spans="1:10">
      <c r="A595" s="1009">
        <f>MINERGIE!S103</f>
        <v>0</v>
      </c>
      <c r="B595" s="1009">
        <v>595</v>
      </c>
      <c r="C595" s="1415" t="s">
        <v>2809</v>
      </c>
    </row>
    <row r="596" spans="1:10">
      <c r="A596" s="1009">
        <f>MINERGIE!O104</f>
        <v>0</v>
      </c>
      <c r="B596" s="1009">
        <v>596</v>
      </c>
      <c r="C596" s="1415" t="s">
        <v>2810</v>
      </c>
    </row>
    <row r="597" spans="1:10">
      <c r="A597" s="1009">
        <f>MINERGIE!P104</f>
        <v>0</v>
      </c>
      <c r="B597" s="1009">
        <v>597</v>
      </c>
      <c r="C597" s="1415" t="s">
        <v>2811</v>
      </c>
    </row>
    <row r="598" spans="1:10">
      <c r="A598" s="1009">
        <f>MINERGIE!Q104</f>
        <v>0</v>
      </c>
      <c r="B598" s="1009">
        <v>598</v>
      </c>
      <c r="C598" s="1415" t="s">
        <v>2812</v>
      </c>
    </row>
    <row r="599" spans="1:10">
      <c r="A599" s="1009">
        <f>MINERGIE!R104</f>
        <v>0</v>
      </c>
      <c r="B599" s="1009">
        <v>599</v>
      </c>
      <c r="C599" s="1415" t="s">
        <v>2813</v>
      </c>
    </row>
    <row r="600" spans="1:10">
      <c r="A600" s="1009">
        <f>MINERGIE!S104</f>
        <v>0</v>
      </c>
      <c r="B600" s="1009">
        <v>600</v>
      </c>
      <c r="C600" s="1415" t="s">
        <v>2814</v>
      </c>
    </row>
    <row r="601" spans="1:10">
      <c r="A601" s="1009">
        <f>MINERGIE!H56</f>
        <v>0</v>
      </c>
      <c r="B601" s="1009">
        <v>601</v>
      </c>
      <c r="C601" s="1415" t="s">
        <v>2724</v>
      </c>
    </row>
    <row r="602" spans="1:10">
      <c r="A602" s="1009">
        <f>MINERGIE!J56</f>
        <v>0</v>
      </c>
      <c r="B602" s="1009">
        <v>602</v>
      </c>
      <c r="C602" s="1415" t="s">
        <v>2725</v>
      </c>
    </row>
    <row r="603" spans="1:10">
      <c r="A603" s="1011">
        <f>MINERGIE!Z36</f>
        <v>0</v>
      </c>
      <c r="B603" s="1011">
        <v>603</v>
      </c>
      <c r="C603" s="1416" t="s">
        <v>3362</v>
      </c>
      <c r="D603" s="1012"/>
      <c r="E603" s="1012"/>
      <c r="F603" s="1012"/>
      <c r="G603" s="1012"/>
      <c r="H603" s="1012"/>
      <c r="I603" s="1012"/>
      <c r="J603" s="1012"/>
    </row>
    <row r="604" spans="1:10">
      <c r="A604" s="1008">
        <f>Sommer!I36</f>
        <v>0</v>
      </c>
      <c r="B604" s="1008">
        <v>604</v>
      </c>
      <c r="C604" s="1415" t="s">
        <v>3439</v>
      </c>
      <c r="D604" s="1410"/>
      <c r="E604" s="1410"/>
    </row>
    <row r="605" spans="1:10">
      <c r="A605" s="1841">
        <f>IF(A604=0,1,VLOOKUP(A604,Sommer!$P$11:$S$14,4,FALSE))-1</f>
        <v>0</v>
      </c>
      <c r="B605" s="1008">
        <v>605</v>
      </c>
      <c r="C605" s="1415" t="s">
        <v>3438</v>
      </c>
    </row>
    <row r="606" spans="1:10">
      <c r="A606" s="1008">
        <f>Sommer!J36</f>
        <v>0</v>
      </c>
      <c r="B606" s="1008">
        <v>606</v>
      </c>
      <c r="C606" s="1415" t="s">
        <v>3440</v>
      </c>
      <c r="D606" s="1410"/>
      <c r="E606" s="1410"/>
    </row>
    <row r="607" spans="1:10">
      <c r="A607" s="1841">
        <f>IF(A606=0,1,VLOOKUP(A606,Sommer!$P$11:$S$14,4,FALSE))-1</f>
        <v>0</v>
      </c>
      <c r="B607" s="1008">
        <v>607</v>
      </c>
      <c r="C607" s="1415" t="s">
        <v>3443</v>
      </c>
      <c r="D607" s="1410"/>
      <c r="E607" s="1410"/>
    </row>
    <row r="608" spans="1:10">
      <c r="A608" s="1008">
        <f>Sommer!K36</f>
        <v>0</v>
      </c>
      <c r="B608" s="1008">
        <v>608</v>
      </c>
      <c r="C608" s="1415" t="s">
        <v>3441</v>
      </c>
    </row>
    <row r="609" spans="1:3">
      <c r="A609" s="1841">
        <f>IF(A608=0,1,VLOOKUP(A608,Sommer!$P$11:$S$14,4,FALSE))-1</f>
        <v>0</v>
      </c>
      <c r="B609" s="1008">
        <v>609</v>
      </c>
      <c r="C609" s="1415" t="s">
        <v>3442</v>
      </c>
    </row>
    <row r="610" spans="1:3">
      <c r="A610" s="1008">
        <f>Sommer!L36</f>
        <v>0</v>
      </c>
      <c r="B610" s="1008">
        <v>610</v>
      </c>
      <c r="C610" s="1415" t="s">
        <v>3444</v>
      </c>
    </row>
    <row r="611" spans="1:3">
      <c r="A611" s="1841">
        <f>IF(A610=0,1,VLOOKUP(A610,Sommer!$P$11:$S$14,4,FALSE))-1</f>
        <v>0</v>
      </c>
      <c r="B611" s="1008">
        <v>611</v>
      </c>
      <c r="C611" s="1415" t="s">
        <v>3445</v>
      </c>
    </row>
    <row r="612" spans="1:3">
      <c r="A612" s="1008" t="str">
        <f>Sommer!H22</f>
        <v/>
      </c>
      <c r="B612" s="1008">
        <v>612</v>
      </c>
      <c r="C612" s="1415" t="s">
        <v>3488</v>
      </c>
    </row>
    <row r="613" spans="1:3">
      <c r="A613" s="1009" t="str">
        <f>Sommer!H24</f>
        <v/>
      </c>
      <c r="B613" s="1008">
        <v>613</v>
      </c>
      <c r="C613" s="1415" t="s">
        <v>3487</v>
      </c>
    </row>
    <row r="614" spans="1:3">
      <c r="A614" s="1009" t="str">
        <f>Sommer!H26</f>
        <v/>
      </c>
      <c r="B614" s="1008">
        <v>614</v>
      </c>
      <c r="C614" s="1415" t="s">
        <v>3489</v>
      </c>
    </row>
    <row r="615" spans="1:3">
      <c r="A615" s="1009" t="str">
        <f>Sommer!H28</f>
        <v/>
      </c>
      <c r="B615" s="1008">
        <v>615</v>
      </c>
      <c r="C615" s="1415" t="s">
        <v>3490</v>
      </c>
    </row>
    <row r="616" spans="1:3">
      <c r="A616" s="1009">
        <f>Sommer!I29</f>
        <v>0</v>
      </c>
      <c r="B616" s="1008">
        <v>616</v>
      </c>
      <c r="C616" s="1415" t="s">
        <v>3491</v>
      </c>
    </row>
    <row r="617" spans="1:3">
      <c r="A617" s="1413">
        <f>IF(A616=0,1,VLOOKUP(A616,Sommer!$P$11:$S$14,4,FALSE))-1</f>
        <v>0</v>
      </c>
      <c r="B617" s="1008">
        <v>617</v>
      </c>
      <c r="C617" s="1415" t="s">
        <v>3492</v>
      </c>
    </row>
    <row r="618" spans="1:3">
      <c r="A618" s="1009">
        <f>Sommer!J29</f>
        <v>0</v>
      </c>
      <c r="B618" s="1008">
        <v>618</v>
      </c>
      <c r="C618" s="1415" t="s">
        <v>3493</v>
      </c>
    </row>
    <row r="619" spans="1:3">
      <c r="A619" s="1413">
        <f>IF(A618=0,1,VLOOKUP(A618,Sommer!$P$11:$S$14,4,FALSE))-1</f>
        <v>0</v>
      </c>
      <c r="B619" s="1008">
        <v>619</v>
      </c>
      <c r="C619" s="1415" t="s">
        <v>3494</v>
      </c>
    </row>
    <row r="620" spans="1:3">
      <c r="A620" s="1009">
        <f>Sommer!K29</f>
        <v>0</v>
      </c>
      <c r="B620" s="1008">
        <v>620</v>
      </c>
      <c r="C620" s="1415" t="s">
        <v>3495</v>
      </c>
    </row>
    <row r="621" spans="1:3">
      <c r="A621" s="1413">
        <f>IF(A620=0,1,VLOOKUP(A620,Sommer!$P$11:$S$14,4,FALSE))-1</f>
        <v>0</v>
      </c>
      <c r="B621" s="1008">
        <v>621</v>
      </c>
      <c r="C621" s="1415" t="s">
        <v>3496</v>
      </c>
    </row>
    <row r="622" spans="1:3">
      <c r="A622" s="1009">
        <f>Sommer!L29</f>
        <v>0</v>
      </c>
      <c r="B622" s="1008">
        <v>622</v>
      </c>
      <c r="C622" s="1415" t="s">
        <v>3497</v>
      </c>
    </row>
    <row r="623" spans="1:3">
      <c r="A623" s="1413">
        <f>IF(A622=0,1,VLOOKUP(A622,Sommer!$P$11:$S$14,4,FALSE))-1</f>
        <v>0</v>
      </c>
      <c r="B623" s="1008">
        <v>623</v>
      </c>
      <c r="C623" s="1415" t="s">
        <v>3498</v>
      </c>
    </row>
    <row r="624" spans="1:3">
      <c r="A624" s="1009" t="str">
        <f>Sommer!U47</f>
        <v/>
      </c>
      <c r="B624" s="1008">
        <v>624</v>
      </c>
      <c r="C624" s="1415" t="s">
        <v>3513</v>
      </c>
    </row>
    <row r="625" spans="1:3">
      <c r="A625" s="1009" t="str">
        <f>Sommer!V47</f>
        <v/>
      </c>
      <c r="B625" s="1008">
        <v>625</v>
      </c>
      <c r="C625" s="1415" t="s">
        <v>3514</v>
      </c>
    </row>
    <row r="626" spans="1:3">
      <c r="A626" s="1009" t="str">
        <f>Sommer!W47</f>
        <v/>
      </c>
      <c r="B626" s="1008">
        <v>626</v>
      </c>
      <c r="C626" s="1415" t="s">
        <v>3515</v>
      </c>
    </row>
    <row r="627" spans="1:3">
      <c r="A627" s="1009" t="str">
        <f>Sommer!X47</f>
        <v/>
      </c>
      <c r="B627" s="1008">
        <v>627</v>
      </c>
      <c r="C627" s="1415" t="s">
        <v>3516</v>
      </c>
    </row>
    <row r="628" spans="1:3">
      <c r="A628" s="1009" t="b">
        <f>Sommer!S52</f>
        <v>0</v>
      </c>
      <c r="B628" s="1008">
        <v>628</v>
      </c>
      <c r="C628" s="1415" t="s">
        <v>2532</v>
      </c>
    </row>
    <row r="629" spans="1:3">
      <c r="A629" s="1009">
        <f>IF(A628,1,2)</f>
        <v>2</v>
      </c>
      <c r="B629" s="1008">
        <v>629</v>
      </c>
      <c r="C629" s="1415" t="s">
        <v>3573</v>
      </c>
    </row>
    <row r="630" spans="1:3">
      <c r="A630" s="1009">
        <f>IF(_SIA2009,2,1)</f>
        <v>1</v>
      </c>
      <c r="B630" s="1008">
        <v>630</v>
      </c>
      <c r="C630" s="1415" t="s">
        <v>3696</v>
      </c>
    </row>
  </sheetData>
  <sheetProtection password="C616"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1"/>
  <sheetViews>
    <sheetView workbookViewId="0"/>
  </sheetViews>
  <sheetFormatPr baseColWidth="10" defaultRowHeight="12.75"/>
  <cols>
    <col min="1" max="1" width="39.42578125" style="623" customWidth="1"/>
    <col min="2" max="11" width="11.42578125" style="623"/>
    <col min="12" max="18" width="11.42578125" style="623" hidden="1" customWidth="1"/>
    <col min="19" max="16384" width="11.42578125" style="623"/>
  </cols>
  <sheetData>
    <row r="1" spans="1:18" ht="21" customHeight="1">
      <c r="A1" s="1693" t="str">
        <f>Uebersetzung!D489</f>
        <v>Übertrag in das Rechentool PVopti</v>
      </c>
    </row>
    <row r="2" spans="1:18" ht="15" customHeight="1"/>
    <row r="3" spans="1:18" ht="15" customHeight="1" thickBot="1">
      <c r="C3" s="1694" t="str">
        <f>Uebersetzung!D490</f>
        <v>Bitte den gelben Bereich kopieren und als Inhalt in PVopti einfügen:</v>
      </c>
      <c r="L3" s="160">
        <v>1</v>
      </c>
    </row>
    <row r="4" spans="1:18" ht="15" customHeight="1">
      <c r="A4" s="623" t="str">
        <f>Uebersetzung!D491</f>
        <v>MOP-Nr.: / Projektname: / Gebäudeadresse:</v>
      </c>
      <c r="C4" s="1685" t="str">
        <f>IF(Projekt3&lt;&gt;"",Projekt3,"")</f>
        <v/>
      </c>
      <c r="D4" s="1681" t="str">
        <f>IF(Eingaben!C7&lt;&gt;"",Eingaben!C7,"")</f>
        <v/>
      </c>
      <c r="E4" s="1681"/>
      <c r="F4" s="1681"/>
      <c r="G4" s="1681" t="str">
        <f>IF(Eingaben!C8&lt;&gt;"",Eingaben!C8,"")</f>
        <v/>
      </c>
      <c r="H4" s="1681"/>
      <c r="I4" s="1672"/>
      <c r="L4" s="160">
        <v>2</v>
      </c>
      <c r="M4" s="623" t="s">
        <v>203</v>
      </c>
      <c r="P4" s="623" t="s">
        <v>332</v>
      </c>
      <c r="Q4" s="623" t="s">
        <v>1546</v>
      </c>
      <c r="R4" s="623" t="s">
        <v>3081</v>
      </c>
    </row>
    <row r="5" spans="1:18" ht="15" customHeight="1">
      <c r="A5" s="623" t="str">
        <f>Uebersetzung!D492</f>
        <v xml:space="preserve">Parz.-Nr.:   / Klimastation: / Gebäudestandort: </v>
      </c>
      <c r="C5" s="1673" t="str">
        <f>IF(Projekt2&lt;&gt;"",Projekt2,"")</f>
        <v/>
      </c>
      <c r="D5" s="1682" t="str">
        <f>IF(Eingaben!I14&lt;&gt;"",Eingaben!I14,"")</f>
        <v xml:space="preserve"> </v>
      </c>
      <c r="E5" s="1682"/>
      <c r="F5" s="1682"/>
      <c r="G5" s="1682" t="str">
        <f>IF(Eingaben!E13&lt;&gt;"",Eingaben!E13,"")</f>
        <v/>
      </c>
      <c r="H5" s="1682"/>
      <c r="I5" s="1674"/>
      <c r="L5" s="160">
        <v>3</v>
      </c>
      <c r="M5" s="623" t="s">
        <v>471</v>
      </c>
      <c r="P5" s="623" t="s">
        <v>333</v>
      </c>
      <c r="Q5" s="623" t="s">
        <v>1547</v>
      </c>
      <c r="R5" s="623" t="s">
        <v>3082</v>
      </c>
    </row>
    <row r="6" spans="1:18" ht="15" customHeight="1">
      <c r="C6" s="1673"/>
      <c r="D6" s="1675"/>
      <c r="E6" s="1675"/>
      <c r="F6" s="1675"/>
      <c r="G6" s="1675"/>
      <c r="H6" s="1675"/>
      <c r="I6" s="1676"/>
      <c r="L6" s="160">
        <v>4</v>
      </c>
      <c r="M6" s="623" t="s">
        <v>472</v>
      </c>
      <c r="P6" s="623" t="s">
        <v>1</v>
      </c>
      <c r="Q6" s="623" t="s">
        <v>1548</v>
      </c>
      <c r="R6" s="623" t="s">
        <v>3083</v>
      </c>
    </row>
    <row r="7" spans="1:18" ht="15" customHeight="1">
      <c r="C7" s="1673"/>
      <c r="D7" s="1683"/>
      <c r="E7" s="1683"/>
      <c r="F7" s="1683"/>
      <c r="G7" s="1683"/>
      <c r="H7" s="1683"/>
      <c r="I7" s="1684"/>
      <c r="L7" s="160">
        <v>5</v>
      </c>
      <c r="M7" s="623" t="s">
        <v>204</v>
      </c>
      <c r="P7" s="623" t="s">
        <v>340</v>
      </c>
      <c r="Q7" s="623" t="s">
        <v>1549</v>
      </c>
      <c r="R7" s="623" t="s">
        <v>3084</v>
      </c>
    </row>
    <row r="8" spans="1:18" ht="15" customHeight="1">
      <c r="A8" s="1575" t="str">
        <f>Uebersetzung!D493</f>
        <v>Wärmeerzeuger</v>
      </c>
      <c r="C8" s="1673"/>
      <c r="D8" s="1675"/>
      <c r="E8" s="1675"/>
      <c r="F8" s="1675"/>
      <c r="G8" s="1675"/>
      <c r="H8" s="1675"/>
      <c r="I8" s="1676"/>
      <c r="L8" s="160">
        <v>6</v>
      </c>
      <c r="M8" s="623" t="s">
        <v>473</v>
      </c>
      <c r="P8" s="623" t="s">
        <v>237</v>
      </c>
      <c r="Q8" s="623" t="s">
        <v>1550</v>
      </c>
      <c r="R8" s="623" t="s">
        <v>3085</v>
      </c>
    </row>
    <row r="9" spans="1:18" ht="15" customHeight="1">
      <c r="A9" s="623" t="str">
        <f>Uebersetzung!D494</f>
        <v>Erz. A</v>
      </c>
      <c r="B9" s="1696"/>
      <c r="C9" s="1695" t="str">
        <f>IF(Nachweis!M8&gt;1,INDEX($L$3:$M$50,Nachweis!M8,2),"")</f>
        <v/>
      </c>
      <c r="D9" s="1683">
        <f>IF(Nachweis!J8&gt;0,Nachweis!J8/100,0)</f>
        <v>0</v>
      </c>
      <c r="E9" s="1683">
        <f>IF(Nachweis!L8&gt;0,Nachweis!L8/100,0)</f>
        <v>0</v>
      </c>
      <c r="F9" s="1683">
        <f>IF(AND(WirkungsgradA&gt;0,Nachweis!S8=1),WirkungsgradA,0)</f>
        <v>0</v>
      </c>
      <c r="G9" s="1683">
        <f>IF(AND(WirkungsgradA&gt;0,qw&gt;0,Nachweis!T8=1),WirkungsgradA,0)</f>
        <v>0</v>
      </c>
      <c r="H9" s="1683">
        <f>IF(Nachweis!AD8,IF(Nachweis!G9&gt;0,Nachweis!G9,0),0)</f>
        <v>0</v>
      </c>
      <c r="I9" s="1684">
        <f>IF(Nachweis!AD8,IF(AND(Nachweis!G9&gt;0,qw&gt;0),Nachweis!G9,0),0)</f>
        <v>0</v>
      </c>
      <c r="L9" s="160">
        <v>7</v>
      </c>
      <c r="M9" s="623" t="s">
        <v>474</v>
      </c>
      <c r="P9" s="623" t="s">
        <v>835</v>
      </c>
      <c r="Q9" s="623" t="s">
        <v>835</v>
      </c>
      <c r="R9" s="623" t="s">
        <v>3086</v>
      </c>
    </row>
    <row r="10" spans="1:18" ht="15" customHeight="1">
      <c r="A10" s="623" t="str">
        <f>Uebersetzung!D495</f>
        <v>Erz. B</v>
      </c>
      <c r="C10" s="1695" t="str">
        <f>IF(Nachweis!M12&gt;1,INDEX($L$3:$M$50,Nachweis!M12,2),"")</f>
        <v/>
      </c>
      <c r="D10" s="1683">
        <f>IF(Nachweis!J12&gt;0,Nachweis!J12/100,0)</f>
        <v>0</v>
      </c>
      <c r="E10" s="1683">
        <f>IF(Nachweis!L12&gt;0,Nachweis!L12/100,0)</f>
        <v>0</v>
      </c>
      <c r="F10" s="1683">
        <f>IF(AND(WirkungsgradB&gt;0,Nachweis!S12=1),WirkungsgradB,0)</f>
        <v>0</v>
      </c>
      <c r="G10" s="1683">
        <f>IF(AND(WirkungsgradB&gt;0,qw&gt;0,Nachweis!T12=1),WirkungsgradB,0)</f>
        <v>0</v>
      </c>
      <c r="H10" s="1683">
        <f>IF(Nachweis!AD12,IF(Nachweis!G13&gt;0,Nachweis!G13,0),0)</f>
        <v>0</v>
      </c>
      <c r="I10" s="1684">
        <f>IF(Nachweis!AD12,IF(AND(Nachweis!G13&gt;0,qw&gt;0),Nachweis!G13,0),0)</f>
        <v>0</v>
      </c>
      <c r="L10" s="160">
        <v>8</v>
      </c>
      <c r="M10" s="623" t="s">
        <v>205</v>
      </c>
      <c r="P10" s="623" t="s">
        <v>836</v>
      </c>
      <c r="Q10" s="623" t="s">
        <v>1551</v>
      </c>
      <c r="R10" s="623" t="s">
        <v>3087</v>
      </c>
    </row>
    <row r="11" spans="1:18" ht="15" customHeight="1">
      <c r="A11" s="623" t="str">
        <f>Uebersetzung!D496</f>
        <v>Erz. C</v>
      </c>
      <c r="C11" s="1695" t="str">
        <f>IF(Nachweis!M16&gt;1,INDEX($L$3:$M$50,Nachweis!M16,2),"")</f>
        <v/>
      </c>
      <c r="D11" s="1683">
        <f>IF(Nachweis!J16&gt;0,Nachweis!J16/100,0)</f>
        <v>0</v>
      </c>
      <c r="E11" s="1683">
        <f>IF(Nachweis!L16&gt;0,Nachweis!L16/100,0)</f>
        <v>0</v>
      </c>
      <c r="F11" s="1683">
        <f>IF(AND(WirkungsgradC&gt;0,Nachweis!S16=1),WirkungsgradC,0)</f>
        <v>0</v>
      </c>
      <c r="G11" s="1683">
        <f>IF(AND(WirkungsgradC&gt;0,qw&gt;0,Nachweis!T16=1),WirkungsgradC,0)</f>
        <v>0</v>
      </c>
      <c r="H11" s="1683">
        <f>IF(Nachweis!AD16,IF(Nachweis!G17&gt;0,Nachweis!G17,0),0)</f>
        <v>0</v>
      </c>
      <c r="I11" s="1684">
        <f>IF(Nachweis!AD16,IF(AND(Nachweis!G17&gt;0,qw&gt;0),Nachweis!G17,0),0)</f>
        <v>0</v>
      </c>
      <c r="L11" s="160">
        <v>9</v>
      </c>
      <c r="M11" s="623" t="s">
        <v>318</v>
      </c>
      <c r="P11" s="623" t="s">
        <v>238</v>
      </c>
      <c r="Q11" s="623" t="s">
        <v>1552</v>
      </c>
      <c r="R11" s="623" t="s">
        <v>3088</v>
      </c>
    </row>
    <row r="12" spans="1:18" ht="15" customHeight="1">
      <c r="A12" s="623" t="str">
        <f>Uebersetzung!D497</f>
        <v>Erz. D</v>
      </c>
      <c r="C12" s="1695" t="str">
        <f>IF(Nachweis!M20&gt;1,INDEX($L$3:$M$50,Nachweis!M20,2),"")</f>
        <v/>
      </c>
      <c r="D12" s="1683">
        <f>IF(Nachweis!J20&gt;0,Nachweis!J20/100,0)</f>
        <v>0</v>
      </c>
      <c r="E12" s="1683">
        <f>IF(Nachweis!L20&gt;0,Nachweis!L20/100,0)</f>
        <v>0</v>
      </c>
      <c r="F12" s="1683">
        <f>IF(AND(WirkungsgradD&gt;0,Nachweis!S20=1),WirkungsgradD,0)</f>
        <v>0</v>
      </c>
      <c r="G12" s="1683">
        <f>IF(AND(WirkungsgradD&gt;0,qw&gt;0,Nachweis!T20=1),WirkungsgradD,0)</f>
        <v>0</v>
      </c>
      <c r="H12" s="1683">
        <f>IF(Nachweis!AD20,IF(Nachweis!G21&gt;0,Nachweis!G21,0),0)</f>
        <v>0</v>
      </c>
      <c r="I12" s="1684">
        <f>IF(Nachweis!AD20,IF(AND(Nachweis!G21&gt;0,qw&gt;0),Nachweis!G21,0),0)</f>
        <v>0</v>
      </c>
      <c r="L12" s="160">
        <v>10</v>
      </c>
      <c r="M12" s="623" t="s">
        <v>22</v>
      </c>
      <c r="P12" s="623" t="s">
        <v>491</v>
      </c>
      <c r="Q12" s="623" t="s">
        <v>491</v>
      </c>
      <c r="R12" s="623" t="s">
        <v>3089</v>
      </c>
    </row>
    <row r="13" spans="1:18" ht="15" customHeight="1">
      <c r="C13" s="1695" t="str">
        <f>IF(Nachweis!B24&lt;&gt;"",Nachweis!B24,"")</f>
        <v/>
      </c>
      <c r="D13" s="1683" t="str">
        <f>IF(Nachweis!J24&gt;0,Nachweis!J24/100,"")</f>
        <v/>
      </c>
      <c r="E13" s="1683" t="str">
        <f>IF(Nachweis!L24&gt;0,Nachweis!L24/100,"")</f>
        <v/>
      </c>
      <c r="F13" s="1683"/>
      <c r="G13" s="1683"/>
      <c r="H13" s="1675"/>
      <c r="I13" s="1676"/>
      <c r="L13" s="160">
        <v>11</v>
      </c>
      <c r="M13" s="623" t="s">
        <v>1237</v>
      </c>
      <c r="P13" s="623" t="s">
        <v>239</v>
      </c>
      <c r="Q13" s="623" t="s">
        <v>1553</v>
      </c>
      <c r="R13" s="623" t="s">
        <v>3090</v>
      </c>
    </row>
    <row r="14" spans="1:18" ht="15" customHeight="1">
      <c r="A14" s="623" t="str">
        <f>Uebersetzung!D498</f>
        <v>Nutzbare Kapazität (kWh)</v>
      </c>
      <c r="B14" s="623" t="s">
        <v>672</v>
      </c>
      <c r="C14" s="1686" t="str">
        <f>IF(MINERGIE!H56&gt;0,MINERGIE!H56,"")</f>
        <v/>
      </c>
      <c r="D14" s="1675"/>
      <c r="E14" s="1675"/>
      <c r="F14" s="1675"/>
      <c r="G14" s="1675"/>
      <c r="H14" s="1675"/>
      <c r="I14" s="1676"/>
      <c r="L14" s="160">
        <v>12</v>
      </c>
      <c r="M14" s="623" t="s">
        <v>186</v>
      </c>
      <c r="P14" s="623" t="s">
        <v>240</v>
      </c>
      <c r="Q14" s="623" t="s">
        <v>1554</v>
      </c>
      <c r="R14" s="623" t="s">
        <v>3091</v>
      </c>
    </row>
    <row r="15" spans="1:18" ht="15" customHeight="1">
      <c r="C15" s="1673"/>
      <c r="D15" s="1675"/>
      <c r="E15" s="1675"/>
      <c r="F15" s="1675"/>
      <c r="G15" s="1675"/>
      <c r="H15" s="1675"/>
      <c r="I15" s="1676"/>
      <c r="L15" s="160">
        <v>13</v>
      </c>
      <c r="M15" s="623" t="s">
        <v>45</v>
      </c>
    </row>
    <row r="16" spans="1:18" ht="15" customHeight="1">
      <c r="A16" s="1575" t="str">
        <f>Uebersetzung!D499</f>
        <v>Zone</v>
      </c>
      <c r="C16" s="1677">
        <v>1</v>
      </c>
      <c r="D16" s="1678">
        <v>2</v>
      </c>
      <c r="E16" s="1678">
        <v>3</v>
      </c>
      <c r="F16" s="1678">
        <v>4</v>
      </c>
      <c r="G16" s="1675"/>
      <c r="H16" s="1675"/>
      <c r="I16" s="1676"/>
      <c r="L16" s="160">
        <v>14</v>
      </c>
      <c r="M16" s="623" t="s">
        <v>145</v>
      </c>
    </row>
    <row r="17" spans="1:13" ht="15" customHeight="1">
      <c r="A17" s="623" t="str">
        <f>Uebersetzung!D500</f>
        <v>Gebäudekategorie</v>
      </c>
      <c r="B17" s="623" t="s">
        <v>3059</v>
      </c>
      <c r="C17" s="1686" t="str">
        <f>IF(Eingaben!F16&lt;&gt;"",INDEX(P3:R15,Kategorie1,Uebersetzung!$A$1),"")</f>
        <v/>
      </c>
      <c r="D17" s="1683" t="str">
        <f>IF(Eingaben!G16&lt;&gt;"",INDEX(P3:R15,Kategorie2,Uebersetzung!$A$1),"")</f>
        <v/>
      </c>
      <c r="E17" s="1683" t="str">
        <f>IF(Eingaben!H16&lt;&gt;"",INDEX(P3:R15,Kategorie3,Uebersetzung!$A$1),"")</f>
        <v/>
      </c>
      <c r="F17" s="1683" t="str">
        <f>IF(Eingaben!I16&lt;&gt;"",INDEX(P3:R15,Kategorie4,Uebersetzung!$A$1),"")</f>
        <v/>
      </c>
      <c r="G17" s="1675"/>
      <c r="H17" s="1675"/>
      <c r="I17" s="1676"/>
      <c r="L17" s="160">
        <v>15</v>
      </c>
      <c r="M17" s="623" t="s">
        <v>383</v>
      </c>
    </row>
    <row r="18" spans="1:13" ht="15" customHeight="1">
      <c r="A18" s="623" t="str">
        <f>Uebersetzung!D501</f>
        <v>Energiebezugsfläche EBF (m2)</v>
      </c>
      <c r="C18" s="1686">
        <f>IF(Eingaben!F19&lt;&gt;"",Eingaben!F19,0)</f>
        <v>0</v>
      </c>
      <c r="D18" s="1683">
        <f>IF(Eingaben!G19&lt;&gt;"",Eingaben!G19,0)</f>
        <v>0</v>
      </c>
      <c r="E18" s="1683">
        <f>IF(Eingaben!H19&lt;&gt;"",Eingaben!H19,0)</f>
        <v>0</v>
      </c>
      <c r="F18" s="1683">
        <f>IF(Eingaben!I19&lt;&gt;"",Eingaben!I19,0)</f>
        <v>0</v>
      </c>
      <c r="G18" s="1675"/>
      <c r="H18" s="1675"/>
      <c r="I18" s="1676"/>
      <c r="L18" s="160">
        <v>16</v>
      </c>
      <c r="M18" s="623" t="s">
        <v>459</v>
      </c>
    </row>
    <row r="19" spans="1:13" ht="15" customHeight="1">
      <c r="A19" s="623" t="str">
        <f>Uebersetzung!D502</f>
        <v>Neubau</v>
      </c>
      <c r="C19" s="1686" t="str">
        <f>IF(Eingaben!F21&lt;&gt;"",IF(Neubau1=2,1,IF(Neubau1=3,0,"")),"")</f>
        <v/>
      </c>
      <c r="D19" s="1683" t="str">
        <f>IF(Eingaben!G21&lt;&gt;"",IF(Neubau2=2,1,IF(Neubau2=3,0,"")),"")</f>
        <v/>
      </c>
      <c r="E19" s="1683" t="str">
        <f>IF(Eingaben!H21&lt;&gt;"",IF(Neubau3=2,1,IF(Neubau3=3,0,"")),"")</f>
        <v/>
      </c>
      <c r="F19" s="1683" t="str">
        <f>IF(Eingaben!I21&lt;&gt;"",IF(Neubau4=2,1,IF(Neubau4=3,0,"")),"")</f>
        <v/>
      </c>
      <c r="G19" s="1675"/>
      <c r="H19" s="1675"/>
      <c r="I19" s="1676"/>
      <c r="L19" s="160">
        <v>17</v>
      </c>
      <c r="M19" s="623" t="s">
        <v>475</v>
      </c>
    </row>
    <row r="20" spans="1:13" ht="15" customHeight="1">
      <c r="A20" s="623" t="str">
        <f>Uebersetzung!D503</f>
        <v>Warmwasser Rechenwert</v>
      </c>
      <c r="B20" s="623" t="s">
        <v>524</v>
      </c>
      <c r="C20" s="1687">
        <f>IF(MINERGIE!F17&lt;&gt;0,MINERGIE!F17,0)</f>
        <v>0</v>
      </c>
      <c r="D20" s="1688">
        <f>IF(MINERGIE!G17&lt;&gt;0,MINERGIE!G17,0)</f>
        <v>0</v>
      </c>
      <c r="E20" s="1688">
        <f>IF(MINERGIE!H17&lt;&gt;0,MINERGIE!H17,0)</f>
        <v>0</v>
      </c>
      <c r="F20" s="1688">
        <f>IF(MINERGIE!I17&lt;&gt;0,MINERGIE!I17,0)</f>
        <v>0</v>
      </c>
      <c r="G20" s="1675"/>
      <c r="H20" s="1675"/>
      <c r="I20" s="1676"/>
      <c r="L20" s="160">
        <v>18</v>
      </c>
      <c r="M20" s="623" t="s">
        <v>476</v>
      </c>
    </row>
    <row r="21" spans="1:13" ht="15" customHeight="1">
      <c r="A21" s="623" t="str">
        <f>Uebersetzung!D504</f>
        <v xml:space="preserve"> </v>
      </c>
      <c r="C21" s="1673"/>
      <c r="D21" s="1675"/>
      <c r="E21" s="1675"/>
      <c r="F21" s="1675"/>
      <c r="G21" s="1675"/>
      <c r="H21" s="1675"/>
      <c r="I21" s="1676"/>
      <c r="L21" s="160">
        <v>19</v>
      </c>
      <c r="M21" s="623" t="s">
        <v>148</v>
      </c>
    </row>
    <row r="22" spans="1:13" ht="15" customHeight="1">
      <c r="A22" s="623" t="str">
        <f>Uebersetzung!D505</f>
        <v>Klimakälte</v>
      </c>
      <c r="B22" s="623" t="s">
        <v>524</v>
      </c>
      <c r="C22" s="1687">
        <f>IF(Nachweis!G40&lt;&gt;0,Nachweis!G40,0)</f>
        <v>0</v>
      </c>
      <c r="D22" s="1688">
        <f>IF(Nachweis!H40&lt;&gt;0,Nachweis!H40,0)</f>
        <v>0</v>
      </c>
      <c r="E22" s="1688">
        <f>IF(Nachweis!I40&lt;&gt;0,Nachweis!I40,0)</f>
        <v>0</v>
      </c>
      <c r="F22" s="1688">
        <f>IF(Nachweis!J40&lt;&gt;0,Nachweis!J40,0)</f>
        <v>0</v>
      </c>
      <c r="G22" s="1675"/>
      <c r="H22" s="1675"/>
      <c r="I22" s="1676"/>
      <c r="L22" s="160">
        <v>20</v>
      </c>
      <c r="M22" s="623" t="s">
        <v>149</v>
      </c>
    </row>
    <row r="23" spans="1:13" ht="15" customHeight="1">
      <c r="A23" s="623" t="str">
        <f>Uebersetzung!D506</f>
        <v>Lüftung</v>
      </c>
      <c r="B23" s="623" t="s">
        <v>524</v>
      </c>
      <c r="C23" s="1687">
        <f>IF(Nachweis!G39&lt;&gt;0,Nachweis!G39,0)</f>
        <v>0</v>
      </c>
      <c r="D23" s="1688">
        <f>IF(Nachweis!H39&lt;&gt;0,Nachweis!H39,0)</f>
        <v>0</v>
      </c>
      <c r="E23" s="1688">
        <f>IF(Nachweis!I39&lt;&gt;0,Nachweis!I39,0)</f>
        <v>0</v>
      </c>
      <c r="F23" s="1688">
        <f>IF(Nachweis!J39&lt;&gt;0,Nachweis!J39,0)</f>
        <v>0</v>
      </c>
      <c r="G23" s="1675"/>
      <c r="H23" s="1675"/>
      <c r="I23" s="1676"/>
      <c r="L23" s="160">
        <v>21</v>
      </c>
      <c r="M23" s="623" t="s">
        <v>150</v>
      </c>
    </row>
    <row r="24" spans="1:13" ht="15" customHeight="1">
      <c r="A24" s="623" t="str">
        <f>Uebersetzung!D507</f>
        <v>Anzahl Wohneinheiten</v>
      </c>
      <c r="C24" s="1686">
        <f>IF(AND(MINERGIE!O25&gt;0,wohnen1),MINERGIE!O25,0)</f>
        <v>0</v>
      </c>
      <c r="D24" s="1683">
        <f>IF(AND(MINERGIE!P25&gt;0,wohnen2),MINERGIE!P25,0)</f>
        <v>0</v>
      </c>
      <c r="E24" s="1683">
        <f>IF(AND(MINERGIE!Q25&gt;0,wohnen3),MINERGIE!Q25,0)</f>
        <v>0</v>
      </c>
      <c r="F24" s="1683">
        <f>IF(AND(MINERGIE!R25&gt;0,wohnen4),MINERGIE!R25,0)</f>
        <v>0</v>
      </c>
      <c r="G24" s="1675"/>
      <c r="H24" s="1675"/>
      <c r="I24" s="1676"/>
      <c r="L24" s="160">
        <v>22</v>
      </c>
      <c r="M24" s="623" t="s">
        <v>151</v>
      </c>
    </row>
    <row r="25" spans="1:13" ht="15" customHeight="1">
      <c r="A25" s="623" t="str">
        <f>Uebersetzung!D508</f>
        <v>Bedarf Lift</v>
      </c>
      <c r="B25" s="623" t="s">
        <v>524</v>
      </c>
      <c r="C25" s="1697">
        <f>IF(AND(Eingaben!F19&gt;0,MINERGIE!O33&gt;0),MINERGIE!O33/Eingaben!F19,0)</f>
        <v>0</v>
      </c>
      <c r="D25" s="1698">
        <f>IF(AND(Eingaben!G19&gt;0,MINERGIE!P33&gt;0),MINERGIE!P33/Eingaben!G19,0)</f>
        <v>0</v>
      </c>
      <c r="E25" s="1698">
        <f>IF(AND(Eingaben!H19&gt;0,MINERGIE!Q33&gt;0),MINERGIE!Q33/Eingaben!H19,0)</f>
        <v>0</v>
      </c>
      <c r="F25" s="1698">
        <f>IF(AND(Eingaben!I19&gt;0,MINERGIE!R33&gt;0),MINERGIE!R33/Eingaben!I19,0)</f>
        <v>0</v>
      </c>
      <c r="G25" s="1675"/>
      <c r="H25" s="1675"/>
      <c r="I25" s="1676"/>
      <c r="L25" s="160">
        <v>23</v>
      </c>
      <c r="M25" s="623" t="s">
        <v>146</v>
      </c>
    </row>
    <row r="26" spans="1:13" ht="15" customHeight="1">
      <c r="A26" s="623" t="str">
        <f>Uebersetzung!D509</f>
        <v>Bedarf Heizbänder</v>
      </c>
      <c r="B26" s="623" t="s">
        <v>524</v>
      </c>
      <c r="C26" s="1686">
        <v>0</v>
      </c>
      <c r="D26" s="1683">
        <v>0</v>
      </c>
      <c r="E26" s="1683">
        <v>0</v>
      </c>
      <c r="F26" s="1683">
        <v>0</v>
      </c>
      <c r="G26" s="1675"/>
      <c r="H26" s="1675"/>
      <c r="I26" s="1676"/>
      <c r="L26" s="160">
        <v>24</v>
      </c>
      <c r="M26" s="623" t="s">
        <v>152</v>
      </c>
    </row>
    <row r="27" spans="1:13" ht="15" customHeight="1">
      <c r="A27" s="623" t="str">
        <f>Uebersetzung!D510</f>
        <v>Reduktion Geschirrspüler</v>
      </c>
      <c r="B27" s="623" t="s">
        <v>2591</v>
      </c>
      <c r="C27" s="1686">
        <f>1-MINERGIE!O34</f>
        <v>1</v>
      </c>
      <c r="D27" s="1683">
        <f>IF(D$18&lt;&gt;"",1-MINERGIE!P34,1)</f>
        <v>1</v>
      </c>
      <c r="E27" s="1683">
        <f>IF(E$18&lt;&gt;"",1-MINERGIE!Q34,1)</f>
        <v>1</v>
      </c>
      <c r="F27" s="1683">
        <f>IF(F$18&lt;&gt;"",1-MINERGIE!R34,1)</f>
        <v>1</v>
      </c>
      <c r="G27" s="1675"/>
      <c r="H27" s="1675"/>
      <c r="I27" s="1676"/>
      <c r="L27" s="160">
        <v>25</v>
      </c>
      <c r="M27" s="623" t="s">
        <v>520</v>
      </c>
    </row>
    <row r="28" spans="1:13" ht="15" customHeight="1">
      <c r="A28" s="623" t="str">
        <f>Uebersetzung!D511</f>
        <v>Reduktion Kühl- und Gefrierschränke</v>
      </c>
      <c r="B28" s="623" t="s">
        <v>2591</v>
      </c>
      <c r="C28" s="1686">
        <f>1-MINERGIE!O35</f>
        <v>1</v>
      </c>
      <c r="D28" s="1683">
        <f>IF(D$18&lt;&gt;"",1-MINERGIE!P35,1)</f>
        <v>1</v>
      </c>
      <c r="E28" s="1683">
        <f>IF(E$18&lt;&gt;"",1-MINERGIE!Q35,1)</f>
        <v>1</v>
      </c>
      <c r="F28" s="1683">
        <f>IF(F$18&lt;&gt;"",1-MINERGIE!R35,1)</f>
        <v>1</v>
      </c>
      <c r="G28" s="1675"/>
      <c r="H28" s="1675"/>
      <c r="I28" s="1676"/>
      <c r="L28" s="160">
        <v>26</v>
      </c>
      <c r="M28" s="623" t="s">
        <v>521</v>
      </c>
    </row>
    <row r="29" spans="1:13" ht="15" customHeight="1">
      <c r="A29" s="623" t="str">
        <f>Uebersetzung!D512</f>
        <v>Reduktion Waschmaschine</v>
      </c>
      <c r="B29" s="623" t="s">
        <v>2591</v>
      </c>
      <c r="C29" s="1686">
        <f>1-MINERGIE!O36</f>
        <v>1</v>
      </c>
      <c r="D29" s="1683">
        <f>IF(D$18&lt;&gt;"",1-MINERGIE!P36,1)</f>
        <v>1</v>
      </c>
      <c r="E29" s="1683">
        <f>IF(E$18&lt;&gt;"",1-MINERGIE!Q36,1)</f>
        <v>1</v>
      </c>
      <c r="F29" s="1683">
        <f>IF(F$18&lt;&gt;"",1-MINERGIE!R36,1)</f>
        <v>1</v>
      </c>
      <c r="G29" s="1675"/>
      <c r="H29" s="1675"/>
      <c r="I29" s="1676"/>
      <c r="L29" s="160">
        <v>27</v>
      </c>
      <c r="M29" s="623" t="s">
        <v>261</v>
      </c>
    </row>
    <row r="30" spans="1:13" ht="15" customHeight="1">
      <c r="A30" s="623" t="str">
        <f>Uebersetzung!D513</f>
        <v>Reduktion Wäschetrockner</v>
      </c>
      <c r="B30" s="623" t="s">
        <v>2591</v>
      </c>
      <c r="C30" s="1686">
        <f>1-MINERGIE!O37</f>
        <v>1</v>
      </c>
      <c r="D30" s="1683">
        <f>IF(D$18&lt;&gt;"",1-MINERGIE!P37,1)</f>
        <v>1</v>
      </c>
      <c r="E30" s="1683">
        <f>IF(E$18&lt;&gt;"",1-MINERGIE!Q37,1)</f>
        <v>1</v>
      </c>
      <c r="F30" s="1683">
        <f>IF(F$18&lt;&gt;"",1-MINERGIE!R37,1)</f>
        <v>1</v>
      </c>
      <c r="G30" s="1675"/>
      <c r="H30" s="1675"/>
      <c r="I30" s="1676"/>
      <c r="L30" s="160">
        <v>28</v>
      </c>
      <c r="M30" s="623" t="s">
        <v>437</v>
      </c>
    </row>
    <row r="31" spans="1:13" ht="15" customHeight="1">
      <c r="A31" s="623" t="str">
        <f>Uebersetzung!D514</f>
        <v>Reduktion Induktionskochherde</v>
      </c>
      <c r="B31" s="623" t="s">
        <v>2591</v>
      </c>
      <c r="C31" s="1686">
        <f>1-MINERGIE!O38</f>
        <v>1</v>
      </c>
      <c r="D31" s="1683">
        <f>IF(D$18&lt;&gt;"",1-MINERGIE!P38,1)</f>
        <v>1</v>
      </c>
      <c r="E31" s="1683">
        <f>IF(E$18&lt;&gt;"",1-MINERGIE!Q38,1)</f>
        <v>1</v>
      </c>
      <c r="F31" s="1683">
        <f>IF(F$18&lt;&gt;"",1-MINERGIE!R38,1)</f>
        <v>1</v>
      </c>
      <c r="G31" s="1675"/>
      <c r="H31" s="1675"/>
      <c r="I31" s="1676"/>
      <c r="L31" s="160">
        <v>29</v>
      </c>
      <c r="M31" s="623" t="s">
        <v>259</v>
      </c>
    </row>
    <row r="32" spans="1:13" ht="15" customHeight="1">
      <c r="A32" s="623" t="str">
        <f>Uebersetzung!D515</f>
        <v>Reduktion Wohnungsbeleuchtung</v>
      </c>
      <c r="B32" s="623" t="s">
        <v>2591</v>
      </c>
      <c r="C32" s="1686">
        <f>1-MINERGIE!O39</f>
        <v>1</v>
      </c>
      <c r="D32" s="1683">
        <f>IF(D$18&lt;&gt;"",1-MINERGIE!P39,1)</f>
        <v>1</v>
      </c>
      <c r="E32" s="1683">
        <f>IF(E$18&lt;&gt;"",1-MINERGIE!Q39,1)</f>
        <v>1</v>
      </c>
      <c r="F32" s="1683">
        <f>IF(F$18&lt;&gt;"",1-MINERGIE!R39,1)</f>
        <v>1</v>
      </c>
      <c r="G32" s="1675"/>
      <c r="H32" s="1675"/>
      <c r="I32" s="1676"/>
      <c r="L32" s="160">
        <v>30</v>
      </c>
      <c r="M32" s="623" t="s">
        <v>260</v>
      </c>
    </row>
    <row r="33" spans="1:13" ht="15" customHeight="1">
      <c r="A33" s="623" t="str">
        <f>Uebersetzung!D516</f>
        <v>Reduktion allgemeine Beleuchtung</v>
      </c>
      <c r="B33" s="623" t="s">
        <v>2591</v>
      </c>
      <c r="C33" s="1686">
        <f>1-MINERGIE!O40</f>
        <v>1</v>
      </c>
      <c r="D33" s="1683">
        <f>IF(D$18&lt;&gt;"",1-MINERGIE!P40,1)</f>
        <v>1</v>
      </c>
      <c r="E33" s="1683">
        <f>IF(E$18&lt;&gt;"",1-MINERGIE!Q40,1)</f>
        <v>1</v>
      </c>
      <c r="F33" s="1683">
        <f>IF(F$18&lt;&gt;"",1-MINERGIE!R40,1)</f>
        <v>1</v>
      </c>
      <c r="G33" s="1675"/>
      <c r="H33" s="1675"/>
      <c r="I33" s="1676"/>
      <c r="L33" s="160">
        <v>31</v>
      </c>
      <c r="M33" s="623" t="s">
        <v>322</v>
      </c>
    </row>
    <row r="34" spans="1:13" ht="15" customHeight="1">
      <c r="A34" s="623" t="str">
        <f>Uebersetzung!D517</f>
        <v>Reduktion Geräte Gebäudebetrieb</v>
      </c>
      <c r="B34" s="623" t="s">
        <v>2591</v>
      </c>
      <c r="C34" s="1686">
        <f>1-MINERGIE!O41</f>
        <v>1</v>
      </c>
      <c r="D34" s="1683">
        <f>IF(D$18&lt;&gt;"",1-MINERGIE!P41,1)</f>
        <v>1</v>
      </c>
      <c r="E34" s="1683">
        <f>IF(E$18&lt;&gt;"",1-MINERGIE!Q41,1)</f>
        <v>1</v>
      </c>
      <c r="F34" s="1683">
        <f>IF(F$18&lt;&gt;"",1-MINERGIE!R41,1)</f>
        <v>1</v>
      </c>
      <c r="G34" s="1675"/>
      <c r="H34" s="1675"/>
      <c r="I34" s="1676"/>
      <c r="L34" s="160">
        <v>32</v>
      </c>
      <c r="M34" s="623" t="s">
        <v>522</v>
      </c>
    </row>
    <row r="35" spans="1:13" ht="15" customHeight="1">
      <c r="A35" s="623" t="str">
        <f>Uebersetzung!D518</f>
        <v>Bedarf Beleuchtung Zweckbau Rechenwert</v>
      </c>
      <c r="B35" s="623" t="s">
        <v>524</v>
      </c>
      <c r="C35" s="1689">
        <f>IF(AND(MINERGIE!F50&gt;0,wohnen1=FALSE),MINERGIE!F50,0)</f>
        <v>0</v>
      </c>
      <c r="D35" s="1690">
        <f>IF(AND(MINERGIE!G50&gt;0,wohnen2=FALSE),MINERGIE!G50,0)</f>
        <v>0</v>
      </c>
      <c r="E35" s="1690">
        <f>IF(AND(MINERGIE!H50&gt;0,wohnen3=FALSE),MINERGIE!H50,0)</f>
        <v>0</v>
      </c>
      <c r="F35" s="1690">
        <f>IF(AND(MINERGIE!I50&gt;0,wohnen4=FALSE),MINERGIE!I50,0)</f>
        <v>0</v>
      </c>
      <c r="G35" s="1675"/>
      <c r="H35" s="1675"/>
      <c r="I35" s="1676"/>
      <c r="L35" s="160">
        <v>33</v>
      </c>
      <c r="M35" s="623" t="s">
        <v>523</v>
      </c>
    </row>
    <row r="36" spans="1:13" ht="15" customHeight="1">
      <c r="A36" s="623" t="str">
        <f>Uebersetzung!D519</f>
        <v>Bedarf Geräte Zweckbau Rechenwert</v>
      </c>
      <c r="B36" s="623" t="s">
        <v>524</v>
      </c>
      <c r="C36" s="1689">
        <f>IF(AND(MINERGIE!O59&gt;0,wohnen1=FALSE),MINERGIE!O59/2,0)</f>
        <v>0</v>
      </c>
      <c r="D36" s="1690">
        <f>IF(AND(MINERGIE!P59&gt;0,wohnen2=FALSE),MINERGIE!P59/2,0)</f>
        <v>0</v>
      </c>
      <c r="E36" s="1690">
        <f>IF(AND(MINERGIE!Q59&gt;0,wohnen3=FALSE),MINERGIE!Q59/2,0)</f>
        <v>0</v>
      </c>
      <c r="F36" s="1690">
        <f>IF(AND(MINERGIE!R59&gt;0,wohnen4=FALSE),MINERGIE!R59/2,0)</f>
        <v>0</v>
      </c>
      <c r="G36" s="1675"/>
      <c r="H36" s="1675"/>
      <c r="I36" s="1676"/>
      <c r="L36" s="160">
        <v>34</v>
      </c>
      <c r="M36" s="623" t="s">
        <v>2648</v>
      </c>
    </row>
    <row r="37" spans="1:13" ht="15" customHeight="1" thickBot="1">
      <c r="A37" s="623" t="str">
        <f>Uebersetzung!D520</f>
        <v>Bedarf AGT Zweckbau Rechenwert</v>
      </c>
      <c r="B37" s="623" t="s">
        <v>524</v>
      </c>
      <c r="C37" s="1691">
        <f>IF(AND(MINERGIE!O68&gt;0,wohnen1=FALSE),MINERGIE!O68/2,0)</f>
        <v>0</v>
      </c>
      <c r="D37" s="1692">
        <f>IF(AND(MINERGIE!P68&gt;0,wohnen2=FALSE),MINERGIE!P68/2,0)</f>
        <v>0</v>
      </c>
      <c r="E37" s="1692">
        <f>IF(AND(MINERGIE!Q68&gt;0,wohnen3=FALSE),MINERGIE!Q68/2,0)</f>
        <v>0</v>
      </c>
      <c r="F37" s="1692">
        <f>IF(AND(MINERGIE!R68&gt;0,wohnen4=FALSE),MINERGIE!R68/2,0)</f>
        <v>0</v>
      </c>
      <c r="G37" s="1679"/>
      <c r="H37" s="1679"/>
      <c r="I37" s="1680"/>
      <c r="L37" s="160">
        <v>35</v>
      </c>
      <c r="M37" s="623" t="s">
        <v>320</v>
      </c>
    </row>
    <row r="38" spans="1:13" ht="15" customHeight="1">
      <c r="L38" s="160">
        <v>36</v>
      </c>
      <c r="M38" s="623" t="s">
        <v>685</v>
      </c>
    </row>
    <row r="39" spans="1:13">
      <c r="L39" s="160">
        <v>37</v>
      </c>
      <c r="M39" s="623" t="s">
        <v>374</v>
      </c>
    </row>
    <row r="40" spans="1:13">
      <c r="L40" s="160">
        <v>38</v>
      </c>
      <c r="M40" s="623" t="s">
        <v>375</v>
      </c>
    </row>
    <row r="41" spans="1:13">
      <c r="L41" s="160">
        <v>39</v>
      </c>
      <c r="M41" s="623" t="s">
        <v>39</v>
      </c>
    </row>
    <row r="42" spans="1:13">
      <c r="L42" s="160">
        <v>40</v>
      </c>
      <c r="M42" s="623" t="s">
        <v>376</v>
      </c>
    </row>
    <row r="43" spans="1:13">
      <c r="L43" s="160">
        <v>41</v>
      </c>
      <c r="M43" s="623" t="s">
        <v>377</v>
      </c>
    </row>
    <row r="44" spans="1:13">
      <c r="L44" s="160">
        <v>42</v>
      </c>
      <c r="M44" s="623" t="s">
        <v>357</v>
      </c>
    </row>
    <row r="45" spans="1:13">
      <c r="L45" s="160">
        <v>43</v>
      </c>
      <c r="M45" s="623" t="s">
        <v>497</v>
      </c>
    </row>
    <row r="46" spans="1:13">
      <c r="L46" s="160">
        <v>44</v>
      </c>
      <c r="M46" s="623" t="s">
        <v>1231</v>
      </c>
    </row>
    <row r="47" spans="1:13">
      <c r="L47" s="160">
        <v>45</v>
      </c>
      <c r="M47" s="623" t="s">
        <v>1233</v>
      </c>
    </row>
    <row r="48" spans="1:13">
      <c r="L48" s="160">
        <v>46</v>
      </c>
      <c r="M48" s="623" t="s">
        <v>1232</v>
      </c>
    </row>
    <row r="49" spans="12:13">
      <c r="L49" s="160">
        <v>47</v>
      </c>
      <c r="M49" s="623" t="str">
        <f>Standardwerte!T152</f>
        <v>Kompakt-WP mit Zu- &amp; Abluft / WW ohne WRG (nur WW)</v>
      </c>
    </row>
    <row r="50" spans="12:13">
      <c r="L50" s="160">
        <v>48</v>
      </c>
      <c r="M50" s="623" t="str">
        <f>Standardwerte!T153</f>
        <v>Biomasse, hydraulisch eingebunden</v>
      </c>
    </row>
    <row r="51" spans="12:13">
      <c r="L51" s="160"/>
    </row>
  </sheetData>
  <sheetProtection password="C616"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361</vt:i4>
      </vt:variant>
    </vt:vector>
  </HeadingPairs>
  <TitlesOfParts>
    <vt:vector size="371" baseType="lpstr">
      <vt:lpstr>Eingaben</vt:lpstr>
      <vt:lpstr>MINERGIE</vt:lpstr>
      <vt:lpstr>Sommer</vt:lpstr>
      <vt:lpstr>Nachweis</vt:lpstr>
      <vt:lpstr>Uebersicht</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Eingaben!Druckbereich</vt:lpstr>
      <vt:lpstr>MINERGIE!Druckbereich</vt:lpstr>
      <vt:lpstr>Nachweis!Druckbereich</vt:lpstr>
      <vt:lpstr>Sommer!Druckbereich</vt:lpstr>
      <vt:lpstr>Standardwerte!Druckbereich</vt:lpstr>
      <vt:lpstr>Uebersicht!Druckbereich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V2.3</dc:title>
  <dc:subject>Rechnerischer Nachweis EN101b / MINERGIE-Nachweis</dc:subject>
  <dc:creator>ENDK / MINERGIE</dc:creator>
  <dc:description>Entwicklungsstand MINERGIE 29. Mai 2019. _x000d_
Anpassungen gemäss Reglement 2019.1</dc:description>
  <cp:lastModifiedBy>Christian Stünzi</cp:lastModifiedBy>
  <cp:lastPrinted>2018-12-21T16:56:51Z</cp:lastPrinted>
  <dcterms:created xsi:type="dcterms:W3CDTF">1998-04-16T12:19:12Z</dcterms:created>
  <dcterms:modified xsi:type="dcterms:W3CDTF">2019-08-19T11:35:59Z</dcterms:modified>
  <cp:category>Energienachweis MUKEN 2014 / MINERGIE-Nachweis 2019</cp:category>
</cp:coreProperties>
</file>