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showInkAnnotation="0" codeName="DieseArbeitsmappe"/>
  <mc:AlternateContent xmlns:mc="http://schemas.openxmlformats.org/markup-compatibility/2006">
    <mc:Choice Requires="x15">
      <x15ac:absPath xmlns:x15ac="http://schemas.microsoft.com/office/spreadsheetml/2010/11/ac" url="U:\4_Zertifizierung\41_Dokumente\422_Minergie-P-A\03_Nachweisformular\02_Systemerneuerung\02_Arbeitsversionen\"/>
    </mc:Choice>
  </mc:AlternateContent>
  <xr:revisionPtr revIDLastSave="0" documentId="13_ncr:1_{98F8DCAF-7F23-4D27-A7E7-2C6973DAFE94}" xr6:coauthVersionLast="40" xr6:coauthVersionMax="40" xr10:uidLastSave="{00000000-0000-0000-0000-000000000000}"/>
  <bookViews>
    <workbookView xWindow="0" yWindow="0" windowWidth="28800" windowHeight="13425" tabRatio="620" xr2:uid="{00000000-000D-0000-FFFF-FFFF00000000}"/>
  </bookViews>
  <sheets>
    <sheet name="Hülle &amp; Elektrizität" sheetId="33254" r:id="rId1"/>
    <sheet name="Sommer &amp; Unterlagen" sheetId="33255" r:id="rId2"/>
    <sheet name="Uebersetzung" sheetId="1" state="hidden" r:id="rId3"/>
    <sheet name="Log" sheetId="8194" state="hidden" r:id="rId4"/>
  </sheets>
  <definedNames>
    <definedName name="_a0">#REF!</definedName>
    <definedName name="_a0WP">#REF!</definedName>
    <definedName name="_a10">#REF!</definedName>
    <definedName name="_a10WP">#REF!</definedName>
    <definedName name="_a5">#REF!</definedName>
    <definedName name="_a5WP">#REF!</definedName>
    <definedName name="_b0">#REF!</definedName>
    <definedName name="_b0WP">#REF!</definedName>
    <definedName name="_b10">#REF!</definedName>
    <definedName name="_b10WP">#REF!</definedName>
    <definedName name="_b5">#REF!</definedName>
    <definedName name="_b5WP">#REF!</definedName>
    <definedName name="_EBF1">#REF!</definedName>
    <definedName name="_EBF2">#REF!</definedName>
    <definedName name="_EBF3">#REF!</definedName>
    <definedName name="_EBF4">#REF!</definedName>
    <definedName name="_gew1">#REF!</definedName>
    <definedName name="_gew2">#REF!</definedName>
    <definedName name="_gew3">#REF!</definedName>
    <definedName name="_gew4">#REF!</definedName>
    <definedName name="_gew5">#REF!</definedName>
    <definedName name="_LER1">#REF!</definedName>
    <definedName name="_LER2">#REF!</definedName>
    <definedName name="_LER3">#REF!</definedName>
    <definedName name="_LER4">#REF!</definedName>
    <definedName name="_neu1">'Hülle &amp; Elektrizität'!$O$24</definedName>
    <definedName name="_neu2">'Hülle &amp; Elektrizität'!$P$24</definedName>
    <definedName name="_neu3">'Hülle &amp; Elektrizität'!$Q$24</definedName>
    <definedName name="_neu4">'Hülle &amp; Elektrizität'!$R$24</definedName>
    <definedName name="_Neubau">#REF!</definedName>
    <definedName name="_nL1">#REF!</definedName>
    <definedName name="_nL2">#REF!</definedName>
    <definedName name="_nL3">#REF!</definedName>
    <definedName name="_nL4">#REF!</definedName>
    <definedName name="_nL50">#REF!</definedName>
    <definedName name="_Qe1">#REF!</definedName>
    <definedName name="_Qe2">#REF!</definedName>
    <definedName name="_Qe3">#REF!</definedName>
    <definedName name="_Qe4">#REF!</definedName>
    <definedName name="_Qel1">#REF!</definedName>
    <definedName name="_Qel2">#REF!</definedName>
    <definedName name="_Qel3">#REF!</definedName>
    <definedName name="_Qel4">#REF!</definedName>
    <definedName name="_qh1">#REF!</definedName>
    <definedName name="_qh2">#REF!</definedName>
    <definedName name="_qh3">#REF!</definedName>
    <definedName name="_qh4">#REF!</definedName>
    <definedName name="_qhs1">#REF!</definedName>
    <definedName name="_qhs2">#REF!</definedName>
    <definedName name="_qhs3">#REF!</definedName>
    <definedName name="_qhs4">#REF!</definedName>
    <definedName name="_qw1">#REF!</definedName>
    <definedName name="_qw2">#REF!</definedName>
    <definedName name="_qw3">#REF!</definedName>
    <definedName name="_qw4">#REF!</definedName>
    <definedName name="_typ1">#REF!</definedName>
    <definedName name="_typ2">#REF!</definedName>
    <definedName name="_typ3">#REF!</definedName>
    <definedName name="_typ4">#REF!</definedName>
    <definedName name="_vo">#REF!</definedName>
    <definedName name="_Vth1">#REF!</definedName>
    <definedName name="_Vth2">#REF!</definedName>
    <definedName name="_Vth3">#REF!</definedName>
    <definedName name="_Vth4">#REF!</definedName>
    <definedName name="_WRG1">#REF!</definedName>
    <definedName name="_WRG2">#REF!</definedName>
    <definedName name="_WRG3">#REF!</definedName>
    <definedName name="_WRG4">#REF!</definedName>
    <definedName name="_WW1">#REF!</definedName>
    <definedName name="_WW2">#REF!</definedName>
    <definedName name="_WW3">#REF!</definedName>
    <definedName name="_WW4">#REF!</definedName>
    <definedName name="_x0">#REF!</definedName>
    <definedName name="_x0WP">#REF!</definedName>
    <definedName name="_x10">#REF!</definedName>
    <definedName name="_x10WP">#REF!</definedName>
    <definedName name="_x5">#REF!</definedName>
    <definedName name="_x5WP">#REF!</definedName>
    <definedName name="abgabe1">#REF!</definedName>
    <definedName name="abgabe2">#REF!</definedName>
    <definedName name="abgabe3">#REF!</definedName>
    <definedName name="abgabe4">#REF!</definedName>
    <definedName name="AbluftWP">#REF!</definedName>
    <definedName name="ACDC1">#REF!</definedName>
    <definedName name="ACDC2">#REF!</definedName>
    <definedName name="ACDC3">#REF!</definedName>
    <definedName name="ACDC4">#REF!</definedName>
    <definedName name="AEBF">#REF!</definedName>
    <definedName name="AEBF1">#REF!</definedName>
    <definedName name="AEBF2">#REF!</definedName>
    <definedName name="AEBF3">#REF!</definedName>
    <definedName name="AEBF4">#REF!</definedName>
    <definedName name="Anetto_AEBF1">#REF!</definedName>
    <definedName name="Anetto_AEBF2">#REF!</definedName>
    <definedName name="Anetto_AEBF3">#REF!</definedName>
    <definedName name="Anetto_AEBF4">#REF!</definedName>
    <definedName name="Anteil_WP">'Hülle &amp; Elektrizität'!$AI$64</definedName>
    <definedName name="auswahl1">#REF!</definedName>
    <definedName name="auswahl2">#REF!</definedName>
    <definedName name="auswahl3">#REF!</definedName>
    <definedName name="auswahl4">#REF!</definedName>
    <definedName name="auswahl5">#REF!</definedName>
    <definedName name="auswahl6">#REF!</definedName>
    <definedName name="auswahl7">#REF!</definedName>
    <definedName name="auswahl8">#REF!</definedName>
    <definedName name="auswahl9">#REF!</definedName>
    <definedName name="BadMisch">#REF!</definedName>
    <definedName name="behördlicher_Nachweis">Nachweistyp</definedName>
    <definedName name="beta">#REF!</definedName>
    <definedName name="beta1">#REF!</definedName>
    <definedName name="beta2">#REF!</definedName>
    <definedName name="beta3">#REF!</definedName>
    <definedName name="beta4">#REF!</definedName>
    <definedName name="BioSolar">#REF!</definedName>
    <definedName name="Bueronutzung">#REF!</definedName>
    <definedName name="C_Bat">'Hülle &amp; Elektrizität'!$AI$70</definedName>
    <definedName name="DeckungsgradHeizung">#REF!</definedName>
    <definedName name="DeckungsgradWW">#REF!</definedName>
    <definedName name="_xlnm.Print_Area" localSheetId="0">'Hülle &amp; Elektrizität'!$A$1:$L$55</definedName>
    <definedName name="_xlnm.Print_Area" localSheetId="1">'Sommer &amp; Unterlagen'!$A$1:$N$55</definedName>
    <definedName name="e_1">#REF!</definedName>
    <definedName name="e_2">#REF!</definedName>
    <definedName name="e_3">#REF!</definedName>
    <definedName name="e_4">#REF!</definedName>
    <definedName name="E_Qk">#REF!</definedName>
    <definedName name="E_Qk1">#REF!</definedName>
    <definedName name="E_Qk11">#REF!</definedName>
    <definedName name="E_Qk2">#REF!</definedName>
    <definedName name="E_Qk22">#REF!</definedName>
    <definedName name="E_Qk3">#REF!</definedName>
    <definedName name="E_Qk33">#REF!</definedName>
    <definedName name="E_Qk4">#REF!</definedName>
    <definedName name="E_Qk44">#REF!</definedName>
    <definedName name="EBF">#REF!</definedName>
    <definedName name="EBF_MUKEN">#REF!</definedName>
    <definedName name="EBFo">#REF!</definedName>
    <definedName name="EBFo1">#REF!</definedName>
    <definedName name="EBFo2">#REF!</definedName>
    <definedName name="EBFo3">#REF!</definedName>
    <definedName name="EBFo4">#REF!</definedName>
    <definedName name="ECAC1">#REF!</definedName>
    <definedName name="ECAC2">#REF!</definedName>
    <definedName name="ECAC3">#REF!</definedName>
    <definedName name="ECAC4">#REF!</definedName>
    <definedName name="EFH">#REF!</definedName>
    <definedName name="Einheit">#REF!</definedName>
    <definedName name="Einheiten">#REF!</definedName>
    <definedName name="Einwirkseiten1">#REF!</definedName>
    <definedName name="Einwirkseiten2">#REF!</definedName>
    <definedName name="Einwirkseiten3">#REF!</definedName>
    <definedName name="Einwirkseiten4">#REF!</definedName>
    <definedName name="einzel1">#REF!</definedName>
    <definedName name="Einzelanwendung">#REF!</definedName>
    <definedName name="EndenergieA">#REF!</definedName>
    <definedName name="EndenergieB">#REF!</definedName>
    <definedName name="EndenergieC">#REF!</definedName>
    <definedName name="EndenergieD">#REF!</definedName>
    <definedName name="EndenergieE">#REF!</definedName>
    <definedName name="Erzeugung">#REF!</definedName>
    <definedName name="f_fr_PV">'Hülle &amp; Elektrizität'!$AI$69</definedName>
    <definedName name="F_s1">#REF!</definedName>
    <definedName name="F_s2">#REF!</definedName>
    <definedName name="F_s3">#REF!</definedName>
    <definedName name="F_s4">#REF!</definedName>
    <definedName name="Fehler_Neuzertifizierung">#REF!</definedName>
    <definedName name="Fehler1">#REF!</definedName>
    <definedName name="Fehler2">#REF!</definedName>
    <definedName name="Fehler3">#REF!</definedName>
    <definedName name="FehlerLüftung1">#REF!</definedName>
    <definedName name="FehlerLüftung2">#REF!</definedName>
    <definedName name="FehlerLüftung3">#REF!</definedName>
    <definedName name="Gebäudekategorie">#REF!</definedName>
    <definedName name="Gebuehr">#REF!</definedName>
    <definedName name="Grau">#REF!</definedName>
    <definedName name="Grau_Grenz">#REF!</definedName>
    <definedName name="GrenzwertMINERGIE">#REF!</definedName>
    <definedName name="hlicht1">#REF!</definedName>
    <definedName name="hlicht2">#REF!</definedName>
    <definedName name="hlicht3">#REF!</definedName>
    <definedName name="hlicht4">#REF!</definedName>
    <definedName name="Hoehe">#REF!</definedName>
    <definedName name="Industrienutzung">#REF!</definedName>
    <definedName name="JA">'Hülle &amp; Elektrizität'!$AK$1:$AL$1</definedName>
    <definedName name="JaNein">#REF!</definedName>
    <definedName name="Kanton">'Hülle &amp; Elektrizität'!$BB$99</definedName>
    <definedName name="Kanton_1">'Hülle &amp; Elektrizität'!$BC$101:$BC$128</definedName>
    <definedName name="Kanton_Kompie">'Hülle &amp; Elektrizität'!$BB$33</definedName>
    <definedName name="Kanton_Kopie2">'Hülle &amp; Elektrizität'!$BB$33</definedName>
    <definedName name="Kanton1">#REF!</definedName>
    <definedName name="Kategorie1">#REF!</definedName>
    <definedName name="Kategorie2">#REF!</definedName>
    <definedName name="Kategorie3">#REF!</definedName>
    <definedName name="Kategorie4">#REF!</definedName>
    <definedName name="Kleinanlagen1">#REF!</definedName>
    <definedName name="Kleinanlagen2">#REF!</definedName>
    <definedName name="Kleinanlagen3">#REF!</definedName>
    <definedName name="Kleinanlagen4">#REF!</definedName>
    <definedName name="Klima">#REF!</definedName>
    <definedName name="klima1">#REF!</definedName>
    <definedName name="klima2">#REF!</definedName>
    <definedName name="klima3">#REF!</definedName>
    <definedName name="klima4">#REF!</definedName>
    <definedName name="Klimastation">'Hülle &amp; Elektrizität'!$BC$10:$BC$50</definedName>
    <definedName name="Komfort1">#REF!</definedName>
    <definedName name="Komfort2">#REF!</definedName>
    <definedName name="Komfort3">#REF!</definedName>
    <definedName name="Komfort4">#REF!</definedName>
    <definedName name="Kompensation_PV">#REF!</definedName>
    <definedName name="LER_Reduktion1">#REF!</definedName>
    <definedName name="LER_Reduktion2">#REF!</definedName>
    <definedName name="LER_Reduktion3">#REF!</definedName>
    <definedName name="LER_Reduktion4">#REF!</definedName>
    <definedName name="LER_Text0">#REF!</definedName>
    <definedName name="LER_Text1">#REF!</definedName>
    <definedName name="LER_Text2">#REF!</definedName>
    <definedName name="LER_Text3">#REF!</definedName>
    <definedName name="LER_Text4">#REF!</definedName>
    <definedName name="LER_Text5">#REF!</definedName>
    <definedName name="LER_Text6">#REF!</definedName>
    <definedName name="LER_Text7">#REF!</definedName>
    <definedName name="Luftheizung">#REF!</definedName>
    <definedName name="Lüftung1">#REF!</definedName>
    <definedName name="Lüftung2">#REF!</definedName>
    <definedName name="Lüftung3">#REF!</definedName>
    <definedName name="Lüftung4">#REF!</definedName>
    <definedName name="Lüftungstyp">#REF!</definedName>
    <definedName name="mehr1">#REF!</definedName>
    <definedName name="Mehrfachanwendung">#REF!</definedName>
    <definedName name="Mieter1">'Hülle &amp; Elektrizität'!$O$55</definedName>
    <definedName name="Mieter2">'Hülle &amp; Elektrizität'!$P$55</definedName>
    <definedName name="Mieter3">'Hülle &amp; Elektrizität'!$Q$55</definedName>
    <definedName name="Mieter4">'Hülle &amp; Elektrizität'!$R$55</definedName>
    <definedName name="mineco">#REF!</definedName>
    <definedName name="MINERGIE_Wert">#REF!</definedName>
    <definedName name="minergiea">#REF!</definedName>
    <definedName name="minergiep">#REF!</definedName>
    <definedName name="MUKEN">#REF!</definedName>
    <definedName name="Nachweistyp">#REF!</definedName>
    <definedName name="Nachzertifizierung">#REF!</definedName>
    <definedName name="Nein">'Hülle &amp; Elektrizität'!$AL$1</definedName>
    <definedName name="Neubau">#REF!</definedName>
    <definedName name="Neubau1">#REF!</definedName>
    <definedName name="Neubau2">#REF!</definedName>
    <definedName name="Neubau3">#REF!</definedName>
    <definedName name="Neubau4">#REF!</definedName>
    <definedName name="nL50_1">#REF!</definedName>
    <definedName name="nL50_2">#REF!</definedName>
    <definedName name="nL50_3">#REF!</definedName>
    <definedName name="nL50_4">#REF!</definedName>
    <definedName name="nurBadnutzung">#REF!</definedName>
    <definedName name="Nutzung1">#REF!</definedName>
    <definedName name="Oekostrom">#REF!</definedName>
    <definedName name="Primaer1">#REF!</definedName>
    <definedName name="Primaer2">#REF!</definedName>
    <definedName name="Primaer3">#REF!</definedName>
    <definedName name="Primaer4">#REF!</definedName>
    <definedName name="Primaeranf">#REF!</definedName>
    <definedName name="Primaeranf1">#REF!</definedName>
    <definedName name="Primaeranf2">#REF!</definedName>
    <definedName name="Primaeranf3">#REF!</definedName>
    <definedName name="Primaeranf4">#REF!</definedName>
    <definedName name="Primaeranforderung">#REF!</definedName>
    <definedName name="Projekt1">'Hülle &amp; Elektrizität'!$C$12</definedName>
    <definedName name="Projekt2">#REF!</definedName>
    <definedName name="Projekt3">#REF!</definedName>
    <definedName name="Projekt4">'Hülle &amp; Elektrizität'!$C$13</definedName>
    <definedName name="Qe">#REF!</definedName>
    <definedName name="Qe_vollständig">#REF!</definedName>
    <definedName name="qh">#REF!</definedName>
    <definedName name="qh_vollständig">#REF!</definedName>
    <definedName name="qhmax">#REF!</definedName>
    <definedName name="qhmax1">#REF!</definedName>
    <definedName name="qhmax2">#REF!</definedName>
    <definedName name="qhmax3">#REF!</definedName>
    <definedName name="qhmax4">#REF!</definedName>
    <definedName name="qhs">#REF!</definedName>
    <definedName name="qhs_vollständig">#REF!</definedName>
    <definedName name="qw">#REF!</definedName>
    <definedName name="Raum1">#REF!</definedName>
    <definedName name="Raum2">#REF!</definedName>
    <definedName name="Raum3">#REF!</definedName>
    <definedName name="Raum4">#REF!</definedName>
    <definedName name="Reduktion">#REF!</definedName>
    <definedName name="REFH">#REF!</definedName>
    <definedName name="Schulnutzung">#REF!</definedName>
    <definedName name="Standardlüftung">#REF!</definedName>
    <definedName name="Standardlüftung1">#REF!</definedName>
    <definedName name="Standardlüftung2">#REF!</definedName>
    <definedName name="Standardlüftung3">#REF!</definedName>
    <definedName name="Standardlüftung4">#REF!</definedName>
    <definedName name="StrombedarfE">#REF!</definedName>
    <definedName name="Thetaea">#REF!</definedName>
    <definedName name="THG_andere">#REF!</definedName>
    <definedName name="THG_PV">#REF!</definedName>
    <definedName name="THG_Strom">#REF!</definedName>
    <definedName name="VEBFo1">#REF!</definedName>
    <definedName name="VEBFo2">#REF!</definedName>
    <definedName name="VEBFo3">#REF!</definedName>
    <definedName name="VEBFo4">#REF!</definedName>
    <definedName name="Verkaufsnutzung">#REF!</definedName>
    <definedName name="vo">#REF!</definedName>
    <definedName name="VSup1">#REF!</definedName>
    <definedName name="VSup2">#REF!</definedName>
    <definedName name="VSup3">#REF!</definedName>
    <definedName name="VSup4">#REF!</definedName>
    <definedName name="Vth">#REF!</definedName>
    <definedName name="vx">#REF!</definedName>
    <definedName name="WaermebedarfA">#REF!</definedName>
    <definedName name="WaermebedarfB">#REF!</definedName>
    <definedName name="WaermebedarfC">#REF!</definedName>
    <definedName name="WaermebedarfD">#REF!</definedName>
    <definedName name="WaermebedarfE">#REF!</definedName>
    <definedName name="Waermepumpe">#REF!</definedName>
    <definedName name="Warmwasser">#REF!</definedName>
    <definedName name="WirkungsgradA">#REF!</definedName>
    <definedName name="WirkungsgradB">#REF!</definedName>
    <definedName name="WirkungsgradC">#REF!</definedName>
    <definedName name="WirkungsgradD">#REF!</definedName>
    <definedName name="wkk">#REF!</definedName>
    <definedName name="wohnen1">'Hülle &amp; Elektrizität'!$O$33</definedName>
    <definedName name="wohnen2">'Hülle &amp; Elektrizität'!$P$33</definedName>
    <definedName name="wohnen3">'Hülle &amp; Elektrizität'!$Q$33</definedName>
    <definedName name="wohnen4">'Hülle &amp; Elektrizität'!$R$33</definedName>
    <definedName name="wohnnutzung">#REF!</definedName>
    <definedName name="WRG">#REF!</definedName>
    <definedName name="WRG_1">#REF!</definedName>
    <definedName name="WRG_2">#REF!</definedName>
    <definedName name="WRG_3">#REF!</definedName>
    <definedName name="WRG_4">#REF!</definedName>
    <definedName name="WRG0">#REF!</definedName>
    <definedName name="WRGtyp1">#REF!</definedName>
    <definedName name="WRGtyp2">#REF!</definedName>
    <definedName name="WRGtyp3">#REF!</definedName>
    <definedName name="WRGtyp4">#REF!</definedName>
    <definedName name="ww_1">#REF!</definedName>
    <definedName name="ww_2">#REF!</definedName>
    <definedName name="ww_3">#REF!</definedName>
    <definedName name="ww_4">#REF!</definedName>
    <definedName name="ww_erneuerbar">#REF!</definedName>
    <definedName name="WWBonus">#REF!</definedName>
    <definedName name="WWBonus1">#REF!</definedName>
    <definedName name="WWBonus2">#REF!</definedName>
    <definedName name="WWBonus3">#REF!</definedName>
    <definedName name="WWBonus4">#REF!</definedName>
    <definedName name="WWMIN1">#REF!</definedName>
    <definedName name="WWMIN2">#REF!</definedName>
    <definedName name="WWMIN3">#REF!</definedName>
    <definedName name="WWMIN4">#REF!</definedName>
    <definedName name="WWSoll">#REF!</definedName>
    <definedName name="Zertifikat1">#REF!</definedName>
    <definedName name="Zertifikat2">#REF!</definedName>
    <definedName name="Zertifikat3">#REF!</definedName>
    <definedName name="Zertifikat4">#REF!</definedName>
    <definedName name="Zone1">#REF!</definedName>
    <definedName name="Zone2">#REF!</definedName>
    <definedName name="Zone3">#REF!</definedName>
    <definedName name="Zone4">#REF!</definedName>
    <definedName name="Zonen">#REF!</definedName>
    <definedName name="Zonen_vollständig">#REF!</definedName>
    <definedName name="Zweckbau">'Hülle &amp; Elektrizität'!#REF!</definedName>
    <definedName name="Zweckumbau">'Hülle &amp; Elektrizität'!#REF!</definedName>
    <definedName name="Zweckumbau1">'Hülle &amp; Elektrizität'!#REF!</definedName>
    <definedName name="Zweckumbau2">'Hülle &amp; Elektrizität'!#REF!</definedName>
    <definedName name="Zweckumbau3">'Hülle &amp; Elektrizität'!#REF!</definedName>
    <definedName name="Zweckumbau4">'Hülle &amp; Elektrizität'!#REF!</definedName>
  </definedNames>
  <calcPr calcId="181029"/>
</workbook>
</file>

<file path=xl/calcChain.xml><?xml version="1.0" encoding="utf-8"?>
<calcChain xmlns="http://schemas.openxmlformats.org/spreadsheetml/2006/main">
  <c r="AH6" i="33255" l="1"/>
  <c r="AR24" i="33254"/>
  <c r="AU18" i="33254" s="1"/>
  <c r="AK18" i="33255"/>
  <c r="AK11" i="33255"/>
  <c r="AM11" i="33255"/>
  <c r="BH132" i="33254"/>
  <c r="BH133" i="33254"/>
  <c r="BH134" i="33254"/>
  <c r="BH135" i="33254"/>
  <c r="BH136" i="33254"/>
  <c r="BH137" i="33254"/>
  <c r="BH138" i="33254"/>
  <c r="BH139" i="33254"/>
  <c r="BH140" i="33254"/>
  <c r="BH141" i="33254"/>
  <c r="BH142" i="33254"/>
  <c r="BH143" i="33254"/>
  <c r="BH144" i="33254"/>
  <c r="BH145" i="33254"/>
  <c r="BH146" i="33254"/>
  <c r="BH147" i="33254"/>
  <c r="BH148" i="33254"/>
  <c r="BH149" i="33254"/>
  <c r="BH150" i="33254"/>
  <c r="BH151" i="33254"/>
  <c r="BH152" i="33254"/>
  <c r="BH153" i="33254"/>
  <c r="BH154" i="33254"/>
  <c r="BH155" i="33254"/>
  <c r="BH156" i="33254"/>
  <c r="BH157" i="33254"/>
  <c r="BG132" i="33254"/>
  <c r="BG133" i="33254"/>
  <c r="BG134" i="33254"/>
  <c r="BG135" i="33254"/>
  <c r="BG136" i="33254"/>
  <c r="BG137" i="33254"/>
  <c r="BG138" i="33254"/>
  <c r="BG139" i="33254"/>
  <c r="BG140" i="33254"/>
  <c r="BG141" i="33254"/>
  <c r="BG142" i="33254"/>
  <c r="BG143" i="33254"/>
  <c r="BG144" i="33254"/>
  <c r="BG145" i="33254"/>
  <c r="BG146" i="33254"/>
  <c r="BG147" i="33254"/>
  <c r="BG148" i="33254"/>
  <c r="BG149" i="33254"/>
  <c r="BG150" i="33254"/>
  <c r="BG151" i="33254"/>
  <c r="BG152" i="33254"/>
  <c r="BG153" i="33254"/>
  <c r="BG154" i="33254"/>
  <c r="BG155" i="33254"/>
  <c r="BG156" i="33254"/>
  <c r="BG157" i="33254"/>
  <c r="BF132" i="33254"/>
  <c r="BF133" i="33254"/>
  <c r="BF134" i="33254"/>
  <c r="BF135" i="33254"/>
  <c r="BF136" i="33254"/>
  <c r="BF137" i="33254"/>
  <c r="BF138" i="33254"/>
  <c r="BF139" i="33254"/>
  <c r="BF140" i="33254"/>
  <c r="BF141" i="33254"/>
  <c r="BF142" i="33254"/>
  <c r="BF143" i="33254"/>
  <c r="BF144" i="33254"/>
  <c r="BF145" i="33254"/>
  <c r="BF146" i="33254"/>
  <c r="BF147" i="33254"/>
  <c r="BF148" i="33254"/>
  <c r="BF149" i="33254"/>
  <c r="BF150" i="33254"/>
  <c r="BF151" i="33254"/>
  <c r="BF152" i="33254"/>
  <c r="BF153" i="33254"/>
  <c r="BF154" i="33254"/>
  <c r="BF155" i="33254"/>
  <c r="BF156" i="33254"/>
  <c r="BF157" i="33254"/>
  <c r="BE132" i="33254"/>
  <c r="BE133" i="33254"/>
  <c r="BE134" i="33254"/>
  <c r="BE135" i="33254"/>
  <c r="BE136" i="33254"/>
  <c r="BE137" i="33254"/>
  <c r="BE138" i="33254"/>
  <c r="BE139" i="33254"/>
  <c r="BE140" i="33254"/>
  <c r="BE141" i="33254"/>
  <c r="BE142" i="33254"/>
  <c r="BE143" i="33254"/>
  <c r="BE144" i="33254"/>
  <c r="BE145" i="33254"/>
  <c r="BE146" i="33254"/>
  <c r="BE147" i="33254"/>
  <c r="BE148" i="33254"/>
  <c r="BE149" i="33254"/>
  <c r="BE150" i="33254"/>
  <c r="BE151" i="33254"/>
  <c r="BE152" i="33254"/>
  <c r="BE153" i="33254"/>
  <c r="BE154" i="33254"/>
  <c r="BE155" i="33254"/>
  <c r="BE156" i="33254"/>
  <c r="BE157" i="33254"/>
  <c r="BD132" i="33254"/>
  <c r="BD133" i="33254"/>
  <c r="BD134" i="33254"/>
  <c r="BD135" i="33254"/>
  <c r="BD136" i="33254"/>
  <c r="BD137" i="33254"/>
  <c r="BD138" i="33254"/>
  <c r="BD139" i="33254"/>
  <c r="BD140" i="33254"/>
  <c r="BD141" i="33254"/>
  <c r="BD142" i="33254"/>
  <c r="BD143" i="33254"/>
  <c r="BD144" i="33254"/>
  <c r="BD145" i="33254"/>
  <c r="BD146" i="33254"/>
  <c r="BD147" i="33254"/>
  <c r="BD148" i="33254"/>
  <c r="BD149" i="33254"/>
  <c r="BD150" i="33254"/>
  <c r="BD151" i="33254"/>
  <c r="BD152" i="33254"/>
  <c r="BD153" i="33254"/>
  <c r="BD154" i="33254"/>
  <c r="BD155" i="33254"/>
  <c r="BD156" i="33254"/>
  <c r="BD157" i="33254"/>
  <c r="BE131" i="33254"/>
  <c r="BF131" i="33254"/>
  <c r="BG131" i="33254"/>
  <c r="BH131" i="33254"/>
  <c r="BD131" i="33254"/>
  <c r="BC132" i="33254"/>
  <c r="BC133" i="33254"/>
  <c r="BC134" i="33254"/>
  <c r="BC135" i="33254"/>
  <c r="BC136" i="33254"/>
  <c r="BC137" i="33254"/>
  <c r="BC138" i="33254"/>
  <c r="BC139" i="33254"/>
  <c r="BC140" i="33254"/>
  <c r="BC141" i="33254"/>
  <c r="BC142" i="33254"/>
  <c r="BC143" i="33254"/>
  <c r="BC144" i="33254"/>
  <c r="BC145" i="33254"/>
  <c r="BC146" i="33254"/>
  <c r="BC147" i="33254"/>
  <c r="BC148" i="33254"/>
  <c r="BC149" i="33254"/>
  <c r="BC150" i="33254"/>
  <c r="BC151" i="33254"/>
  <c r="BC152" i="33254"/>
  <c r="BC153" i="33254"/>
  <c r="BC154" i="33254"/>
  <c r="BC155" i="33254"/>
  <c r="BC156" i="33254"/>
  <c r="BC157" i="33254"/>
  <c r="BC131" i="33254"/>
  <c r="BB99" i="33254"/>
  <c r="BD40" i="33254" s="1"/>
  <c r="BH54" i="33254"/>
  <c r="BF54" i="33254"/>
  <c r="BE54" i="33254"/>
  <c r="BI51" i="33254"/>
  <c r="AO11" i="33255"/>
  <c r="AN11" i="33255"/>
  <c r="AL11" i="33255"/>
  <c r="AO18" i="33255"/>
  <c r="K28" i="33255" s="1"/>
  <c r="BD28" i="33254"/>
  <c r="BD42" i="33254"/>
  <c r="BD7" i="33254"/>
  <c r="D25" i="33254"/>
  <c r="H29" i="33254"/>
  <c r="H28" i="33254"/>
  <c r="H27" i="33254"/>
  <c r="H26" i="33254"/>
  <c r="G29" i="33254"/>
  <c r="G28" i="33254"/>
  <c r="G27" i="33254"/>
  <c r="G26" i="33254"/>
  <c r="G25" i="33254"/>
  <c r="AO3" i="33254"/>
  <c r="B23" i="33254" s="1"/>
  <c r="AP53" i="33254"/>
  <c r="AO54" i="33254"/>
  <c r="AP54" i="33254"/>
  <c r="AP51" i="33254"/>
  <c r="AP52" i="33254"/>
  <c r="AO50" i="33254"/>
  <c r="AO51" i="33254"/>
  <c r="AO52" i="33254"/>
  <c r="AO53" i="33254"/>
  <c r="P51" i="33255"/>
  <c r="AU38" i="33254"/>
  <c r="G37" i="33254"/>
  <c r="AO38" i="33254"/>
  <c r="AQ15" i="33254"/>
  <c r="AN15" i="33254"/>
  <c r="AN58" i="33254"/>
  <c r="AP15" i="33254"/>
  <c r="AO15" i="33254"/>
  <c r="O33" i="33254"/>
  <c r="O31" i="33254" s="1"/>
  <c r="S33" i="33254"/>
  <c r="P33" i="33254"/>
  <c r="P32" i="33254"/>
  <c r="Q33" i="33254"/>
  <c r="Q31" i="33254" s="1"/>
  <c r="Q32" i="33254"/>
  <c r="Q34" i="33254" s="1"/>
  <c r="R33" i="33254"/>
  <c r="R32" i="33254" s="1"/>
  <c r="R34" i="33254"/>
  <c r="O34" i="33254"/>
  <c r="AD34" i="33254"/>
  <c r="AE34" i="33254"/>
  <c r="AF34" i="33254"/>
  <c r="AG34" i="33254"/>
  <c r="AD35" i="33254"/>
  <c r="AE35" i="33254"/>
  <c r="AF35" i="33254"/>
  <c r="AG35" i="33254"/>
  <c r="AH35" i="33254"/>
  <c r="V36" i="33254"/>
  <c r="Z36" i="33254" s="1"/>
  <c r="Z42" i="33254" s="1"/>
  <c r="W36" i="33254"/>
  <c r="W38" i="33254" s="1"/>
  <c r="X36" i="33254"/>
  <c r="X38" i="33254" s="1"/>
  <c r="Y36" i="33254"/>
  <c r="Y38" i="33254"/>
  <c r="V37" i="33254"/>
  <c r="W37" i="33254"/>
  <c r="X37" i="33254"/>
  <c r="Y37" i="33254"/>
  <c r="Y39" i="33254" s="1"/>
  <c r="Z37" i="33254"/>
  <c r="AD37" i="33254"/>
  <c r="AE37" i="33254"/>
  <c r="AF37" i="33254"/>
  <c r="AG37" i="33254"/>
  <c r="AH37" i="33254"/>
  <c r="AI70" i="33254"/>
  <c r="AH64" i="33254"/>
  <c r="G5" i="1"/>
  <c r="F5" i="1"/>
  <c r="E5" i="1"/>
  <c r="AH24" i="33254"/>
  <c r="AH25" i="33254"/>
  <c r="AH26" i="33254"/>
  <c r="F4" i="1"/>
  <c r="K105" i="33254"/>
  <c r="G96" i="33254"/>
  <c r="B6" i="33255"/>
  <c r="B4" i="33255"/>
  <c r="J8" i="33254"/>
  <c r="J7" i="33254"/>
  <c r="C8" i="33254"/>
  <c r="H7" i="33254"/>
  <c r="C7" i="33254"/>
  <c r="K113" i="33254"/>
  <c r="B113" i="33254"/>
  <c r="G4" i="1"/>
  <c r="H3" i="1"/>
  <c r="H2" i="1"/>
  <c r="A1" i="1" s="1"/>
  <c r="D629" i="1" s="1"/>
  <c r="AK43" i="33254" s="1"/>
  <c r="F42" i="33254" s="1"/>
  <c r="H1" i="1"/>
  <c r="D321" i="1"/>
  <c r="B8" i="33255" s="1"/>
  <c r="G95" i="33254"/>
  <c r="I95" i="33254"/>
  <c r="D410" i="1"/>
  <c r="D212" i="1"/>
  <c r="D469" i="1"/>
  <c r="D318" i="1"/>
  <c r="D470" i="1"/>
  <c r="D95" i="1"/>
  <c r="D231" i="1"/>
  <c r="H95" i="33254"/>
  <c r="J95" i="33254"/>
  <c r="D303" i="1"/>
  <c r="D431" i="1"/>
  <c r="AL30" i="33254"/>
  <c r="D383" i="1"/>
  <c r="K73" i="33254"/>
  <c r="E73" i="33254"/>
  <c r="I7" i="33254"/>
  <c r="B8" i="33254"/>
  <c r="B7" i="33254"/>
  <c r="G7" i="33254"/>
  <c r="AF61" i="33254"/>
  <c r="AG61" i="33254"/>
  <c r="AD61" i="33254"/>
  <c r="AE61" i="33254"/>
  <c r="AE64" i="33254" s="1"/>
  <c r="S89" i="33255"/>
  <c r="T88" i="33255"/>
  <c r="U87" i="33255"/>
  <c r="S88" i="33255"/>
  <c r="T87" i="33255"/>
  <c r="S87" i="33255"/>
  <c r="V89" i="33255"/>
  <c r="U89" i="33255"/>
  <c r="V88" i="33255"/>
  <c r="T89" i="33255"/>
  <c r="U88" i="33255"/>
  <c r="V87" i="33255"/>
  <c r="AF76" i="33254"/>
  <c r="AE76" i="33254"/>
  <c r="AD76" i="33254"/>
  <c r="AI76" i="33254"/>
  <c r="AI77" i="33254"/>
  <c r="AI73" i="33254" s="1"/>
  <c r="I96" i="33254" s="1"/>
  <c r="AD75" i="33254"/>
  <c r="AI75" i="33254"/>
  <c r="AF75" i="33254"/>
  <c r="AE75" i="33254"/>
  <c r="X13" i="33254"/>
  <c r="X18" i="33254" s="1"/>
  <c r="X50" i="33254"/>
  <c r="Q92" i="33254"/>
  <c r="W13" i="33254"/>
  <c r="W18" i="33254" s="1"/>
  <c r="W27" i="33254" s="1"/>
  <c r="W50" i="33254"/>
  <c r="P92" i="33254"/>
  <c r="V13" i="33254"/>
  <c r="V18" i="33254" s="1"/>
  <c r="O92" i="33254"/>
  <c r="V50" i="33254"/>
  <c r="V38" i="33254"/>
  <c r="Q70" i="33254"/>
  <c r="X52" i="33254" s="1"/>
  <c r="P50" i="33254"/>
  <c r="P52" i="33254" s="1"/>
  <c r="P51" i="33254"/>
  <c r="P82" i="33254"/>
  <c r="P70" i="33254"/>
  <c r="W52" i="33254"/>
  <c r="O50" i="33254"/>
  <c r="O70" i="33254"/>
  <c r="V52" i="33254" s="1"/>
  <c r="O51" i="33254"/>
  <c r="O82" i="33254"/>
  <c r="S82" i="33254" s="1"/>
  <c r="Q50" i="33254"/>
  <c r="Q52" i="33254"/>
  <c r="Q51" i="33254"/>
  <c r="Q82" i="33254"/>
  <c r="AG76" i="33254"/>
  <c r="AG75" i="33254"/>
  <c r="Y13" i="33254"/>
  <c r="Y18" i="33254" s="1"/>
  <c r="Y27" i="33254"/>
  <c r="Y50" i="33254"/>
  <c r="R92" i="33254"/>
  <c r="R50" i="33254"/>
  <c r="R52" i="33254"/>
  <c r="R51" i="33254"/>
  <c r="S51" i="33254"/>
  <c r="R82" i="33254"/>
  <c r="R70" i="33254"/>
  <c r="Y52" i="33254"/>
  <c r="O45" i="33254"/>
  <c r="AF15" i="33254"/>
  <c r="AF17" i="33254"/>
  <c r="X15" i="33254"/>
  <c r="AG15" i="33254"/>
  <c r="AG17" i="33254"/>
  <c r="AE15" i="33254"/>
  <c r="AH15" i="33254"/>
  <c r="AE17" i="33254"/>
  <c r="Q45" i="33254"/>
  <c r="P31" i="33254"/>
  <c r="P45" i="33254"/>
  <c r="W15" i="33254"/>
  <c r="Y15" i="33254"/>
  <c r="O22" i="33254"/>
  <c r="S22" i="33254" s="1"/>
  <c r="P22" i="33254"/>
  <c r="Q22" i="33254"/>
  <c r="R115" i="33255"/>
  <c r="B110" i="33254"/>
  <c r="D104" i="33254"/>
  <c r="R45" i="33254"/>
  <c r="V17" i="33254"/>
  <c r="AD18" i="33254"/>
  <c r="W17" i="33254"/>
  <c r="AE18" i="33254"/>
  <c r="X17" i="33254"/>
  <c r="AF18" i="33254"/>
  <c r="R31" i="33254"/>
  <c r="D105" i="33254"/>
  <c r="R22" i="33254"/>
  <c r="B105" i="33254"/>
  <c r="D110" i="33254"/>
  <c r="D107" i="33254"/>
  <c r="B107" i="33254"/>
  <c r="D108" i="33254"/>
  <c r="B108" i="33254"/>
  <c r="D106" i="33254"/>
  <c r="B106" i="33254"/>
  <c r="B109" i="33254"/>
  <c r="D109" i="33254"/>
  <c r="O47" i="33254"/>
  <c r="W49" i="33254"/>
  <c r="V49" i="33254"/>
  <c r="X49" i="33254"/>
  <c r="P47" i="33254"/>
  <c r="Q47" i="33254"/>
  <c r="Y17" i="33254"/>
  <c r="AG18" i="33254"/>
  <c r="B104" i="33254"/>
  <c r="AI67" i="33254"/>
  <c r="S70" i="33254"/>
  <c r="R47" i="33254"/>
  <c r="Q91" i="33254"/>
  <c r="R91" i="33254"/>
  <c r="Y49" i="33254"/>
  <c r="Z50" i="33254"/>
  <c r="S58" i="33254"/>
  <c r="S61" i="33254"/>
  <c r="Z51" i="33254"/>
  <c r="Z39" i="33254"/>
  <c r="E97" i="33254"/>
  <c r="P91" i="33254"/>
  <c r="X48" i="33254"/>
  <c r="W48" i="33254"/>
  <c r="V48" i="33254"/>
  <c r="B112" i="33254"/>
  <c r="D112" i="33254"/>
  <c r="B111" i="33254"/>
  <c r="D111" i="33254"/>
  <c r="O91" i="33254"/>
  <c r="S91" i="33254" s="1"/>
  <c r="S96" i="33254"/>
  <c r="Y48" i="33254"/>
  <c r="Z48" i="33254"/>
  <c r="E84" i="33254"/>
  <c r="Q103" i="33254"/>
  <c r="P103" i="33254"/>
  <c r="R103" i="33254"/>
  <c r="O103" i="33254"/>
  <c r="S103" i="33254"/>
  <c r="R101" i="33254"/>
  <c r="P101" i="33254"/>
  <c r="Q101" i="33254"/>
  <c r="O101" i="33254"/>
  <c r="O102" i="33254" s="1"/>
  <c r="S101" i="33254"/>
  <c r="Z72" i="33254"/>
  <c r="AF60" i="33254"/>
  <c r="AH60" i="33254"/>
  <c r="AG60" i="33254"/>
  <c r="AD60" i="33254"/>
  <c r="AI60" i="33254"/>
  <c r="AE60" i="33254"/>
  <c r="R21" i="33254"/>
  <c r="P21" i="33254"/>
  <c r="O21" i="33254"/>
  <c r="Q21" i="33254"/>
  <c r="Q100" i="33254"/>
  <c r="Q102" i="33254"/>
  <c r="R18" i="33254"/>
  <c r="O100" i="33254"/>
  <c r="Q18" i="33254"/>
  <c r="P18" i="33254"/>
  <c r="R100" i="33254"/>
  <c r="O18" i="33254"/>
  <c r="P100" i="33254"/>
  <c r="S21" i="33254"/>
  <c r="S18" i="33254"/>
  <c r="S100" i="33254"/>
  <c r="H100" i="33254"/>
  <c r="S102" i="33254"/>
  <c r="I100" i="33254"/>
  <c r="Z73" i="33254"/>
  <c r="Z75" i="33254"/>
  <c r="E98" i="33254" s="1"/>
  <c r="I98" i="33254"/>
  <c r="R102" i="33254"/>
  <c r="P102" i="33254"/>
  <c r="P34" i="33254"/>
  <c r="S34" i="33254"/>
  <c r="Z49" i="33254" s="1"/>
  <c r="S32" i="33254"/>
  <c r="S45" i="33254"/>
  <c r="Y19" i="33254"/>
  <c r="O83" i="33254"/>
  <c r="AP50" i="33254"/>
  <c r="AT18" i="33254"/>
  <c r="Z52" i="33254"/>
  <c r="AU20" i="33254"/>
  <c r="D30" i="33254" s="1"/>
  <c r="AL17" i="33254"/>
  <c r="AM20" i="33254" s="1"/>
  <c r="S31" i="33254"/>
  <c r="S47" i="33254"/>
  <c r="AV18" i="33254"/>
  <c r="D36" i="33254"/>
  <c r="G34" i="33254"/>
  <c r="D34" i="33254"/>
  <c r="B33" i="33254"/>
  <c r="AI65" i="33254"/>
  <c r="AI69" i="33254" s="1"/>
  <c r="AI71" i="33254" s="1"/>
  <c r="D391" i="1" l="1"/>
  <c r="B82" i="33254" s="1"/>
  <c r="D271" i="1"/>
  <c r="D223" i="1"/>
  <c r="D71" i="1"/>
  <c r="D430" i="1"/>
  <c r="D230" i="1"/>
  <c r="D341" i="1"/>
  <c r="B95" i="33255" s="1"/>
  <c r="D491" i="1"/>
  <c r="D282" i="1"/>
  <c r="D313" i="1"/>
  <c r="D463" i="1"/>
  <c r="B94" i="33254" s="1"/>
  <c r="D359" i="1"/>
  <c r="B13" i="33254" s="1"/>
  <c r="D151" i="1"/>
  <c r="D31" i="1"/>
  <c r="D422" i="1"/>
  <c r="D150" i="1"/>
  <c r="D117" i="1"/>
  <c r="D323" i="1"/>
  <c r="D66" i="1"/>
  <c r="D56" i="1"/>
  <c r="D515" i="1"/>
  <c r="D439" i="1"/>
  <c r="D343" i="1"/>
  <c r="B97" i="33255" s="1"/>
  <c r="D103" i="1"/>
  <c r="D502" i="1"/>
  <c r="D350" i="1"/>
  <c r="D62" i="1"/>
  <c r="D436" i="1"/>
  <c r="D99" i="1"/>
  <c r="D384" i="1"/>
  <c r="B103" i="33254" s="1"/>
  <c r="D217" i="1"/>
  <c r="D398" i="1"/>
  <c r="D286" i="1"/>
  <c r="D134" i="1"/>
  <c r="BC117" i="33254" s="1"/>
  <c r="D461" i="1"/>
  <c r="D317" i="1"/>
  <c r="D45" i="1"/>
  <c r="D388" i="1"/>
  <c r="D204" i="1"/>
  <c r="D427" i="1"/>
  <c r="D267" i="1"/>
  <c r="D11" i="1"/>
  <c r="D354" i="1"/>
  <c r="D154" i="1"/>
  <c r="D496" i="1"/>
  <c r="D328" i="1"/>
  <c r="B18" i="33255" s="1"/>
  <c r="D232" i="1"/>
  <c r="D8" i="1"/>
  <c r="D401" i="1"/>
  <c r="D145" i="1"/>
  <c r="BC128" i="33254" s="1"/>
  <c r="D158" i="1"/>
  <c r="D589" i="1"/>
  <c r="O12" i="33255" s="1"/>
  <c r="D495" i="1"/>
  <c r="D399" i="1"/>
  <c r="D319" i="1"/>
  <c r="D135" i="1"/>
  <c r="BC118" i="33254" s="1"/>
  <c r="D63" i="1"/>
  <c r="D462" i="1"/>
  <c r="D366" i="1"/>
  <c r="B74" i="33254" s="1"/>
  <c r="D278" i="1"/>
  <c r="D70" i="1"/>
  <c r="D397" i="1"/>
  <c r="D261" i="1"/>
  <c r="D5" i="1"/>
  <c r="D316" i="1"/>
  <c r="D84" i="1"/>
  <c r="AK33" i="33254" s="1"/>
  <c r="D419" i="1"/>
  <c r="D219" i="1"/>
  <c r="D498" i="1"/>
  <c r="D346" i="1"/>
  <c r="B108" i="33255" s="1"/>
  <c r="D146" i="1"/>
  <c r="D488" i="1"/>
  <c r="D304" i="1"/>
  <c r="D136" i="1"/>
  <c r="BC119" i="33254" s="1"/>
  <c r="D417" i="1"/>
  <c r="D329" i="1"/>
  <c r="B19" i="33255" s="1"/>
  <c r="D81" i="1"/>
  <c r="D245" i="1"/>
  <c r="D588" i="1"/>
  <c r="P11" i="33255" s="1"/>
  <c r="D381" i="1"/>
  <c r="I94" i="33254" s="1"/>
  <c r="D213" i="1"/>
  <c r="D460" i="1"/>
  <c r="D300" i="1"/>
  <c r="D4" i="1"/>
  <c r="D347" i="1"/>
  <c r="B110" i="33255" s="1"/>
  <c r="D131" i="1"/>
  <c r="BC114" i="33254" s="1"/>
  <c r="D418" i="1"/>
  <c r="D290" i="1"/>
  <c r="D82" i="1"/>
  <c r="AK31" i="33254" s="1"/>
  <c r="D408" i="1"/>
  <c r="D104" i="1"/>
  <c r="D409" i="1"/>
  <c r="D201" i="1"/>
  <c r="D73" i="1"/>
  <c r="D190" i="1"/>
  <c r="W39" i="33254"/>
  <c r="D824" i="1"/>
  <c r="Z15" i="33254"/>
  <c r="Z19" i="33254" s="1"/>
  <c r="V27" i="33254"/>
  <c r="X27" i="33254"/>
  <c r="X19" i="33254"/>
  <c r="D225" i="1"/>
  <c r="D209" i="1"/>
  <c r="D257" i="1"/>
  <c r="D25" i="1"/>
  <c r="D188" i="1"/>
  <c r="D513" i="1"/>
  <c r="X39" i="33254"/>
  <c r="D739" i="1"/>
  <c r="BD33" i="33254"/>
  <c r="BD35" i="33254"/>
  <c r="BC40" i="33254"/>
  <c r="V39" i="33254"/>
  <c r="D988" i="1"/>
  <c r="D624" i="1"/>
  <c r="B35" i="33254" s="1"/>
  <c r="AR15" i="33254"/>
  <c r="BC129" i="33254"/>
  <c r="BI131" i="33254" s="1"/>
  <c r="BC34" i="33254"/>
  <c r="BC39" i="33254"/>
  <c r="W19" i="33254"/>
  <c r="D241" i="1"/>
  <c r="D528" i="1"/>
  <c r="D909" i="1"/>
  <c r="BC19" i="33254"/>
  <c r="BD99" i="33254"/>
  <c r="BC45" i="33254"/>
  <c r="BC38" i="33254"/>
  <c r="D102" i="1"/>
  <c r="D14" i="1"/>
  <c r="D429" i="1"/>
  <c r="D365" i="1"/>
  <c r="B73" i="33254" s="1"/>
  <c r="D301" i="1"/>
  <c r="D205" i="1"/>
  <c r="D85" i="1"/>
  <c r="AK34" i="33254" s="1"/>
  <c r="D492" i="1"/>
  <c r="D428" i="1"/>
  <c r="D364" i="1"/>
  <c r="B71" i="33254" s="1"/>
  <c r="D268" i="1"/>
  <c r="D132" i="1"/>
  <c r="BC115" i="33254" s="1"/>
  <c r="D52" i="1"/>
  <c r="D467" i="1"/>
  <c r="D387" i="1"/>
  <c r="D315" i="1"/>
  <c r="D211" i="1"/>
  <c r="D59" i="1"/>
  <c r="D466" i="1"/>
  <c r="D234" i="1"/>
  <c r="D114" i="1"/>
  <c r="D10" i="1"/>
  <c r="G12" i="33254" s="1"/>
  <c r="D448" i="1"/>
  <c r="D376" i="1"/>
  <c r="D296" i="1"/>
  <c r="D216" i="1"/>
  <c r="D96" i="1"/>
  <c r="D30" i="1"/>
  <c r="D65" i="1"/>
  <c r="D121" i="1"/>
  <c r="BC104" i="33254" s="1"/>
  <c r="D113" i="1"/>
  <c r="D175" i="1"/>
  <c r="D177" i="1"/>
  <c r="D425" i="1"/>
  <c r="D184" i="1"/>
  <c r="D240" i="1"/>
  <c r="D243" i="1"/>
  <c r="D514" i="1"/>
  <c r="D524" i="1"/>
  <c r="D549" i="1"/>
  <c r="D973" i="1"/>
  <c r="D888" i="1"/>
  <c r="D803" i="1"/>
  <c r="D717" i="1"/>
  <c r="D545" i="1"/>
  <c r="BD41" i="33254"/>
  <c r="BG99" i="33254"/>
  <c r="BC47" i="33254"/>
  <c r="BC43" i="33254"/>
  <c r="BC26" i="33254"/>
  <c r="BC49" i="33254"/>
  <c r="BD36" i="33254"/>
  <c r="BC32" i="33254"/>
  <c r="BD22" i="33254"/>
  <c r="BD39" i="33254"/>
  <c r="BC22" i="33254"/>
  <c r="G100" i="33254"/>
  <c r="V19" i="33254"/>
  <c r="D222" i="1"/>
  <c r="D94" i="1"/>
  <c r="D501" i="1"/>
  <c r="D421" i="1"/>
  <c r="D357" i="1"/>
  <c r="D269" i="1"/>
  <c r="D133" i="1"/>
  <c r="BC116" i="33254" s="1"/>
  <c r="D53" i="1"/>
  <c r="D468" i="1"/>
  <c r="D404" i="1"/>
  <c r="D340" i="1"/>
  <c r="D260" i="1"/>
  <c r="D116" i="1"/>
  <c r="D44" i="1"/>
  <c r="D459" i="1"/>
  <c r="D283" i="1"/>
  <c r="D139" i="1"/>
  <c r="BC122" i="33254" s="1"/>
  <c r="D51" i="1"/>
  <c r="D450" i="1"/>
  <c r="D378" i="1"/>
  <c r="B88" i="33254" s="1"/>
  <c r="D322" i="1"/>
  <c r="B73" i="33255" s="1"/>
  <c r="D218" i="1"/>
  <c r="D106" i="1"/>
  <c r="D497" i="1"/>
  <c r="D416" i="1"/>
  <c r="D144" i="1"/>
  <c r="BC127" i="33254" s="1"/>
  <c r="D72" i="1"/>
  <c r="D195" i="1"/>
  <c r="D196" i="1"/>
  <c r="D181" i="1"/>
  <c r="D182" i="1"/>
  <c r="D183" i="1"/>
  <c r="D433" i="1"/>
  <c r="D361" i="1"/>
  <c r="D18" i="1"/>
  <c r="D157" i="1"/>
  <c r="D161" i="1"/>
  <c r="D508" i="1"/>
  <c r="D599" i="1"/>
  <c r="B50" i="33255" s="1"/>
  <c r="D590" i="1"/>
  <c r="P12" i="33255" s="1"/>
  <c r="D608" i="1"/>
  <c r="D952" i="1"/>
  <c r="D867" i="1"/>
  <c r="D781" i="1"/>
  <c r="D691" i="1"/>
  <c r="BD49" i="33254"/>
  <c r="BC36" i="33254"/>
  <c r="BC37" i="33254"/>
  <c r="BC31" i="33254"/>
  <c r="BH129" i="33254"/>
  <c r="BI136" i="33254" s="1"/>
  <c r="BC16" i="33254" s="1"/>
  <c r="BC25" i="33254"/>
  <c r="BD21" i="33254"/>
  <c r="BC24" i="33254"/>
  <c r="BD38" i="33254"/>
  <c r="BD47" i="33254"/>
  <c r="BD32" i="33254"/>
  <c r="D931" i="1"/>
  <c r="D845" i="1"/>
  <c r="D760" i="1"/>
  <c r="D663" i="1"/>
  <c r="B21" i="33255" s="1"/>
  <c r="BC20" i="33254"/>
  <c r="BD34" i="33254"/>
  <c r="BD27" i="33254"/>
  <c r="BE99" i="33254"/>
  <c r="BG129" i="33254"/>
  <c r="BI135" i="33254" s="1"/>
  <c r="BC15" i="33254" s="1"/>
  <c r="BC17" i="33254"/>
  <c r="BD37" i="33254"/>
  <c r="BE129" i="33254"/>
  <c r="BI133" i="33254" s="1"/>
  <c r="BC23" i="33254"/>
  <c r="BI99" i="33254"/>
  <c r="BD16" i="33254" s="1"/>
  <c r="AW18" i="33254"/>
  <c r="AP46" i="33254"/>
  <c r="AM18" i="33254"/>
  <c r="AN25" i="33254"/>
  <c r="AM23" i="33254"/>
  <c r="S73" i="33254"/>
  <c r="S75" i="33254" s="1"/>
  <c r="S77" i="33254" s="1"/>
  <c r="S74" i="33254"/>
  <c r="S50" i="33254"/>
  <c r="O52" i="33254"/>
  <c r="AF64" i="33254"/>
  <c r="AG64" i="33254"/>
  <c r="Z27" i="33254"/>
  <c r="V40" i="33254"/>
  <c r="O88" i="33254"/>
  <c r="B81" i="33255"/>
  <c r="V41" i="33254"/>
  <c r="N13" i="33254"/>
  <c r="R55" i="33254"/>
  <c r="Q83" i="33254"/>
  <c r="P83" i="33254"/>
  <c r="R83" i="33254"/>
  <c r="S83" i="33254"/>
  <c r="AI72" i="33254"/>
  <c r="AD64" i="33254"/>
  <c r="AI64" i="33254" s="1"/>
  <c r="S10" i="33255"/>
  <c r="P74" i="33255"/>
  <c r="B12" i="33255"/>
  <c r="B74" i="33255"/>
  <c r="R10" i="33255"/>
  <c r="D487" i="1"/>
  <c r="D415" i="1"/>
  <c r="D375" i="1"/>
  <c r="D295" i="1"/>
  <c r="D207" i="1"/>
  <c r="D127" i="1"/>
  <c r="BC110" i="33254" s="1"/>
  <c r="D47" i="1"/>
  <c r="D494" i="1"/>
  <c r="D454" i="1"/>
  <c r="D414" i="1"/>
  <c r="B97" i="33254" s="1"/>
  <c r="D382" i="1"/>
  <c r="B96" i="33254" s="1"/>
  <c r="D310" i="1"/>
  <c r="D270" i="1"/>
  <c r="D206" i="1"/>
  <c r="D126" i="1"/>
  <c r="BC109" i="33254" s="1"/>
  <c r="D46" i="1"/>
  <c r="D493" i="1"/>
  <c r="D453" i="1"/>
  <c r="D413" i="1"/>
  <c r="G94" i="33254" s="1"/>
  <c r="D293" i="1"/>
  <c r="D253" i="1"/>
  <c r="D149" i="1"/>
  <c r="D109" i="1"/>
  <c r="D77" i="1"/>
  <c r="D29" i="1"/>
  <c r="D484" i="1"/>
  <c r="D380" i="1"/>
  <c r="D356" i="1"/>
  <c r="B12" i="33254" s="1"/>
  <c r="D292" i="1"/>
  <c r="D252" i="1"/>
  <c r="D148" i="1"/>
  <c r="D108" i="1"/>
  <c r="D76" i="1"/>
  <c r="D20" i="1"/>
  <c r="D483" i="1"/>
  <c r="D451" i="1"/>
  <c r="D403" i="1"/>
  <c r="D371" i="1"/>
  <c r="B79" i="33254" s="1"/>
  <c r="D339" i="1"/>
  <c r="D299" i="1"/>
  <c r="D259" i="1"/>
  <c r="D203" i="1"/>
  <c r="D115" i="1"/>
  <c r="D83" i="1"/>
  <c r="AK32" i="33254" s="1"/>
  <c r="D43" i="1"/>
  <c r="D482" i="1"/>
  <c r="D442" i="1"/>
  <c r="D402" i="1"/>
  <c r="D370" i="1"/>
  <c r="B78" i="33254" s="1"/>
  <c r="D314" i="1"/>
  <c r="D266" i="1"/>
  <c r="D210" i="1"/>
  <c r="D138" i="1"/>
  <c r="BC121" i="33254" s="1"/>
  <c r="D90" i="1"/>
  <c r="AK39" i="33254" s="1"/>
  <c r="D50" i="1"/>
  <c r="D481" i="1"/>
  <c r="D472" i="1"/>
  <c r="D440" i="1"/>
  <c r="D400" i="1"/>
  <c r="D368" i="1"/>
  <c r="B76" i="33254" s="1"/>
  <c r="D344" i="1"/>
  <c r="C98" i="33255" s="1"/>
  <c r="D280" i="1"/>
  <c r="D264" i="1"/>
  <c r="D208" i="1"/>
  <c r="D128" i="1"/>
  <c r="BC111" i="33254" s="1"/>
  <c r="D88" i="1"/>
  <c r="AK37" i="33254" s="1"/>
  <c r="D48" i="1"/>
  <c r="D163" i="1"/>
  <c r="D353" i="1"/>
  <c r="D164" i="1"/>
  <c r="D165" i="1"/>
  <c r="D49" i="1"/>
  <c r="D393" i="1"/>
  <c r="D105" i="1"/>
  <c r="D449" i="1"/>
  <c r="D33" i="1"/>
  <c r="B17" i="33254" s="1"/>
  <c r="D170" i="1"/>
  <c r="D233" i="1"/>
  <c r="D23" i="1"/>
  <c r="Q13" i="33254" s="1"/>
  <c r="D176" i="1"/>
  <c r="D17" i="1"/>
  <c r="D28" i="1"/>
  <c r="D247" i="1"/>
  <c r="D238" i="1"/>
  <c r="D193" i="1"/>
  <c r="D191" i="1"/>
  <c r="D520" i="1"/>
  <c r="D506" i="1"/>
  <c r="D509" i="1"/>
  <c r="D581" i="1"/>
  <c r="I42" i="33254" s="1"/>
  <c r="D578" i="1"/>
  <c r="B40" i="33254" s="1"/>
  <c r="D531" i="1"/>
  <c r="D614" i="1"/>
  <c r="D995" i="1"/>
  <c r="D981" i="1"/>
  <c r="D963" i="1"/>
  <c r="D941" i="1"/>
  <c r="D920" i="1"/>
  <c r="D899" i="1"/>
  <c r="D877" i="1"/>
  <c r="D856" i="1"/>
  <c r="D835" i="1"/>
  <c r="D813" i="1"/>
  <c r="D792" i="1"/>
  <c r="D771" i="1"/>
  <c r="D749" i="1"/>
  <c r="D728" i="1"/>
  <c r="D706" i="1"/>
  <c r="D676" i="1"/>
  <c r="D653" i="1"/>
  <c r="D572" i="1"/>
  <c r="D636" i="1"/>
  <c r="AT22" i="33254" s="1"/>
  <c r="D637" i="1"/>
  <c r="D584" i="1"/>
  <c r="D646" i="1"/>
  <c r="B1" i="33254" s="1"/>
  <c r="D640" i="1"/>
  <c r="D639" i="1"/>
  <c r="B18" i="33254" s="1"/>
  <c r="D554" i="1"/>
  <c r="AN27" i="33254" s="1"/>
  <c r="D556" i="1"/>
  <c r="AN29" i="33254" s="1"/>
  <c r="D559" i="1"/>
  <c r="B37" i="33254" s="1"/>
  <c r="D649" i="1"/>
  <c r="D654" i="1"/>
  <c r="D658" i="1"/>
  <c r="B37" i="33255" s="1"/>
  <c r="D660" i="1"/>
  <c r="B11" i="33255" s="1"/>
  <c r="D662" i="1"/>
  <c r="C34" i="33255" s="1"/>
  <c r="D664" i="1"/>
  <c r="D677" i="1"/>
  <c r="D681" i="1"/>
  <c r="D685" i="1"/>
  <c r="D689" i="1"/>
  <c r="D693" i="1"/>
  <c r="D697" i="1"/>
  <c r="D701" i="1"/>
  <c r="D705" i="1"/>
  <c r="D709" i="1"/>
  <c r="D672" i="1"/>
  <c r="B14" i="33255" s="1"/>
  <c r="D648" i="1"/>
  <c r="D544" i="1"/>
  <c r="AK21" i="33254" s="1"/>
  <c r="D647" i="1"/>
  <c r="D552" i="1"/>
  <c r="D617" i="1"/>
  <c r="D634" i="1"/>
  <c r="B20" i="33254" s="1"/>
  <c r="D631" i="1"/>
  <c r="D582" i="1"/>
  <c r="D630" i="1"/>
  <c r="B36" i="33254" s="1"/>
  <c r="D574" i="1"/>
  <c r="D579" i="1"/>
  <c r="C42" i="33254" s="1"/>
  <c r="D622" i="1"/>
  <c r="AQ42" i="33254" s="1"/>
  <c r="D651" i="1"/>
  <c r="D656" i="1"/>
  <c r="E53" i="33254" s="1"/>
  <c r="D668" i="1"/>
  <c r="B14" i="33254" s="1"/>
  <c r="D678" i="1"/>
  <c r="D683" i="1"/>
  <c r="D688" i="1"/>
  <c r="D694" i="1"/>
  <c r="D699" i="1"/>
  <c r="D704" i="1"/>
  <c r="D710" i="1"/>
  <c r="D714" i="1"/>
  <c r="D718" i="1"/>
  <c r="D722" i="1"/>
  <c r="D726" i="1"/>
  <c r="D730" i="1"/>
  <c r="D734" i="1"/>
  <c r="D738" i="1"/>
  <c r="D742" i="1"/>
  <c r="D746" i="1"/>
  <c r="D750" i="1"/>
  <c r="D754" i="1"/>
  <c r="D758" i="1"/>
  <c r="D762" i="1"/>
  <c r="D766" i="1"/>
  <c r="D770" i="1"/>
  <c r="D774" i="1"/>
  <c r="D778" i="1"/>
  <c r="D782" i="1"/>
  <c r="D786" i="1"/>
  <c r="D790" i="1"/>
  <c r="D794" i="1"/>
  <c r="D798" i="1"/>
  <c r="D802" i="1"/>
  <c r="D806" i="1"/>
  <c r="D810" i="1"/>
  <c r="D814" i="1"/>
  <c r="D818" i="1"/>
  <c r="D822" i="1"/>
  <c r="D826" i="1"/>
  <c r="D830" i="1"/>
  <c r="D834" i="1"/>
  <c r="D838" i="1"/>
  <c r="D842" i="1"/>
  <c r="D846" i="1"/>
  <c r="D850" i="1"/>
  <c r="D854" i="1"/>
  <c r="D858" i="1"/>
  <c r="D862" i="1"/>
  <c r="D866" i="1"/>
  <c r="D870" i="1"/>
  <c r="D874" i="1"/>
  <c r="D878" i="1"/>
  <c r="D882" i="1"/>
  <c r="D886" i="1"/>
  <c r="D890" i="1"/>
  <c r="D894" i="1"/>
  <c r="D898" i="1"/>
  <c r="D902" i="1"/>
  <c r="D906" i="1"/>
  <c r="D910" i="1"/>
  <c r="D914" i="1"/>
  <c r="D918" i="1"/>
  <c r="D922" i="1"/>
  <c r="D926" i="1"/>
  <c r="D930" i="1"/>
  <c r="D934" i="1"/>
  <c r="D938" i="1"/>
  <c r="D942" i="1"/>
  <c r="D946" i="1"/>
  <c r="D950" i="1"/>
  <c r="D954" i="1"/>
  <c r="D958" i="1"/>
  <c r="D962" i="1"/>
  <c r="D966" i="1"/>
  <c r="D970" i="1"/>
  <c r="D974" i="1"/>
  <c r="D978" i="1"/>
  <c r="D982" i="1"/>
  <c r="D986" i="1"/>
  <c r="D990" i="1"/>
  <c r="D994" i="1"/>
  <c r="D998" i="1"/>
  <c r="D562" i="1"/>
  <c r="D565" i="1"/>
  <c r="D611" i="1"/>
  <c r="D615" i="1"/>
  <c r="D606" i="1"/>
  <c r="D601" i="1"/>
  <c r="B53" i="33255" s="1"/>
  <c r="D525" i="1"/>
  <c r="D533" i="1"/>
  <c r="D547" i="1"/>
  <c r="D576" i="1"/>
  <c r="AM49" i="33254" s="1"/>
  <c r="D598" i="1"/>
  <c r="B49" i="33255" s="1"/>
  <c r="D522" i="1"/>
  <c r="D530" i="1"/>
  <c r="D538" i="1"/>
  <c r="D558" i="1"/>
  <c r="B30" i="33254" s="1"/>
  <c r="D569" i="1"/>
  <c r="D623" i="1"/>
  <c r="D642" i="1"/>
  <c r="D560" i="1"/>
  <c r="AQ39" i="33254" s="1"/>
  <c r="D645" i="1"/>
  <c r="D641" i="1"/>
  <c r="B45" i="33255" s="1"/>
  <c r="D555" i="1"/>
  <c r="AN28" i="33254" s="1"/>
  <c r="G36" i="33254" s="1"/>
  <c r="D621" i="1"/>
  <c r="AQ41" i="33254" s="1"/>
  <c r="D573" i="1"/>
  <c r="D570" i="1"/>
  <c r="D626" i="1"/>
  <c r="AT26" i="33254" s="1"/>
  <c r="D643" i="1"/>
  <c r="D655" i="1"/>
  <c r="D679" i="1"/>
  <c r="D686" i="1"/>
  <c r="D692" i="1"/>
  <c r="D700" i="1"/>
  <c r="D707" i="1"/>
  <c r="D713" i="1"/>
  <c r="D719" i="1"/>
  <c r="D724" i="1"/>
  <c r="D729" i="1"/>
  <c r="D735" i="1"/>
  <c r="D740" i="1"/>
  <c r="D745" i="1"/>
  <c r="D751" i="1"/>
  <c r="D756" i="1"/>
  <c r="D761" i="1"/>
  <c r="D767" i="1"/>
  <c r="D772" i="1"/>
  <c r="D777" i="1"/>
  <c r="D783" i="1"/>
  <c r="D788" i="1"/>
  <c r="D793" i="1"/>
  <c r="D799" i="1"/>
  <c r="D804" i="1"/>
  <c r="D809" i="1"/>
  <c r="D815" i="1"/>
  <c r="D820" i="1"/>
  <c r="D825" i="1"/>
  <c r="D831" i="1"/>
  <c r="D836" i="1"/>
  <c r="D841" i="1"/>
  <c r="D847" i="1"/>
  <c r="D852" i="1"/>
  <c r="D857" i="1"/>
  <c r="D863" i="1"/>
  <c r="D868" i="1"/>
  <c r="D873" i="1"/>
  <c r="D879" i="1"/>
  <c r="D884" i="1"/>
  <c r="D889" i="1"/>
  <c r="D895" i="1"/>
  <c r="D900" i="1"/>
  <c r="D905" i="1"/>
  <c r="D911" i="1"/>
  <c r="D916" i="1"/>
  <c r="D921" i="1"/>
  <c r="D927" i="1"/>
  <c r="D932" i="1"/>
  <c r="D937" i="1"/>
  <c r="D943" i="1"/>
  <c r="D948" i="1"/>
  <c r="D953" i="1"/>
  <c r="D959" i="1"/>
  <c r="D964" i="1"/>
  <c r="D969" i="1"/>
  <c r="D975" i="1"/>
  <c r="D980" i="1"/>
  <c r="D985" i="1"/>
  <c r="D991" i="1"/>
  <c r="D996" i="1"/>
  <c r="D620" i="1"/>
  <c r="B10" i="33255" s="1"/>
  <c r="D613" i="1"/>
  <c r="D605" i="1"/>
  <c r="D527" i="1"/>
  <c r="D537" i="1"/>
  <c r="D551" i="1"/>
  <c r="B31" i="33254" s="1"/>
  <c r="D592" i="1"/>
  <c r="F42" i="33255" s="1"/>
  <c r="D526" i="1"/>
  <c r="D536" i="1"/>
  <c r="D548" i="1"/>
  <c r="D567" i="1"/>
  <c r="D577" i="1"/>
  <c r="AN49" i="33254" s="1"/>
  <c r="D587" i="1"/>
  <c r="O11" i="33255" s="1"/>
  <c r="D597" i="1"/>
  <c r="B48" i="33255" s="1"/>
  <c r="D521" i="1"/>
  <c r="D511" i="1"/>
  <c r="D519" i="1"/>
  <c r="D510" i="1"/>
  <c r="D518" i="1"/>
  <c r="D249" i="1"/>
  <c r="D250" i="1"/>
  <c r="D251" i="1"/>
  <c r="D239" i="1"/>
  <c r="D220" i="1"/>
  <c r="D187" i="1"/>
  <c r="D189" i="1"/>
  <c r="D22" i="1"/>
  <c r="D27" i="1"/>
  <c r="D26" i="1"/>
  <c r="D15" i="1"/>
  <c r="D24" i="1"/>
  <c r="R13" i="33254" s="1"/>
  <c r="Q15" i="33254" s="1"/>
  <c r="D675" i="1"/>
  <c r="B17" i="33255" s="1"/>
  <c r="D673" i="1"/>
  <c r="B15" i="33255" s="1"/>
  <c r="D635" i="1"/>
  <c r="AT21" i="33254" s="1"/>
  <c r="D543" i="1"/>
  <c r="AK20" i="33254" s="1"/>
  <c r="D553" i="1"/>
  <c r="AN26" i="33254" s="1"/>
  <c r="D633" i="1"/>
  <c r="D628" i="1"/>
  <c r="B41" i="33254" s="1"/>
  <c r="D625" i="1"/>
  <c r="AT25" i="33254" s="1"/>
  <c r="D644" i="1"/>
  <c r="D657" i="1"/>
  <c r="D661" i="1"/>
  <c r="B34" i="33255" s="1"/>
  <c r="D665" i="1"/>
  <c r="B23" i="33255" s="1"/>
  <c r="D669" i="1"/>
  <c r="G14" i="33254" s="1"/>
  <c r="D680" i="1"/>
  <c r="D687" i="1"/>
  <c r="D695" i="1"/>
  <c r="D702" i="1"/>
  <c r="D708" i="1"/>
  <c r="D715" i="1"/>
  <c r="D720" i="1"/>
  <c r="D725" i="1"/>
  <c r="D731" i="1"/>
  <c r="D736" i="1"/>
  <c r="D741" i="1"/>
  <c r="D747" i="1"/>
  <c r="D752" i="1"/>
  <c r="D757" i="1"/>
  <c r="D763" i="1"/>
  <c r="D768" i="1"/>
  <c r="D773" i="1"/>
  <c r="D779" i="1"/>
  <c r="D784" i="1"/>
  <c r="D789" i="1"/>
  <c r="D795" i="1"/>
  <c r="D800" i="1"/>
  <c r="D805" i="1"/>
  <c r="D811" i="1"/>
  <c r="D816" i="1"/>
  <c r="D821" i="1"/>
  <c r="D827" i="1"/>
  <c r="D832" i="1"/>
  <c r="D837" i="1"/>
  <c r="D843" i="1"/>
  <c r="D848" i="1"/>
  <c r="D853" i="1"/>
  <c r="D859" i="1"/>
  <c r="D864" i="1"/>
  <c r="D869" i="1"/>
  <c r="D875" i="1"/>
  <c r="D880" i="1"/>
  <c r="D885" i="1"/>
  <c r="D891" i="1"/>
  <c r="D896" i="1"/>
  <c r="D901" i="1"/>
  <c r="D907" i="1"/>
  <c r="D912" i="1"/>
  <c r="D917" i="1"/>
  <c r="D923" i="1"/>
  <c r="D928" i="1"/>
  <c r="D933" i="1"/>
  <c r="D939" i="1"/>
  <c r="D944" i="1"/>
  <c r="D949" i="1"/>
  <c r="D955" i="1"/>
  <c r="D960" i="1"/>
  <c r="D965" i="1"/>
  <c r="D971" i="1"/>
  <c r="D670" i="1"/>
  <c r="B36" i="33255" s="1"/>
  <c r="D541" i="1"/>
  <c r="D561" i="1"/>
  <c r="AQ40" i="33254" s="1"/>
  <c r="D571" i="1"/>
  <c r="D666" i="1"/>
  <c r="B25" i="33255" s="1"/>
  <c r="D682" i="1"/>
  <c r="D696" i="1"/>
  <c r="D711" i="1"/>
  <c r="D721" i="1"/>
  <c r="D732" i="1"/>
  <c r="D743" i="1"/>
  <c r="D753" i="1"/>
  <c r="D764" i="1"/>
  <c r="D775" i="1"/>
  <c r="D785" i="1"/>
  <c r="D796" i="1"/>
  <c r="D807" i="1"/>
  <c r="D817" i="1"/>
  <c r="D828" i="1"/>
  <c r="D839" i="1"/>
  <c r="D849" i="1"/>
  <c r="D860" i="1"/>
  <c r="D871" i="1"/>
  <c r="D881" i="1"/>
  <c r="D892" i="1"/>
  <c r="D903" i="1"/>
  <c r="D913" i="1"/>
  <c r="D924" i="1"/>
  <c r="D935" i="1"/>
  <c r="D945" i="1"/>
  <c r="D956" i="1"/>
  <c r="D967" i="1"/>
  <c r="D976" i="1"/>
  <c r="D983" i="1"/>
  <c r="D989" i="1"/>
  <c r="D997" i="1"/>
  <c r="D583" i="1"/>
  <c r="I16" i="33254" s="1"/>
  <c r="D566" i="1"/>
  <c r="D616" i="1"/>
  <c r="D604" i="1"/>
  <c r="D535" i="1"/>
  <c r="D557" i="1"/>
  <c r="B34" i="33254" s="1"/>
  <c r="D600" i="1"/>
  <c r="B51" i="33255" s="1"/>
  <c r="D532" i="1"/>
  <c r="D546" i="1"/>
  <c r="B21" i="33254" s="1"/>
  <c r="D591" i="1"/>
  <c r="B42" i="33255" s="1"/>
  <c r="D507" i="1"/>
  <c r="D517" i="1"/>
  <c r="D512" i="1"/>
  <c r="D503" i="1"/>
  <c r="D242" i="1"/>
  <c r="D192" i="1"/>
  <c r="D237" i="1"/>
  <c r="D246" i="1"/>
  <c r="D159" i="1"/>
  <c r="D21" i="1"/>
  <c r="D441" i="1"/>
  <c r="D16" i="1"/>
  <c r="D153" i="1"/>
  <c r="D9" i="1"/>
  <c r="D297" i="1"/>
  <c r="D178" i="1"/>
  <c r="D305" i="1"/>
  <c r="D185" i="1"/>
  <c r="D97" i="1"/>
  <c r="D167" i="1"/>
  <c r="D265" i="1"/>
  <c r="D457" i="1"/>
  <c r="H99" i="33254" s="1"/>
  <c r="D166" i="1"/>
  <c r="D273" i="1"/>
  <c r="D489" i="1"/>
  <c r="D57" i="1"/>
  <c r="D345" i="1"/>
  <c r="D180" i="1"/>
  <c r="D129" i="1"/>
  <c r="BC112" i="33254" s="1"/>
  <c r="D171" i="1"/>
  <c r="D32" i="1"/>
  <c r="D64" i="1"/>
  <c r="D120" i="1"/>
  <c r="BC103" i="33254" s="1"/>
  <c r="D152" i="1"/>
  <c r="D224" i="1"/>
  <c r="D288" i="1"/>
  <c r="D320" i="1"/>
  <c r="B2" i="33255" s="1"/>
  <c r="D336" i="1"/>
  <c r="B88" i="33255" s="1"/>
  <c r="D352" i="1"/>
  <c r="D392" i="1"/>
  <c r="D424" i="1"/>
  <c r="D456" i="1"/>
  <c r="G99" i="33254" s="1"/>
  <c r="D480" i="1"/>
  <c r="D473" i="1"/>
  <c r="D34" i="1"/>
  <c r="D74" i="1"/>
  <c r="D98" i="1"/>
  <c r="D130" i="1"/>
  <c r="BC113" i="33254" s="1"/>
  <c r="D162" i="1"/>
  <c r="D226" i="1"/>
  <c r="D274" i="1"/>
  <c r="D306" i="1"/>
  <c r="D330" i="1"/>
  <c r="D394" i="1"/>
  <c r="D426" i="1"/>
  <c r="D458" i="1"/>
  <c r="D490" i="1"/>
  <c r="D35" i="1"/>
  <c r="D67" i="1"/>
  <c r="D91" i="1"/>
  <c r="AK40" i="33254" s="1"/>
  <c r="D123" i="1"/>
  <c r="BC106" i="33254" s="1"/>
  <c r="D155" i="1"/>
  <c r="D227" i="1"/>
  <c r="D275" i="1"/>
  <c r="D307" i="1"/>
  <c r="D331" i="1"/>
  <c r="B83" i="33255" s="1"/>
  <c r="D355" i="1"/>
  <c r="D379" i="1"/>
  <c r="D411" i="1"/>
  <c r="D443" i="1"/>
  <c r="D475" i="1"/>
  <c r="G97" i="33254" s="1"/>
  <c r="D499" i="1"/>
  <c r="D36" i="1"/>
  <c r="D68" i="1"/>
  <c r="D92" i="1"/>
  <c r="AK41" i="33254" s="1"/>
  <c r="D124" i="1"/>
  <c r="BC107" i="33254" s="1"/>
  <c r="D156" i="1"/>
  <c r="D236" i="1"/>
  <c r="D276" i="1"/>
  <c r="D308" i="1"/>
  <c r="D332" i="1"/>
  <c r="B84" i="33255" s="1"/>
  <c r="D372" i="1"/>
  <c r="B80" i="33254" s="1"/>
  <c r="D396" i="1"/>
  <c r="D420" i="1"/>
  <c r="D452" i="1"/>
  <c r="B98" i="33254" s="1"/>
  <c r="D476" i="1"/>
  <c r="I97" i="33254" s="1"/>
  <c r="D500" i="1"/>
  <c r="B19" i="33254" s="1"/>
  <c r="D37" i="1"/>
  <c r="D69" i="1"/>
  <c r="D93" i="1"/>
  <c r="AK42" i="33254" s="1"/>
  <c r="D125" i="1"/>
  <c r="BC108" i="33254" s="1"/>
  <c r="D197" i="1"/>
  <c r="D229" i="1"/>
  <c r="D277" i="1"/>
  <c r="D309" i="1"/>
  <c r="D333" i="1"/>
  <c r="B85" i="33255" s="1"/>
  <c r="D349" i="1"/>
  <c r="B115" i="33255" s="1"/>
  <c r="D389" i="1"/>
  <c r="D445" i="1"/>
  <c r="D477" i="1"/>
  <c r="D6" i="1"/>
  <c r="D54" i="1"/>
  <c r="D86" i="1"/>
  <c r="AK35" i="33254" s="1"/>
  <c r="D110" i="1"/>
  <c r="D142" i="1"/>
  <c r="BC125" i="33254" s="1"/>
  <c r="D214" i="1"/>
  <c r="D262" i="1"/>
  <c r="D294" i="1"/>
  <c r="D326" i="1"/>
  <c r="B77" i="33255" s="1"/>
  <c r="D342" i="1"/>
  <c r="D358" i="1"/>
  <c r="I12" i="33254" s="1"/>
  <c r="D374" i="1"/>
  <c r="B84" i="33254" s="1"/>
  <c r="D390" i="1"/>
  <c r="D446" i="1"/>
  <c r="D478" i="1"/>
  <c r="D7" i="1"/>
  <c r="D55" i="1"/>
  <c r="D87" i="1"/>
  <c r="AK36" i="33254" s="1"/>
  <c r="D111" i="1"/>
  <c r="D143" i="1"/>
  <c r="BC126" i="33254" s="1"/>
  <c r="D215" i="1"/>
  <c r="D263" i="1"/>
  <c r="D279" i="1"/>
  <c r="D311" i="1"/>
  <c r="D335" i="1"/>
  <c r="B87" i="33255" s="1"/>
  <c r="D351" i="1"/>
  <c r="D367" i="1"/>
  <c r="B75" i="33254" s="1"/>
  <c r="D423" i="1"/>
  <c r="D455" i="1"/>
  <c r="B100" i="33254" s="1"/>
  <c r="D471" i="1"/>
  <c r="D744" i="1"/>
  <c r="D602" i="1"/>
  <c r="D523" i="1"/>
  <c r="D594" i="1"/>
  <c r="D534" i="1"/>
  <c r="D575" i="1"/>
  <c r="AL58" i="33254" s="1"/>
  <c r="D585" i="1"/>
  <c r="O10" i="33255" s="1"/>
  <c r="D650" i="1"/>
  <c r="D638" i="1"/>
  <c r="D632" i="1"/>
  <c r="D659" i="1"/>
  <c r="D667" i="1"/>
  <c r="B27" i="33255" s="1"/>
  <c r="D684" i="1"/>
  <c r="D698" i="1"/>
  <c r="D712" i="1"/>
  <c r="D723" i="1"/>
  <c r="D733" i="1"/>
  <c r="D755" i="1"/>
  <c r="D765" i="1"/>
  <c r="D776" i="1"/>
  <c r="D787" i="1"/>
  <c r="D797" i="1"/>
  <c r="D808" i="1"/>
  <c r="D819" i="1"/>
  <c r="D829" i="1"/>
  <c r="D840" i="1"/>
  <c r="D851" i="1"/>
  <c r="D861" i="1"/>
  <c r="D872" i="1"/>
  <c r="D883" i="1"/>
  <c r="D893" i="1"/>
  <c r="D904" i="1"/>
  <c r="D915" i="1"/>
  <c r="D925" i="1"/>
  <c r="D936" i="1"/>
  <c r="D947" i="1"/>
  <c r="D957" i="1"/>
  <c r="D968" i="1"/>
  <c r="D977" i="1"/>
  <c r="D984" i="1"/>
  <c r="D992" i="1"/>
  <c r="D999" i="1"/>
  <c r="D618" i="1"/>
  <c r="D610" i="1"/>
  <c r="D609" i="1"/>
  <c r="D539" i="1"/>
  <c r="D586" i="1"/>
  <c r="P10" i="33255" s="1"/>
  <c r="D550" i="1"/>
  <c r="D593" i="1"/>
  <c r="D607" i="1"/>
  <c r="D1000" i="1"/>
  <c r="D987" i="1"/>
  <c r="D972" i="1"/>
  <c r="D951" i="1"/>
  <c r="D929" i="1"/>
  <c r="D908" i="1"/>
  <c r="D887" i="1"/>
  <c r="D865" i="1"/>
  <c r="D844" i="1"/>
  <c r="D823" i="1"/>
  <c r="D801" i="1"/>
  <c r="D780" i="1"/>
  <c r="D759" i="1"/>
  <c r="D737" i="1"/>
  <c r="D716" i="1"/>
  <c r="D690" i="1"/>
  <c r="D627" i="1"/>
  <c r="B38" i="33254" s="1"/>
  <c r="D671" i="1"/>
  <c r="B13" i="33255" s="1"/>
  <c r="AM19" i="33254"/>
  <c r="AM22" i="33254"/>
  <c r="D674" i="1"/>
  <c r="B16" i="33255" s="1"/>
  <c r="AM21" i="33254"/>
  <c r="D58" i="1"/>
  <c r="D479" i="1"/>
  <c r="D447" i="1"/>
  <c r="D407" i="1"/>
  <c r="D327" i="1"/>
  <c r="B78" i="33255" s="1"/>
  <c r="D287" i="1"/>
  <c r="D255" i="1"/>
  <c r="D199" i="1"/>
  <c r="D119" i="1"/>
  <c r="BC102" i="33254" s="1"/>
  <c r="D79" i="1"/>
  <c r="D39" i="1"/>
  <c r="D486" i="1"/>
  <c r="D438" i="1"/>
  <c r="D406" i="1"/>
  <c r="D334" i="1"/>
  <c r="B86" i="33255" s="1"/>
  <c r="D302" i="1"/>
  <c r="D254" i="1"/>
  <c r="D198" i="1"/>
  <c r="D118" i="1"/>
  <c r="BC101" i="33254" s="1"/>
  <c r="D78" i="1"/>
  <c r="D38" i="1"/>
  <c r="D485" i="1"/>
  <c r="D437" i="1"/>
  <c r="D405" i="1"/>
  <c r="D373" i="1"/>
  <c r="B81" i="33254" s="1"/>
  <c r="D325" i="1"/>
  <c r="B76" i="33255" s="1"/>
  <c r="D285" i="1"/>
  <c r="D221" i="1"/>
  <c r="D141" i="1"/>
  <c r="BC124" i="33254" s="1"/>
  <c r="D101" i="1"/>
  <c r="D61" i="1"/>
  <c r="D13" i="1"/>
  <c r="D444" i="1"/>
  <c r="D412" i="1"/>
  <c r="B86" i="33254" s="1"/>
  <c r="D348" i="1"/>
  <c r="B111" i="33255" s="1"/>
  <c r="D324" i="1"/>
  <c r="B75" i="33255" s="1"/>
  <c r="D284" i="1"/>
  <c r="D228" i="1"/>
  <c r="D140" i="1"/>
  <c r="BC123" i="33254" s="1"/>
  <c r="D100" i="1"/>
  <c r="D60" i="1"/>
  <c r="D12" i="1"/>
  <c r="D435" i="1"/>
  <c r="D395" i="1"/>
  <c r="D363" i="1"/>
  <c r="D291" i="1"/>
  <c r="D235" i="1"/>
  <c r="D147" i="1"/>
  <c r="D107" i="1"/>
  <c r="D75" i="1"/>
  <c r="D19" i="1"/>
  <c r="D474" i="1"/>
  <c r="D434" i="1"/>
  <c r="D386" i="1"/>
  <c r="D362" i="1"/>
  <c r="D338" i="1"/>
  <c r="D298" i="1"/>
  <c r="D258" i="1"/>
  <c r="D202" i="1"/>
  <c r="D122" i="1"/>
  <c r="BC105" i="33254" s="1"/>
  <c r="D42" i="1"/>
  <c r="D465" i="1"/>
  <c r="D464" i="1"/>
  <c r="D432" i="1"/>
  <c r="D360" i="1"/>
  <c r="D312" i="1"/>
  <c r="D272" i="1"/>
  <c r="D256" i="1"/>
  <c r="D200" i="1"/>
  <c r="D112" i="1"/>
  <c r="D80" i="1"/>
  <c r="D40" i="1"/>
  <c r="D179" i="1"/>
  <c r="D289" i="1"/>
  <c r="D172" i="1"/>
  <c r="D281" i="1"/>
  <c r="D173" i="1"/>
  <c r="D337" i="1"/>
  <c r="B89" i="33255" s="1"/>
  <c r="D174" i="1"/>
  <c r="D41" i="1"/>
  <c r="D385" i="1"/>
  <c r="D103" i="33254" s="1"/>
  <c r="D169" i="1"/>
  <c r="D369" i="1"/>
  <c r="B77" i="33254" s="1"/>
  <c r="D186" i="1"/>
  <c r="D137" i="1"/>
  <c r="BC120" i="33254" s="1"/>
  <c r="D168" i="1"/>
  <c r="D89" i="1"/>
  <c r="AK38" i="33254" s="1"/>
  <c r="D377" i="1"/>
  <c r="B87" i="33254" s="1"/>
  <c r="D248" i="1"/>
  <c r="D194" i="1"/>
  <c r="D244" i="1"/>
  <c r="D160" i="1"/>
  <c r="D516" i="1"/>
  <c r="D504" i="1"/>
  <c r="D505" i="1"/>
  <c r="D595" i="1"/>
  <c r="B46" i="33255" s="1"/>
  <c r="D540" i="1"/>
  <c r="G3" i="33254" s="1"/>
  <c r="D596" i="1"/>
  <c r="B47" i="33255" s="1"/>
  <c r="D568" i="1"/>
  <c r="D529" i="1"/>
  <c r="D603" i="1"/>
  <c r="D612" i="1"/>
  <c r="D564" i="1"/>
  <c r="D563" i="1"/>
  <c r="D993" i="1"/>
  <c r="D979" i="1"/>
  <c r="D961" i="1"/>
  <c r="D940" i="1"/>
  <c r="D919" i="1"/>
  <c r="D897" i="1"/>
  <c r="D876" i="1"/>
  <c r="D855" i="1"/>
  <c r="D833" i="1"/>
  <c r="D812" i="1"/>
  <c r="D791" i="1"/>
  <c r="D769" i="1"/>
  <c r="D748" i="1"/>
  <c r="D727" i="1"/>
  <c r="D703" i="1"/>
  <c r="D652" i="1"/>
  <c r="D580" i="1"/>
  <c r="D42" i="33254" s="1"/>
  <c r="D619" i="1"/>
  <c r="B16" i="33254" s="1"/>
  <c r="D542" i="1"/>
  <c r="AK19" i="33254" s="1"/>
  <c r="AM18" i="33255"/>
  <c r="K24" i="33255" s="1"/>
  <c r="AN18" i="33255"/>
  <c r="K26" i="33255" s="1"/>
  <c r="AL18" i="33255"/>
  <c r="K22" i="33255" s="1"/>
  <c r="BD50" i="33254"/>
  <c r="BC21" i="33254"/>
  <c r="BD24" i="33254"/>
  <c r="BC46" i="33254"/>
  <c r="BD31" i="33254"/>
  <c r="BD46" i="33254"/>
  <c r="BC29" i="33254"/>
  <c r="BC13" i="33254"/>
  <c r="BC48" i="33254"/>
  <c r="BD45" i="33254"/>
  <c r="BD44" i="33254"/>
  <c r="BH99" i="33254"/>
  <c r="BD15" i="33254" s="1"/>
  <c r="BC33" i="33254"/>
  <c r="BD11" i="33254"/>
  <c r="BC18" i="33254"/>
  <c r="BC50" i="33254"/>
  <c r="BD19" i="33254"/>
  <c r="BD17" i="33254"/>
  <c r="BD18" i="33254"/>
  <c r="BC35" i="33254"/>
  <c r="BC28" i="33254"/>
  <c r="BD14" i="33254"/>
  <c r="BD12" i="33254"/>
  <c r="BD25" i="33254"/>
  <c r="BD48" i="33254"/>
  <c r="BC30" i="33254"/>
  <c r="BD129" i="33254"/>
  <c r="BI132" i="33254" s="1"/>
  <c r="BC12" i="33254" s="1"/>
  <c r="BD23" i="33254"/>
  <c r="BD30" i="33254"/>
  <c r="BF129" i="33254"/>
  <c r="BI134" i="33254" s="1"/>
  <c r="BC14" i="33254" s="1"/>
  <c r="BD29" i="33254"/>
  <c r="BD20" i="33254"/>
  <c r="BC41" i="33254"/>
  <c r="BC42" i="33254"/>
  <c r="BD43" i="33254"/>
  <c r="BC27" i="33254"/>
  <c r="BD26" i="33254"/>
  <c r="BF99" i="33254"/>
  <c r="BD13" i="33254" s="1"/>
  <c r="BC44" i="33254"/>
  <c r="BC11" i="33254"/>
  <c r="B80" i="33255" l="1"/>
  <c r="N95" i="33255"/>
  <c r="O55" i="33254"/>
  <c r="N75" i="33255"/>
  <c r="O75" i="33255" s="1"/>
  <c r="AK1" i="33254"/>
  <c r="P55" i="33254"/>
  <c r="P58" i="33254" s="1"/>
  <c r="AK13" i="33254"/>
  <c r="Q55" i="33254"/>
  <c r="Q61" i="33254" s="1"/>
  <c r="X51" i="33254" s="1"/>
  <c r="O32" i="33255"/>
  <c r="T36" i="33255" s="1"/>
  <c r="AK22" i="33254"/>
  <c r="AK27" i="33254"/>
  <c r="V42" i="33254"/>
  <c r="AP13" i="33254"/>
  <c r="B28" i="33254"/>
  <c r="I103" i="33254"/>
  <c r="H98" i="33254"/>
  <c r="AO13" i="33254"/>
  <c r="B27" i="33254"/>
  <c r="B35" i="33255"/>
  <c r="B96" i="33255"/>
  <c r="AL54" i="33254"/>
  <c r="D47" i="33254"/>
  <c r="B43" i="33255"/>
  <c r="D26" i="33254"/>
  <c r="P52" i="33255"/>
  <c r="D29" i="33254"/>
  <c r="B44" i="33255"/>
  <c r="D28" i="33254"/>
  <c r="D27" i="33254"/>
  <c r="B52" i="33255"/>
  <c r="D46" i="33254"/>
  <c r="AL50" i="33254"/>
  <c r="D43" i="33254"/>
  <c r="AL51" i="33254"/>
  <c r="D45" i="33254"/>
  <c r="AL53" i="33254"/>
  <c r="AL52" i="33254"/>
  <c r="D44" i="33254"/>
  <c r="AN13" i="33254"/>
  <c r="B26" i="33254"/>
  <c r="B43" i="33254"/>
  <c r="AK50" i="33254"/>
  <c r="P45" i="33255"/>
  <c r="P25" i="33255"/>
  <c r="P49" i="33255"/>
  <c r="P50" i="33255"/>
  <c r="P48" i="33255"/>
  <c r="P27" i="33255"/>
  <c r="P47" i="33255"/>
  <c r="P43" i="33255"/>
  <c r="P21" i="33255"/>
  <c r="P23" i="33255"/>
  <c r="P46" i="33255"/>
  <c r="P44" i="33255"/>
  <c r="P57" i="33254"/>
  <c r="P80" i="33254"/>
  <c r="P61" i="33254"/>
  <c r="W51" i="33254" s="1"/>
  <c r="O89" i="33254"/>
  <c r="S88" i="33254"/>
  <c r="O90" i="33254"/>
  <c r="O33" i="33255"/>
  <c r="P53" i="33254"/>
  <c r="N96" i="33255"/>
  <c r="R11" i="33255"/>
  <c r="R53" i="33254"/>
  <c r="O13" i="33254"/>
  <c r="N15" i="33254" s="1"/>
  <c r="O53" i="33254"/>
  <c r="Q53" i="33254"/>
  <c r="AK15" i="33254"/>
  <c r="AL1" i="33254"/>
  <c r="N76" i="33255"/>
  <c r="O76" i="33255" s="1"/>
  <c r="D50" i="33254"/>
  <c r="AL56" i="33254"/>
  <c r="M1" i="33255"/>
  <c r="K1" i="33254"/>
  <c r="AK57" i="33254"/>
  <c r="B51" i="33254"/>
  <c r="D51" i="33254"/>
  <c r="AL57" i="33254"/>
  <c r="B24" i="33255"/>
  <c r="B26" i="33255"/>
  <c r="B28" i="33255"/>
  <c r="B22" i="33255"/>
  <c r="B53" i="33254"/>
  <c r="AK44" i="33254"/>
  <c r="G53" i="33254" s="1"/>
  <c r="D49" i="33254"/>
  <c r="AL55" i="33254"/>
  <c r="W41" i="33254"/>
  <c r="P88" i="33254"/>
  <c r="W40" i="33254"/>
  <c r="T37" i="33255"/>
  <c r="O36" i="33255"/>
  <c r="O37" i="33255"/>
  <c r="AK51" i="33254"/>
  <c r="B44" i="33254"/>
  <c r="B30" i="33255"/>
  <c r="B93" i="33255"/>
  <c r="AK54" i="33254"/>
  <c r="B47" i="33254"/>
  <c r="AK25" i="33254"/>
  <c r="AK18" i="33254"/>
  <c r="B32" i="33254" s="1"/>
  <c r="R12" i="33255"/>
  <c r="Q21" i="33255" s="1"/>
  <c r="N74" i="33255"/>
  <c r="X40" i="33254"/>
  <c r="Q88" i="33254"/>
  <c r="X41" i="33254"/>
  <c r="R61" i="33254"/>
  <c r="Y51" i="33254" s="1"/>
  <c r="R56" i="33254"/>
  <c r="R80" i="33254"/>
  <c r="R57" i="33254"/>
  <c r="R58" i="33254"/>
  <c r="Q36" i="33254"/>
  <c r="Q35" i="33254"/>
  <c r="O36" i="33254"/>
  <c r="O37" i="33254"/>
  <c r="R36" i="33254"/>
  <c r="Q19" i="33254"/>
  <c r="O19" i="33254"/>
  <c r="P24" i="33254"/>
  <c r="Q40" i="33254"/>
  <c r="Q42" i="33254"/>
  <c r="O43" i="33254"/>
  <c r="O40" i="33254"/>
  <c r="P41" i="33254"/>
  <c r="R41" i="33254"/>
  <c r="O35" i="33254"/>
  <c r="S35" i="33254" s="1"/>
  <c r="R37" i="33254"/>
  <c r="P20" i="33254"/>
  <c r="R19" i="33254"/>
  <c r="Q24" i="33254"/>
  <c r="Q38" i="33254"/>
  <c r="O38" i="33254"/>
  <c r="P39" i="33254"/>
  <c r="R42" i="33254"/>
  <c r="P35" i="33254"/>
  <c r="R35" i="33254"/>
  <c r="Q20" i="33254"/>
  <c r="P19" i="33254"/>
  <c r="O20" i="33254"/>
  <c r="O44" i="33254"/>
  <c r="Q43" i="33254"/>
  <c r="O41" i="33254"/>
  <c r="P42" i="33254"/>
  <c r="P43" i="33254"/>
  <c r="R24" i="33254"/>
  <c r="Q39" i="33254"/>
  <c r="R40" i="33254"/>
  <c r="O39" i="33254"/>
  <c r="P40" i="33254"/>
  <c r="R38" i="33254"/>
  <c r="P36" i="33254"/>
  <c r="R43" i="33254"/>
  <c r="O42" i="33254"/>
  <c r="Q37" i="33254"/>
  <c r="R39" i="33254"/>
  <c r="P38" i="33254"/>
  <c r="O24" i="33254"/>
  <c r="P37" i="33254"/>
  <c r="Q41" i="33254"/>
  <c r="R20" i="33254"/>
  <c r="AQ13" i="33254"/>
  <c r="B29" i="33254"/>
  <c r="S11" i="33255"/>
  <c r="P75" i="33255"/>
  <c r="R88" i="33254"/>
  <c r="Y40" i="33254"/>
  <c r="Y41" i="33254"/>
  <c r="AO55" i="33254"/>
  <c r="AO57" i="33254"/>
  <c r="AP57" i="33254" s="1"/>
  <c r="AO56" i="33254"/>
  <c r="AP56" i="33254" s="1"/>
  <c r="B45" i="33254"/>
  <c r="AK52" i="33254"/>
  <c r="AK56" i="33254"/>
  <c r="B50" i="33254"/>
  <c r="S12" i="33255"/>
  <c r="P76" i="33255"/>
  <c r="B38" i="33255"/>
  <c r="B105" i="33255"/>
  <c r="AK55" i="33254"/>
  <c r="B49" i="33254"/>
  <c r="AK26" i="33254"/>
  <c r="B22" i="33254" s="1"/>
  <c r="AK23" i="33254"/>
  <c r="AK53" i="33254"/>
  <c r="B46" i="33254"/>
  <c r="C11" i="33255"/>
  <c r="AR21" i="33254"/>
  <c r="AR18" i="33254"/>
  <c r="AR19" i="33254"/>
  <c r="AR23" i="33254"/>
  <c r="AR22" i="33254"/>
  <c r="AR20" i="33254"/>
  <c r="S13" i="33255"/>
  <c r="T13" i="33255" s="1"/>
  <c r="P77" i="33255"/>
  <c r="C97" i="33255"/>
  <c r="C109" i="33255"/>
  <c r="Q56" i="33254" l="1"/>
  <c r="P56" i="33254"/>
  <c r="Q80" i="33254"/>
  <c r="Q58" i="33254"/>
  <c r="Q81" i="33255"/>
  <c r="O81" i="33255"/>
  <c r="Q57" i="33254"/>
  <c r="O58" i="33254"/>
  <c r="O61" i="33254"/>
  <c r="V51" i="33254" s="1"/>
  <c r="O80" i="33254"/>
  <c r="O56" i="33254"/>
  <c r="O57" i="33254"/>
  <c r="O98" i="33255"/>
  <c r="O105" i="33255" s="1"/>
  <c r="Q98" i="33255"/>
  <c r="Q105" i="33255" s="1"/>
  <c r="N112" i="33255"/>
  <c r="O112" i="33255"/>
  <c r="Q110" i="33255"/>
  <c r="O113" i="33255"/>
  <c r="N111" i="33255"/>
  <c r="P111" i="33255"/>
  <c r="Q113" i="33255"/>
  <c r="P113" i="33255"/>
  <c r="N110" i="33255"/>
  <c r="O110" i="33255"/>
  <c r="O111" i="33255"/>
  <c r="Q112" i="33255"/>
  <c r="Q111" i="33255"/>
  <c r="P110" i="33255"/>
  <c r="P112" i="33255"/>
  <c r="N98" i="33255"/>
  <c r="N105" i="33255" s="1"/>
  <c r="P98" i="33255"/>
  <c r="P105" i="33255" s="1"/>
  <c r="N113" i="33255"/>
  <c r="P29" i="33255"/>
  <c r="P81" i="33255"/>
  <c r="W42" i="33254"/>
  <c r="Q25" i="33255"/>
  <c r="AR53" i="33254"/>
  <c r="AP55" i="33254"/>
  <c r="AP58" i="33254" s="1"/>
  <c r="AP59" i="33254" s="1"/>
  <c r="AO58" i="33254"/>
  <c r="U84" i="33255"/>
  <c r="T86" i="33255"/>
  <c r="S86" i="33255"/>
  <c r="T90" i="33255"/>
  <c r="V92" i="33255"/>
  <c r="T85" i="33255"/>
  <c r="Q92" i="33255"/>
  <c r="N92" i="33255"/>
  <c r="Q83" i="33255"/>
  <c r="Q85" i="33255"/>
  <c r="P86" i="33255"/>
  <c r="N87" i="33255"/>
  <c r="N84" i="33255"/>
  <c r="P85" i="33255"/>
  <c r="Q88" i="33255"/>
  <c r="U90" i="33255"/>
  <c r="T92" i="33255"/>
  <c r="S83" i="33255"/>
  <c r="U83" i="33255"/>
  <c r="T91" i="33255"/>
  <c r="V85" i="33255"/>
  <c r="O74" i="33255"/>
  <c r="O87" i="33255"/>
  <c r="N83" i="33255"/>
  <c r="O88" i="33255"/>
  <c r="N90" i="33255"/>
  <c r="Q91" i="33255"/>
  <c r="P92" i="33255"/>
  <c r="P91" i="33255"/>
  <c r="O84" i="33255"/>
  <c r="V86" i="33255"/>
  <c r="S85" i="33255"/>
  <c r="V90" i="33255"/>
  <c r="T84" i="33255"/>
  <c r="V83" i="33255"/>
  <c r="O92" i="33255"/>
  <c r="O90" i="33255"/>
  <c r="Q89" i="33255"/>
  <c r="Q87" i="33255"/>
  <c r="N91" i="33255"/>
  <c r="N89" i="33255"/>
  <c r="N86" i="33255"/>
  <c r="S84" i="33255"/>
  <c r="U92" i="33255"/>
  <c r="U86" i="33255"/>
  <c r="N88" i="33255"/>
  <c r="P84" i="33255"/>
  <c r="P88" i="33255"/>
  <c r="O85" i="33255"/>
  <c r="N85" i="33255"/>
  <c r="O89" i="33255"/>
  <c r="S91" i="33255"/>
  <c r="U85" i="33255"/>
  <c r="S90" i="33255"/>
  <c r="P83" i="33255"/>
  <c r="P93" i="33255" s="1"/>
  <c r="P115" i="33255" s="1"/>
  <c r="K115" i="33255" s="1"/>
  <c r="Q90" i="33255"/>
  <c r="Q86" i="33255"/>
  <c r="P87" i="33255"/>
  <c r="U91" i="33255"/>
  <c r="P90" i="33255"/>
  <c r="V84" i="33255"/>
  <c r="S92" i="33255"/>
  <c r="O83" i="33255"/>
  <c r="T83" i="33255"/>
  <c r="O86" i="33255"/>
  <c r="P89" i="33255"/>
  <c r="V91" i="33255"/>
  <c r="O91" i="33255"/>
  <c r="Q84" i="33255"/>
  <c r="AS23" i="33254"/>
  <c r="J110" i="33254"/>
  <c r="J112" i="33254"/>
  <c r="J104" i="33254"/>
  <c r="K107" i="33254"/>
  <c r="J106" i="33254"/>
  <c r="B57" i="33255"/>
  <c r="R89" i="33254"/>
  <c r="R90" i="33254"/>
  <c r="V69" i="33254"/>
  <c r="O81" i="33254"/>
  <c r="AD13" i="33254"/>
  <c r="AD17" i="33254" s="1"/>
  <c r="AH17" i="33254" s="1"/>
  <c r="V60" i="33254"/>
  <c r="Z60" i="33254" s="1"/>
  <c r="Z64" i="33254" s="1"/>
  <c r="O84" i="33254"/>
  <c r="O85" i="33254" s="1"/>
  <c r="O38" i="33255"/>
  <c r="I33" i="33255"/>
  <c r="Q90" i="33254"/>
  <c r="Q89" i="33254"/>
  <c r="Q27" i="33255"/>
  <c r="N81" i="33255"/>
  <c r="W69" i="33254"/>
  <c r="P81" i="33254"/>
  <c r="AE13" i="33254"/>
  <c r="W60" i="33254"/>
  <c r="P84" i="33254"/>
  <c r="P85" i="33254" s="1"/>
  <c r="X42" i="33254"/>
  <c r="T38" i="33255"/>
  <c r="P89" i="33254"/>
  <c r="P90" i="33254"/>
  <c r="Q23" i="33255"/>
  <c r="R84" i="33254"/>
  <c r="R85" i="33254" s="1"/>
  <c r="Y69" i="33254"/>
  <c r="Y60" i="33254"/>
  <c r="AG13" i="33254"/>
  <c r="R81" i="33254"/>
  <c r="S90" i="33254"/>
  <c r="S89" i="33254"/>
  <c r="R27" i="33255"/>
  <c r="O21" i="33255"/>
  <c r="O25" i="33255"/>
  <c r="O27" i="33255"/>
  <c r="O23" i="33255"/>
  <c r="Y42" i="33254"/>
  <c r="AF13" i="33254"/>
  <c r="X69" i="33254"/>
  <c r="Q81" i="33254"/>
  <c r="Q84" i="33254"/>
  <c r="Q85" i="33254" s="1"/>
  <c r="X60" i="33254"/>
  <c r="O93" i="33255" l="1"/>
  <c r="O115" i="33255" s="1"/>
  <c r="J115" i="33255" s="1"/>
  <c r="P114" i="33255"/>
  <c r="O114" i="33255"/>
  <c r="N114" i="33255"/>
  <c r="V93" i="33255"/>
  <c r="U93" i="33255"/>
  <c r="Q114" i="33255"/>
  <c r="Q93" i="33255"/>
  <c r="Q115" i="33255" s="1"/>
  <c r="L115" i="33255" s="1"/>
  <c r="Q29" i="33255"/>
  <c r="K10" i="33255" s="1"/>
  <c r="V61" i="33254"/>
  <c r="Z61" i="33254" s="1"/>
  <c r="Z69" i="33254"/>
  <c r="V70" i="33254"/>
  <c r="Z70" i="33254" s="1"/>
  <c r="P86" i="33254"/>
  <c r="P87" i="33254" s="1"/>
  <c r="P93" i="33254" s="1"/>
  <c r="AF19" i="33254"/>
  <c r="AD19" i="33254"/>
  <c r="AH19" i="33254" s="1"/>
  <c r="AG19" i="33254"/>
  <c r="AE19" i="33254"/>
  <c r="AG20" i="33254"/>
  <c r="AH34" i="33254"/>
  <c r="AG36" i="33254"/>
  <c r="AD36" i="33254"/>
  <c r="AH36" i="33254" s="1"/>
  <c r="AE36" i="33254"/>
  <c r="AE20" i="33254"/>
  <c r="AD20" i="33254"/>
  <c r="AF20" i="33254"/>
  <c r="AF36" i="33254"/>
  <c r="S85" i="33254"/>
  <c r="O86" i="33254"/>
  <c r="O87" i="33254" s="1"/>
  <c r="S87" i="33254" s="1"/>
  <c r="B55" i="33254"/>
  <c r="I40" i="33254"/>
  <c r="B55" i="33255"/>
  <c r="Q86" i="33254"/>
  <c r="Q87" i="33254" s="1"/>
  <c r="Q93" i="33254" s="1"/>
  <c r="O29" i="33255"/>
  <c r="Y61" i="33254"/>
  <c r="Y70" i="33254"/>
  <c r="W70" i="33254"/>
  <c r="W61" i="33254"/>
  <c r="S93" i="33255"/>
  <c r="R86" i="33254"/>
  <c r="R87" i="33254" s="1"/>
  <c r="R93" i="33254" s="1"/>
  <c r="N93" i="33255"/>
  <c r="N115" i="33255" s="1"/>
  <c r="I115" i="33255" s="1"/>
  <c r="X70" i="33254"/>
  <c r="X61" i="33254"/>
  <c r="T93" i="33255"/>
  <c r="P96" i="33254" l="1"/>
  <c r="P95" i="33254"/>
  <c r="P94" i="33254"/>
  <c r="Q94" i="33254"/>
  <c r="Q95" i="33254"/>
  <c r="Q96" i="33254"/>
  <c r="R95" i="33254"/>
  <c r="R96" i="33254"/>
  <c r="R94" i="33254"/>
  <c r="AG38" i="33254"/>
  <c r="AG39" i="33254" s="1"/>
  <c r="AG21" i="33254"/>
  <c r="AG22" i="33254" s="1"/>
  <c r="AH20" i="33254"/>
  <c r="AD21" i="33254"/>
  <c r="AD38" i="33254"/>
  <c r="AE21" i="33254"/>
  <c r="AE22" i="33254" s="1"/>
  <c r="AE38" i="33254"/>
  <c r="AE39" i="33254" s="1"/>
  <c r="O93" i="33254"/>
  <c r="AF21" i="33254"/>
  <c r="AF22" i="33254" s="1"/>
  <c r="AF38" i="33254"/>
  <c r="AF39" i="33254" s="1"/>
  <c r="AD39" i="33254" l="1"/>
  <c r="AH39" i="33254" s="1"/>
  <c r="AH38" i="33254"/>
  <c r="O94" i="33254"/>
  <c r="S94" i="33254" s="1"/>
  <c r="O96" i="33254"/>
  <c r="O95" i="33254"/>
  <c r="AH21" i="33254"/>
  <c r="AD22" i="33254"/>
  <c r="AH22" i="33254" s="1"/>
  <c r="AH40" i="3325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arthur</author>
  </authors>
  <commentList>
    <comment ref="B106" authorId="0" shapeId="0" xr:uid="{00000000-0006-0000-0000-000001000000}">
      <text>
        <r>
          <rPr>
            <sz val="9"/>
            <color indexed="81"/>
            <rFont val="Segoe UI"/>
            <family val="2"/>
          </rPr>
          <t>Gilt für Kategorien ‚Restaurants’, ‚Sportbauten’ und ‚Hallenbäder’:
20% mit erneuerbarer Energie erbringen.
Valable pour les catégories "Restaurants", "Installations sportives" et "Piscines couvertes" :
20% des besoins en ECS par des énergies renouvelables
Vale per le categorie "ristoranti", "impianti sportivi" e "piscine coperte":
20% fornito con energie rinnovabili</t>
        </r>
      </text>
    </comment>
    <comment ref="B110" authorId="0" shapeId="0" xr:uid="{00000000-0006-0000-0000-000002000000}">
      <text>
        <r>
          <rPr>
            <sz val="9"/>
            <color indexed="81"/>
            <rFont val="Segoe UI"/>
            <family val="2"/>
          </rPr>
          <t>Gilt für Kategorie "Hallenbad"
Valable pour la catégorie "Piscine couverte"
Vale per la categoria "Piscine coperte"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huber</author>
    <author>Fuchs Daniel</author>
    <author>Arthur Huber</author>
  </authors>
  <commentList>
    <comment ref="B37" authorId="0" shapeId="0" xr:uid="{00000000-0006-0000-0100-000001000000}">
      <text>
        <r>
          <rPr>
            <b/>
            <sz val="9"/>
            <color indexed="81"/>
            <rFont val="Segoe UI"/>
            <family val="2"/>
          </rPr>
          <t xml:space="preserve">Hinweis:
</t>
        </r>
        <r>
          <rPr>
            <sz val="9"/>
            <color indexed="81"/>
            <rFont val="Segoe UI"/>
            <family val="2"/>
          </rPr>
          <t>Falls Nein, so muss die Möglichkeit zur Fensterlüftung trotzdem erfüllt sein.</t>
        </r>
      </text>
    </comment>
    <comment ref="B82" authorId="1" shapeId="0" xr:uid="{00000000-0006-0000-0100-000002000000}">
      <text>
        <r>
          <rPr>
            <sz val="9"/>
            <color indexed="81"/>
            <rFont val="Tahoma"/>
            <family val="2"/>
          </rPr>
          <t>g-Wert und Produktebezeichnung
valeur g (taux de transmission d'énergie) et nom du produit utilisé.
valori g, descrizione del prodotto</t>
        </r>
      </text>
    </comment>
    <comment ref="B83" authorId="2" shapeId="0" xr:uid="{00000000-0006-0000-0100-000003000000}">
      <text>
        <r>
          <rPr>
            <sz val="8"/>
            <color indexed="81"/>
            <rFont val="Tahoma"/>
            <family val="2"/>
          </rPr>
          <t>Wenn S14 zutrifft, ist in S11 n.a. anzuwählen.
Si S14 s'avère exact, "n.a." doit être sélectionné dans S11.
Se in S14 si risponde Si, in S11 bisogna rispondere n.a.</t>
        </r>
      </text>
    </comment>
    <comment ref="B86" authorId="2" shapeId="0" xr:uid="{00000000-0006-0000-0100-000004000000}">
      <text>
        <r>
          <rPr>
            <sz val="8"/>
            <color indexed="81"/>
            <rFont val="Tahoma"/>
            <family val="2"/>
          </rPr>
          <t>Wenn Beschreibung zutrifft, ist Bedingung 'Glasanteil' nicht relevant. Wenn eine der beschriebenen Eigenschaften nicht zutrifft, ist n.a. anzuwählen.
Si la description est exacte, la condition "taux de surface vitrée" n'est pas significative. Si l'une des caractéristiques ne correspond pas, "n.a." doit être sélectionné.
Se si riscontra questa situazione, la percentuale di vetro non è rilevante. Se una delle caratteristiche elencate non è presente, bisogna rispondere n.a.</t>
        </r>
      </text>
    </comment>
  </commentList>
</comments>
</file>

<file path=xl/sharedStrings.xml><?xml version="1.0" encoding="utf-8"?>
<sst xmlns="http://schemas.openxmlformats.org/spreadsheetml/2006/main" count="3624" uniqueCount="2470">
  <si>
    <t>Verwaltung</t>
  </si>
  <si>
    <t>Erfüllung der Anforderungen:</t>
  </si>
  <si>
    <t>Kanton</t>
  </si>
  <si>
    <t>Pelletfeuerung</t>
  </si>
  <si>
    <t>Hinweis: Im Blatt 'Eingaben' wurde ein Lüftungsgerät mit integrierter Wärmepumpe gewählt</t>
  </si>
  <si>
    <t>Deckungsgrad zu hoch</t>
  </si>
  <si>
    <t>Heizung ausgewählt</t>
  </si>
  <si>
    <t>Warmwasser ausgewählt</t>
  </si>
  <si>
    <t>Berechnung beilege</t>
  </si>
  <si>
    <t>Anzahl Personen</t>
  </si>
  <si>
    <t>Therm. wirksamer Aussenl.-Volumenstr.</t>
  </si>
  <si>
    <t>Berechneter Wert</t>
  </si>
  <si>
    <t>Erfüllt?</t>
  </si>
  <si>
    <t>Fällt Abwärme an?</t>
  </si>
  <si>
    <t>Abwärme</t>
  </si>
  <si>
    <t>Abluft-Wärmepumpe ohne ZUL</t>
  </si>
  <si>
    <t xml:space="preserve"> 'Lüftungsgerät mit Abluft-Wärmepumpe' wählen</t>
  </si>
  <si>
    <t xml:space="preserve"> 'Lüftungsgerät mit Abluft / Zuluft  - Wärmepumpe ohne WRG'       oder                                   'Kompakt-WP mit Zu- &amp; Abluft / WW ohne WRG'    wählen</t>
  </si>
  <si>
    <t xml:space="preserve"> 'Lüftungsgerät mit Abluft / Zuluft  - Wärmepumpe plus WRG'       oder                                         'Kompakt-WP mit Zu- &amp; Abluft / WW plus WRG'    wählen"</t>
  </si>
  <si>
    <t>Elektro direkt</t>
  </si>
  <si>
    <t>Débit d'air spécifique thermiquement actif Vth selon SIA 380/1: cette valeur doit correspondre à celle donnée pour le calcul de la demande d'énergie de chauffage avec aération effective.</t>
  </si>
  <si>
    <t>Eingaben</t>
  </si>
  <si>
    <t>A98</t>
  </si>
  <si>
    <t>A99</t>
  </si>
  <si>
    <t>A100</t>
  </si>
  <si>
    <t>A101</t>
  </si>
  <si>
    <t>A102</t>
  </si>
  <si>
    <t>A103</t>
  </si>
  <si>
    <t>A104</t>
  </si>
  <si>
    <t>A105</t>
  </si>
  <si>
    <t>A106</t>
  </si>
  <si>
    <t>A107</t>
  </si>
  <si>
    <t>A109</t>
  </si>
  <si>
    <t>A110</t>
  </si>
  <si>
    <t>A111</t>
  </si>
  <si>
    <t>A112</t>
  </si>
  <si>
    <t>A113</t>
  </si>
  <si>
    <t>A114</t>
  </si>
  <si>
    <t>A115</t>
  </si>
  <si>
    <t>A116</t>
  </si>
  <si>
    <t>A117</t>
  </si>
  <si>
    <t>A118</t>
  </si>
  <si>
    <t>A119</t>
  </si>
  <si>
    <t>A120</t>
  </si>
  <si>
    <t>A121</t>
  </si>
  <si>
    <t>A122</t>
  </si>
  <si>
    <t>A123</t>
  </si>
  <si>
    <t>A124</t>
  </si>
  <si>
    <t>Qh avec débit d'air thermiquement actif</t>
  </si>
  <si>
    <t>Selbstdeklaration/Bestätigung</t>
  </si>
  <si>
    <t>Netto-Jahresertrag pro kWp (Standardwert)</t>
  </si>
  <si>
    <t>Ölfeuerung kondensierend nur Heizung</t>
  </si>
  <si>
    <t>Ölfeuerung kondensierend nur Warmwasser</t>
  </si>
  <si>
    <t>Gasfeuerung kondensierend nur Heizung</t>
  </si>
  <si>
    <t>Gasfeuerung kondensierend nur Warmwasser</t>
  </si>
  <si>
    <t>Wärmepumpe Aussenluft, nur Heizung</t>
  </si>
  <si>
    <t>Wärmepumpe, Aussenluft, nur Warmwasser</t>
  </si>
  <si>
    <t>Wärmepumpe, Erdwärmesonde, nur Heizung</t>
  </si>
  <si>
    <t>Wärmepumpe, Erdwärmesonde, nur Warmwasser</t>
  </si>
  <si>
    <t>Refroidissement</t>
  </si>
  <si>
    <t>Humidification</t>
  </si>
  <si>
    <t>Refr. + humid.</t>
  </si>
  <si>
    <t>B34</t>
  </si>
  <si>
    <t>B35</t>
  </si>
  <si>
    <t>Choisir "Aération avec PAC air repris"</t>
  </si>
  <si>
    <t>Choisir "Aération avec PAC air repris/fourni sans récup. de chaleur" ou PAC compacte avec air fourni/repris et ECS sans récup. de chaleur"</t>
  </si>
  <si>
    <t>Befeuchtung</t>
  </si>
  <si>
    <t>Kühl. + Bef.</t>
  </si>
  <si>
    <t>E37</t>
  </si>
  <si>
    <t>Spezifischer, thermisch wirksamer Aussenluftvolumenstrom Vth nach SIA 380/1: Dieser Wert muss mit der Eingabe für die Berechnung für den Heizwärmebedarf mit effektivem Luftwechsel übereinstimmen.</t>
  </si>
  <si>
    <t>Neubau:</t>
  </si>
  <si>
    <t>Ja</t>
  </si>
  <si>
    <t>Nein</t>
  </si>
  <si>
    <t>Wärmerückgewinnungs-Wärmetauscher</t>
  </si>
  <si>
    <t>Kreislauf-KVS</t>
  </si>
  <si>
    <t>deutsch</t>
  </si>
  <si>
    <t>französisch</t>
  </si>
  <si>
    <t>italienisch</t>
  </si>
  <si>
    <t>Uebersetzungsliste</t>
  </si>
  <si>
    <t>Energiebezugsfläche EBF</t>
  </si>
  <si>
    <r>
      <t>A</t>
    </r>
    <r>
      <rPr>
        <vertAlign val="subscript"/>
        <sz val="8"/>
        <rFont val="Arial"/>
        <family val="2"/>
      </rPr>
      <t>E</t>
    </r>
  </si>
  <si>
    <t>Energiebezugsfläche EBF, muss aus der Rechnung SIA 380/1 übernommen werden.</t>
  </si>
  <si>
    <t>Strombedarf Klima und Befeuchtung</t>
  </si>
  <si>
    <t>Kühlung oder Befeuchtung vorhanden?</t>
  </si>
  <si>
    <t>Wird eine Kühlung verwendet oder Befeuchtung verwendet?</t>
  </si>
  <si>
    <t>Elektro-Wassererwärmer</t>
  </si>
  <si>
    <t>Wasser-Wärmepumpe, Heizung</t>
  </si>
  <si>
    <t>Solarenergie thermisch, Heizung + WW</t>
  </si>
  <si>
    <t>Erdsonden-WP, Heizung</t>
  </si>
  <si>
    <t>Erdsonden-WP, Warmwasser</t>
  </si>
  <si>
    <t>Abwasser-WP (direkt), Heizung</t>
  </si>
  <si>
    <t>Abwasser-WP direkt, Warmwasser</t>
  </si>
  <si>
    <t>Wasser-WP, Warmwasser</t>
  </si>
  <si>
    <t>Remarque: dans la feuille 'Entrée' une installation de ventilation avec PAC intégrée a été choisie
-&gt; choisir une PAC avec air fourni comme mode de production de chaleur</t>
  </si>
  <si>
    <t>Besoins d'électricité exploitation</t>
  </si>
  <si>
    <t>Biomasse, connectée</t>
  </si>
  <si>
    <t>Biomasse, connectée au réseau hydraulique</t>
  </si>
  <si>
    <t>Wärmeerzeugung:</t>
  </si>
  <si>
    <t>Objektwert</t>
  </si>
  <si>
    <t>Optimierter Betrieb Hallenbad</t>
  </si>
  <si>
    <t>Gebäudehüllzahl</t>
  </si>
  <si>
    <t>Auswahl:</t>
  </si>
  <si>
    <t>andere</t>
  </si>
  <si>
    <t>Strombedarf Lüftung + Vereisungsschutz</t>
  </si>
  <si>
    <t>Kleinanlagen mit Standardwerten</t>
  </si>
  <si>
    <t>Elektrospeicher-Zentralheizung</t>
  </si>
  <si>
    <t>Zusätzlich Elektro-Wassererwärmer wählen</t>
  </si>
  <si>
    <t>eff. Heizwärmebedarf mit Lüftungsanlage</t>
  </si>
  <si>
    <t>Abwärme aus gewerblicher Kälte</t>
  </si>
  <si>
    <t xml:space="preserve"> </t>
  </si>
  <si>
    <t>Gebäudedaten, Lüftung und Grenzwert:</t>
  </si>
  <si>
    <t>Ölfeuerung</t>
  </si>
  <si>
    <t>Gasfeuerung</t>
  </si>
  <si>
    <t>Gas - Wassererwärmer</t>
  </si>
  <si>
    <t>Anzahl Räume mit Zuluft</t>
  </si>
  <si>
    <t>keine WRG</t>
  </si>
  <si>
    <t>n.a.</t>
  </si>
  <si>
    <t>Wasser-Wärmepumpe, nur Warmwasser</t>
  </si>
  <si>
    <t>Wärmepumpe, Grundwasser, direkt, nur Heizung</t>
  </si>
  <si>
    <t>Wärmepumpe, Grundwasser, direkt, nur Warmwasser</t>
  </si>
  <si>
    <t>Wärmepumpe, Grundwasser, indirekt, nur Heizung</t>
  </si>
  <si>
    <t>Wärmepumpe, Grundwasser, indirekt, nur Warmwaser</t>
  </si>
  <si>
    <t>Wärmepumpe Erdregister, nur Heizung</t>
  </si>
  <si>
    <t>Wärmepumpe Erdregister, nur Warmwasser</t>
  </si>
  <si>
    <t>Solarenergie thermisch, nur Heizung</t>
  </si>
  <si>
    <t>Solarenergie thermisch, nur Warmwasser</t>
  </si>
  <si>
    <t>Zone 3</t>
  </si>
  <si>
    <t>Zone 4</t>
  </si>
  <si>
    <t>Verkauf</t>
  </si>
  <si>
    <t>Spitäler</t>
  </si>
  <si>
    <t>Lager</t>
  </si>
  <si>
    <t>Sportbau</t>
  </si>
  <si>
    <t>Heizung</t>
  </si>
  <si>
    <t>Warmwasser</t>
  </si>
  <si>
    <t>m.ü.M.</t>
  </si>
  <si>
    <t>Surface de référence énergétique AE, doit être reprise du calcul SIA 380/1.</t>
  </si>
  <si>
    <t>Installations de ventilation et de climatisation</t>
  </si>
  <si>
    <t>Besoins d'électricité pour la climatisation et l'humidification</t>
  </si>
  <si>
    <t>Rafraîchissement et/ou humidification ?</t>
  </si>
  <si>
    <t>Y aura-t-il un rafraîchissement ou une humidification?</t>
  </si>
  <si>
    <t>Erdregister-WP, Heizung</t>
  </si>
  <si>
    <t>Erdregister-WP, Warmwasser</t>
  </si>
  <si>
    <t>Grundwasser-WP, indir, Heizung</t>
  </si>
  <si>
    <t>Hinweis: Im Blatt 'Eingaben' wurde ein Lüftungsgerät mit integrierter Wärmepumpe gewählt
-&gt;  Wärmeerzeugung mit Abluft-WP wählen</t>
  </si>
  <si>
    <t>Solothurn</t>
  </si>
  <si>
    <t>Schaffhausen</t>
  </si>
  <si>
    <t>St. Gallen</t>
  </si>
  <si>
    <t>Bern</t>
  </si>
  <si>
    <t>Luzern</t>
  </si>
  <si>
    <t>Fribourg</t>
  </si>
  <si>
    <t>Genève</t>
  </si>
  <si>
    <t>Neuchâtel</t>
  </si>
  <si>
    <t>Glarus</t>
  </si>
  <si>
    <t>Zone</t>
  </si>
  <si>
    <t>MINERGIE</t>
  </si>
  <si>
    <t>Deckungsgrad [%]</t>
  </si>
  <si>
    <t>Wärmeerzeugung</t>
  </si>
  <si>
    <t>Holzfeuerung</t>
  </si>
  <si>
    <t>Photovoltaik</t>
  </si>
  <si>
    <t>Andere</t>
  </si>
  <si>
    <t>m2</t>
  </si>
  <si>
    <t>Solarenergie thermisch, Heizung</t>
  </si>
  <si>
    <t>Wärmeerzeugung A</t>
  </si>
  <si>
    <t>Wärmeerzeugung D</t>
  </si>
  <si>
    <t>Wärmeerzeugung C</t>
  </si>
  <si>
    <t>Wärmeerzeugung B</t>
  </si>
  <si>
    <t>Tag
B31</t>
  </si>
  <si>
    <t>oui</t>
  </si>
  <si>
    <t>non</t>
  </si>
  <si>
    <t>Gebäudekategorie</t>
  </si>
  <si>
    <t>MFH</t>
  </si>
  <si>
    <t>EFH</t>
  </si>
  <si>
    <t>Ventilatorantrieb mit</t>
  </si>
  <si>
    <t>Schule</t>
  </si>
  <si>
    <t>Bemerkungen</t>
  </si>
  <si>
    <t>Lüftungsgerät mit Abluft-Wärmepumpe (keine Zuluft)</t>
  </si>
  <si>
    <t>Kreuzstrom</t>
  </si>
  <si>
    <t>Gegenstrom</t>
  </si>
  <si>
    <t>Kompakt-WP ohne WRG, WW</t>
  </si>
  <si>
    <t>Kompakt-WP mit Zu- &amp; Abluft / WW plus WRG</t>
  </si>
  <si>
    <t>Version geändert</t>
  </si>
  <si>
    <t>Mit Warmwasser ?</t>
  </si>
  <si>
    <t>Kühlung</t>
  </si>
  <si>
    <t>Kompakt-WP mit Zu- &amp; Abluft / WW ohne WRG (nur Heizung)</t>
  </si>
  <si>
    <t>Kompakt-WP mit Zu- &amp; Abluft / WW ohne WRG (nur WW)</t>
  </si>
  <si>
    <t>Lüftungsgerät mit Abluft / Zuluft - Wärmepumpe ohne WRG</t>
  </si>
  <si>
    <t>Lüftungsgerät mit Abluft / Zuluft - Wärmepumpe plus WRG</t>
  </si>
  <si>
    <t>Ab- / Zuluft-WP + WRG</t>
  </si>
  <si>
    <t>Ab- / Zuluft-WP ohne WRG</t>
  </si>
  <si>
    <t>Kompakt-WP + WRG</t>
  </si>
  <si>
    <t>Kompakt-WP ohne WRG, Heizteil</t>
  </si>
  <si>
    <t>B38</t>
  </si>
  <si>
    <t>WKK - thermischer+elektr. Anteil</t>
  </si>
  <si>
    <t>E13</t>
  </si>
  <si>
    <t>E17</t>
  </si>
  <si>
    <t>E18</t>
  </si>
  <si>
    <t>E19</t>
  </si>
  <si>
    <t>E21</t>
  </si>
  <si>
    <t>E23</t>
  </si>
  <si>
    <t>E24</t>
  </si>
  <si>
    <t>E31</t>
  </si>
  <si>
    <t>N11</t>
  </si>
  <si>
    <t>Wallis</t>
  </si>
  <si>
    <t>Zug</t>
  </si>
  <si>
    <t>Zürich</t>
  </si>
  <si>
    <t>Thurgau</t>
  </si>
  <si>
    <t>Jura</t>
  </si>
  <si>
    <t>Neuenburg</t>
  </si>
  <si>
    <t>Grundwasser-WP, indir, Warmw.</t>
  </si>
  <si>
    <t>B37</t>
  </si>
  <si>
    <t>Externe Berechnung beilegen</t>
  </si>
  <si>
    <t>Schwyz</t>
  </si>
  <si>
    <t>Obwalden</t>
  </si>
  <si>
    <t>Nidwalden</t>
  </si>
  <si>
    <t>Uri</t>
  </si>
  <si>
    <t>Graubünden</t>
  </si>
  <si>
    <t>Tessin</t>
  </si>
  <si>
    <t>Wärmepumpe, Abwasser, nur Heizung</t>
  </si>
  <si>
    <t>Wärmepumpe, Abwasser, nur Warmwasser</t>
  </si>
  <si>
    <t>Wasser-Wärmepumpe, nur Heizung</t>
  </si>
  <si>
    <t>WKK (Holz) - thermischer + elektrischer Anteil</t>
  </si>
  <si>
    <t>WKK Holz - therm.+elektr. Anteil</t>
  </si>
  <si>
    <t>Einzelraumlüft.</t>
  </si>
  <si>
    <t>Auto Fensterl.</t>
  </si>
  <si>
    <t>B14</t>
  </si>
  <si>
    <t>Ölheizung kondensierend</t>
  </si>
  <si>
    <t>Ölfeuerung kondens. Warmwasser</t>
  </si>
  <si>
    <t>Gasheizung kondensierend</t>
  </si>
  <si>
    <t>Gas kondensierend Warmwasser</t>
  </si>
  <si>
    <t>Luft-Wärmepumpe, Heizung</t>
  </si>
  <si>
    <t>Luft-Wärmepumpe, Warmwasser</t>
  </si>
  <si>
    <t>Strombedarf Hilfsbetriebe</t>
  </si>
  <si>
    <t>B39</t>
  </si>
  <si>
    <t>B19</t>
  </si>
  <si>
    <t>Gebäudedaten</t>
  </si>
  <si>
    <t>Summe</t>
  </si>
  <si>
    <t>Industrie</t>
  </si>
  <si>
    <t>(Mittel)</t>
  </si>
  <si>
    <t>EBF</t>
  </si>
  <si>
    <t>Anforderung</t>
  </si>
  <si>
    <t>Strombedarf Lüftungsanlage</t>
  </si>
  <si>
    <t>B25</t>
  </si>
  <si>
    <t>Biomasse, eingebunden</t>
  </si>
  <si>
    <t>Biomasse, hydraulisch eingebunden</t>
  </si>
  <si>
    <t>Strom Klima + Hilfsbetriebe</t>
  </si>
  <si>
    <t>B31</t>
  </si>
  <si>
    <t>Lüftung-Klima-Kälteanlagen</t>
  </si>
  <si>
    <t>Grundwasser-WP direkt, Heizung</t>
  </si>
  <si>
    <t>Grundwasser-WP dir. Warmwasser</t>
  </si>
  <si>
    <t>Solarenergie therm. Warmwasser</t>
  </si>
  <si>
    <t>Solarenergie Heizung + WW</t>
  </si>
  <si>
    <t>kWh/m2</t>
  </si>
  <si>
    <t>ww</t>
  </si>
  <si>
    <t>WRG mit WP bei Lüftung, WRG aus Badwasser</t>
  </si>
  <si>
    <t>Datum</t>
  </si>
  <si>
    <t>geprüft durch</t>
  </si>
  <si>
    <t>Angabe fehlt</t>
  </si>
  <si>
    <t>Thermisch wirksame Aussenluftrate</t>
  </si>
  <si>
    <t>Calcul externe annexé</t>
  </si>
  <si>
    <t>Donnée manque</t>
  </si>
  <si>
    <t>Remarque: dans la feuille 'Entrée' une installation de ventilation avec PAC intégrée a été choisie</t>
  </si>
  <si>
    <t>Taux de couverture trop haut</t>
  </si>
  <si>
    <t>Chauffage choisi</t>
  </si>
  <si>
    <t>Eau chaude choisie</t>
  </si>
  <si>
    <t>Calcul annexé</t>
  </si>
  <si>
    <t>Choisir un chauffage électrique complémentaire de l'ECS</t>
  </si>
  <si>
    <t>Spezial</t>
  </si>
  <si>
    <t>A125</t>
  </si>
  <si>
    <t>B21</t>
  </si>
  <si>
    <t>B23</t>
  </si>
  <si>
    <t>B24</t>
  </si>
  <si>
    <t>Nenn-Luftvolumenstrom</t>
  </si>
  <si>
    <t>Massgebender Grenzwert</t>
  </si>
  <si>
    <t>Zone 1</t>
  </si>
  <si>
    <t>Zone 2</t>
  </si>
  <si>
    <t>Argovie</t>
  </si>
  <si>
    <t>Appenzell Rhodes-Intérieures</t>
  </si>
  <si>
    <t>Berne</t>
  </si>
  <si>
    <t>Bâle-Campagne</t>
  </si>
  <si>
    <t>Bâle-Ville</t>
  </si>
  <si>
    <t>Glaris</t>
  </si>
  <si>
    <t>Lucerne</t>
  </si>
  <si>
    <t>Nidwald</t>
  </si>
  <si>
    <t>Obwald</t>
  </si>
  <si>
    <t>St-Gall</t>
  </si>
  <si>
    <t>Schaffhouse</t>
  </si>
  <si>
    <t>Soleure</t>
  </si>
  <si>
    <t>Schwytz</t>
  </si>
  <si>
    <t>Thurgovie</t>
  </si>
  <si>
    <t>Vaud</t>
  </si>
  <si>
    <t>Valais</t>
  </si>
  <si>
    <t>Zoug</t>
  </si>
  <si>
    <t>Zurich</t>
  </si>
  <si>
    <t>Principauté du Liechtenstein</t>
  </si>
  <si>
    <t>spécial</t>
  </si>
  <si>
    <t>Aération avec PAC air repris/fourni et récup. de chaleur</t>
  </si>
  <si>
    <t>Aération avec PAC air repris/fourni sans récup. de chaleur</t>
  </si>
  <si>
    <t>Aération air repris avec PAC (sans air fourni)</t>
  </si>
  <si>
    <t>PAC air fourni/repris avec récup. de chaleur</t>
  </si>
  <si>
    <t>PAC air fourni/repris sans récup. de chaleur</t>
  </si>
  <si>
    <t>PAC air repris sans air fourni</t>
  </si>
  <si>
    <t>PAC compacte avec récup. de chaleur</t>
  </si>
  <si>
    <t>PAC compacte sans récup. de chaleur, chauffage</t>
  </si>
  <si>
    <t>G56</t>
  </si>
  <si>
    <t>Aargau</t>
  </si>
  <si>
    <t>Appenzell Innerrhoden</t>
  </si>
  <si>
    <t>Appenzell Ausserrhoden</t>
  </si>
  <si>
    <t>Basel Land</t>
  </si>
  <si>
    <t>Basel Stadt</t>
  </si>
  <si>
    <t>Waadt</t>
  </si>
  <si>
    <t>Fürstentum Liechtenstein</t>
  </si>
  <si>
    <t>Kanton:</t>
  </si>
  <si>
    <t>Blatt</t>
  </si>
  <si>
    <t>Zelle</t>
  </si>
  <si>
    <t>Standardwerte</t>
  </si>
  <si>
    <t>Choisir "Aération avec PAC air repris/fourni avec récup. de chaleur" ou PAC compacte avec air fourni/repris et ECS avec récup. de chaleur"</t>
  </si>
  <si>
    <t>Apport annuel net par kWp (valeur standard)</t>
  </si>
  <si>
    <t>Rotations-WT</t>
  </si>
  <si>
    <t>Kategorie:</t>
  </si>
  <si>
    <t>Standard-Lüftungsanlagentyp</t>
  </si>
  <si>
    <t>Lüftung</t>
  </si>
  <si>
    <t>AC-Motor</t>
  </si>
  <si>
    <t>DC/EC-Motor</t>
  </si>
  <si>
    <t>(Heizung + Warmwasser)</t>
  </si>
  <si>
    <t xml:space="preserve">Total/Mittel </t>
  </si>
  <si>
    <t>Neubau</t>
  </si>
  <si>
    <t>MINERGIE-P</t>
  </si>
  <si>
    <t>Grenzwert</t>
  </si>
  <si>
    <t>kWh</t>
  </si>
  <si>
    <t>erfüllt</t>
  </si>
  <si>
    <t>nicht erfüllt</t>
  </si>
  <si>
    <t>Übertrag</t>
  </si>
  <si>
    <t>Deckungsgrad</t>
  </si>
  <si>
    <t>Total:</t>
  </si>
  <si>
    <t>oder JAZ</t>
  </si>
  <si>
    <t>Beleuchtung</t>
  </si>
  <si>
    <t>Auswahl</t>
  </si>
  <si>
    <t>Übertrag weitere Wärmeerzeugungen</t>
  </si>
  <si>
    <t>Heizwärmebedarf mit Standardluftwechsel</t>
  </si>
  <si>
    <t>B44</t>
  </si>
  <si>
    <t>Nachweis</t>
  </si>
  <si>
    <t>WKK (fossil) - thermischer + elektrischer Anteil</t>
  </si>
  <si>
    <t>keine</t>
  </si>
  <si>
    <t>L7</t>
  </si>
  <si>
    <t>Klimastation:</t>
  </si>
  <si>
    <t>Wärme</t>
  </si>
  <si>
    <t>Strom</t>
  </si>
  <si>
    <t>Eingabe</t>
  </si>
  <si>
    <t>Rechenwert</t>
  </si>
  <si>
    <t>Deckungsgrad total:</t>
  </si>
  <si>
    <t>Nutzungsgrad elektrisch (Berechnung beilegen)</t>
  </si>
  <si>
    <t>Absorberfläche [m2]</t>
  </si>
  <si>
    <t>Netto-Ertrag pro m2 Absorberfläche  [kWh/m2]</t>
  </si>
  <si>
    <t>Nennleistung [kWp]</t>
  </si>
  <si>
    <t>Energienachweis</t>
  </si>
  <si>
    <t>Rechnerische Lösung</t>
  </si>
  <si>
    <t>Beilagen (alle Beilagen der linken Spalte einreichen)</t>
  </si>
  <si>
    <t>Zutreffendes ankreuzen</t>
  </si>
  <si>
    <t>Unterschriften</t>
  </si>
  <si>
    <t xml:space="preserve"> Nachweis erarbeitet durch:</t>
  </si>
  <si>
    <t xml:space="preserve"> Nachweisprüfung / Private Kontrolle:</t>
  </si>
  <si>
    <t xml:space="preserve"> Die Richtigkeit bescheinigt</t>
  </si>
  <si>
    <t>Name und Adresse</t>
  </si>
  <si>
    <t>bzw. Firmenstempel</t>
  </si>
  <si>
    <t>Sachbearbeiter/-in, Tel.:</t>
  </si>
  <si>
    <t>Ort, Datum, Unterschrift:</t>
  </si>
  <si>
    <t>Ausführungskontrolle:</t>
  </si>
  <si>
    <t>Externe Berechnung</t>
  </si>
  <si>
    <t>Schema Heizung und Lüftung</t>
  </si>
  <si>
    <t>Externe Berechnungen und Datenblätter</t>
  </si>
  <si>
    <t>Nutzungsgrad / JAZ</t>
  </si>
  <si>
    <t>Gleiche Person</t>
  </si>
  <si>
    <t>oder:</t>
  </si>
  <si>
    <t>Zugeführte Elektrizität (ungewichtet)</t>
  </si>
  <si>
    <t>Zugeführte Energie (ohne Strom, gewichtet)</t>
  </si>
  <si>
    <t>Hallenbad</t>
  </si>
  <si>
    <t xml:space="preserve">Gemeinde:             </t>
  </si>
  <si>
    <t xml:space="preserve">Bauvorhaben:            </t>
  </si>
  <si>
    <t xml:space="preserve">Geb.-Nr.:  </t>
  </si>
  <si>
    <t xml:space="preserve">Parz.-Nr.:  </t>
  </si>
  <si>
    <t>Warmwasser mit mindestens 20% erneuerbarer Energie erzeugt (für Restaurants / Sportbauten / Hallenbäder)</t>
  </si>
  <si>
    <t>keine Lüftung</t>
  </si>
  <si>
    <t>Lüftung+WRG</t>
  </si>
  <si>
    <t>Lüftung+WP</t>
  </si>
  <si>
    <t>Abluft - WP</t>
  </si>
  <si>
    <t>Zu- / Abluft</t>
  </si>
  <si>
    <t>nur Abluft</t>
  </si>
  <si>
    <t>( aus SIA 380/1 )</t>
  </si>
  <si>
    <t>behördlicher Nachweis</t>
  </si>
  <si>
    <t>MINERGIE-A</t>
  </si>
  <si>
    <t xml:space="preserve">Gebäudestandort: </t>
  </si>
  <si>
    <t xml:space="preserve">Art des Nachweises: </t>
  </si>
  <si>
    <t>Restaurant</t>
  </si>
  <si>
    <t>Vers.-Lokal</t>
  </si>
  <si>
    <t>fehlende Eingabe</t>
  </si>
  <si>
    <t>falsche Eingabe</t>
  </si>
  <si>
    <t xml:space="preserve">Angaben bei Standard-Lüftungsanlagen </t>
  </si>
  <si>
    <t>Canton:</t>
  </si>
  <si>
    <t>H13</t>
  </si>
  <si>
    <t>Sprache:</t>
  </si>
  <si>
    <t>Calcul externe</t>
  </si>
  <si>
    <t>K1</t>
  </si>
  <si>
    <t>G2</t>
  </si>
  <si>
    <t>G3</t>
  </si>
  <si>
    <t>G4</t>
  </si>
  <si>
    <t>B7</t>
  </si>
  <si>
    <t>H7</t>
  </si>
  <si>
    <t>H14</t>
  </si>
  <si>
    <t>B8</t>
  </si>
  <si>
    <t>B13</t>
  </si>
  <si>
    <t>E14</t>
  </si>
  <si>
    <t>G13</t>
  </si>
  <si>
    <t>B15</t>
  </si>
  <si>
    <t>B16</t>
  </si>
  <si>
    <t>B17</t>
  </si>
  <si>
    <t>Y47</t>
  </si>
  <si>
    <t>Y48</t>
  </si>
  <si>
    <t>Y49</t>
  </si>
  <si>
    <t>Y50</t>
  </si>
  <si>
    <t>AA47</t>
  </si>
  <si>
    <t>AA48</t>
  </si>
  <si>
    <t>A108</t>
  </si>
  <si>
    <t>H15</t>
  </si>
  <si>
    <t>K15</t>
  </si>
  <si>
    <t>K16</t>
  </si>
  <si>
    <t>B27</t>
  </si>
  <si>
    <t>B28</t>
  </si>
  <si>
    <t>B29</t>
  </si>
  <si>
    <t>B30</t>
  </si>
  <si>
    <t>Räume mit Zuluft oder Anzahl Personen</t>
  </si>
  <si>
    <t>B32</t>
  </si>
  <si>
    <t>B42</t>
  </si>
  <si>
    <t>B41</t>
  </si>
  <si>
    <t>B40</t>
  </si>
  <si>
    <t>J114</t>
  </si>
  <si>
    <t>J115</t>
  </si>
  <si>
    <t>J116</t>
  </si>
  <si>
    <t>J117</t>
  </si>
  <si>
    <t>B43</t>
  </si>
  <si>
    <t>B45</t>
  </si>
  <si>
    <t>B46</t>
  </si>
  <si>
    <t>Tag
B39</t>
  </si>
  <si>
    <t>Tag
B45</t>
  </si>
  <si>
    <t>Zwingende Eingabe Qh,eff oder Qh,korr:
Heizwärmebedarf Qh,eff mit effektivem, thermisch wirksamen Aussenluftvolumenstrom Vth aus der Berechnung SIA 380/1:2009 übertragen.</t>
  </si>
  <si>
    <t>Tag
B46</t>
  </si>
  <si>
    <t>Resultate aus externer Berechnung, z.B. externes Lüftungsblatt, in diesem Abschnitt einfügen.
Zwingende Eingabe bei Klimaanlagen.</t>
  </si>
  <si>
    <t>Tag
B38</t>
  </si>
  <si>
    <t>Tag
B19</t>
  </si>
  <si>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t>
  </si>
  <si>
    <t>Tag
B17</t>
  </si>
  <si>
    <t>Tag
B21</t>
  </si>
  <si>
    <t>Tag
B27</t>
  </si>
  <si>
    <t>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t>
  </si>
  <si>
    <t>Eingabe nur bei Nutzungen EFH und MFH bis 2'000 m2 oder bei Verwaltung und Schulen bis 1'000 m2 möglich.</t>
  </si>
  <si>
    <t>Tag
B30</t>
  </si>
  <si>
    <t>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t>
  </si>
  <si>
    <t>Tag
B32</t>
  </si>
  <si>
    <t>Anzahl Räume mit Zuluft:
Nur bei Wohnnutzung (EFH oder MFH) erforderliche Eingabe
Anzahl Personen (total pro Zone):
Eingabe bei Verwaltung oder Schulen erforderlich.
Wird für die Berechnung der Zuluftmenge verwendet.</t>
  </si>
  <si>
    <t>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t>
  </si>
  <si>
    <t>Tag
B34</t>
  </si>
  <si>
    <t>Eingabe bei Kleinanlagen mit Standardwerten:
Verwendete Motoren für die Lüftungsventilatoren: Wechselstrom (AC) oder Gleichstrom (DC)</t>
  </si>
  <si>
    <t>Tag
B35</t>
  </si>
  <si>
    <t>AF40</t>
  </si>
  <si>
    <t>AF41</t>
  </si>
  <si>
    <t>Primäranforde- rung nicht erf.</t>
  </si>
  <si>
    <t>K24</t>
  </si>
  <si>
    <t>Anforderung 2 nicht erfüllt</t>
  </si>
  <si>
    <t>BC37</t>
  </si>
  <si>
    <t>BC38</t>
  </si>
  <si>
    <t>BC39</t>
  </si>
  <si>
    <t>BC40</t>
  </si>
  <si>
    <t>BC41</t>
  </si>
  <si>
    <t>BC42</t>
  </si>
  <si>
    <t>BC43</t>
  </si>
  <si>
    <t>BC44</t>
  </si>
  <si>
    <t>BC45</t>
  </si>
  <si>
    <t>BC46</t>
  </si>
  <si>
    <t>BC47</t>
  </si>
  <si>
    <t>BC48</t>
  </si>
  <si>
    <t>O36</t>
  </si>
  <si>
    <t>O37</t>
  </si>
  <si>
    <t>O38</t>
  </si>
  <si>
    <t>O39</t>
  </si>
  <si>
    <t>O40</t>
  </si>
  <si>
    <t>O41</t>
  </si>
  <si>
    <t>O42</t>
  </si>
  <si>
    <t>O43</t>
  </si>
  <si>
    <t>N55</t>
  </si>
  <si>
    <t>N56</t>
  </si>
  <si>
    <t>N57</t>
  </si>
  <si>
    <t>N58</t>
  </si>
  <si>
    <t>N59</t>
  </si>
  <si>
    <t>AB47</t>
  </si>
  <si>
    <t>AB48</t>
  </si>
  <si>
    <t>B48</t>
  </si>
  <si>
    <t>C48</t>
  </si>
  <si>
    <t>G48</t>
  </si>
  <si>
    <t>G49</t>
  </si>
  <si>
    <t>B51</t>
  </si>
  <si>
    <t>B52</t>
  </si>
  <si>
    <t>B55</t>
  </si>
  <si>
    <t>B56</t>
  </si>
  <si>
    <t>B58</t>
  </si>
  <si>
    <t>B57</t>
  </si>
  <si>
    <t>B60</t>
  </si>
  <si>
    <t>B61</t>
  </si>
  <si>
    <t>C60</t>
  </si>
  <si>
    <t>F60</t>
  </si>
  <si>
    <t>D38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</si>
  <si>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</si>
  <si>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</si>
  <si>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</si>
  <si>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</si>
  <si>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</si>
  <si>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</si>
  <si>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</si>
  <si>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</si>
  <si>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</si>
  <si>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</si>
  <si>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</si>
  <si>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</si>
  <si>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</si>
  <si>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</si>
  <si>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</si>
  <si>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</si>
  <si>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</si>
  <si>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</si>
  <si>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</si>
  <si>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</si>
  <si>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</si>
  <si>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</si>
  <si>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</si>
  <si>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</si>
  <si>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</si>
  <si>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</si>
  <si>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</si>
  <si>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</si>
  <si>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</si>
  <si>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</si>
  <si>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</si>
  <si>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</si>
  <si>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</si>
  <si>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</si>
  <si>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</si>
  <si>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</si>
  <si>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</si>
  <si>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</si>
  <si>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</si>
  <si>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</si>
  <si>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</si>
  <si>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</si>
  <si>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</si>
  <si>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</si>
  <si>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</si>
  <si>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</si>
  <si>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</si>
  <si>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</si>
  <si>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</si>
  <si>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</si>
  <si>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</si>
  <si>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</si>
  <si>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</si>
  <si>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</si>
  <si>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</si>
  <si>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</si>
  <si>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</si>
  <si>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</si>
  <si>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</si>
  <si>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</si>
  <si>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</si>
  <si>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</si>
  <si>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</si>
  <si>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</si>
  <si>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</si>
  <si>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</si>
  <si>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</si>
  <si>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</si>
  <si>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</si>
  <si>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</si>
  <si>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</si>
  <si>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</si>
  <si>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</si>
  <si>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</si>
  <si>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</si>
  <si>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</si>
  <si>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</si>
  <si>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</si>
  <si>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</si>
  <si>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</si>
  <si>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</si>
  <si>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</si>
  <si>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</si>
  <si>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</si>
  <si>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</si>
  <si>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</si>
  <si>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</si>
  <si>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</si>
  <si>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</si>
  <si>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</si>
  <si>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B6</t>
  </si>
  <si>
    <t>AD122</t>
  </si>
  <si>
    <t>AD138</t>
  </si>
  <si>
    <t>AD141</t>
  </si>
  <si>
    <t>AE138</t>
  </si>
  <si>
    <t>AE141</t>
  </si>
  <si>
    <t>H6</t>
  </si>
  <si>
    <t>J6</t>
  </si>
  <si>
    <t>J7</t>
  </si>
  <si>
    <t>B11</t>
  </si>
  <si>
    <t>I7</t>
  </si>
  <si>
    <t>I27</t>
  </si>
  <si>
    <t>L29</t>
  </si>
  <si>
    <t>Heizwärmebedarf Qh,eff</t>
  </si>
  <si>
    <t>Qh mit effektivem Luftwechsel</t>
  </si>
  <si>
    <t>Strom Hilfsbetriebe / Kühlung</t>
  </si>
  <si>
    <t>E46</t>
  </si>
  <si>
    <t>Gewich-tung</t>
  </si>
  <si>
    <t>F45</t>
  </si>
  <si>
    <t>G45</t>
  </si>
  <si>
    <t>gew. Endenergie kWh/m2</t>
  </si>
  <si>
    <t>I45</t>
  </si>
  <si>
    <t>I46</t>
  </si>
  <si>
    <t>J46</t>
  </si>
  <si>
    <t>L45</t>
  </si>
  <si>
    <t>B53</t>
  </si>
  <si>
    <t>B54</t>
  </si>
  <si>
    <t>I56</t>
  </si>
  <si>
    <t>Minergie - Kennzahl Wärme</t>
  </si>
  <si>
    <t>Grenzwert MINERGIE - P</t>
  </si>
  <si>
    <t>L56</t>
  </si>
  <si>
    <t>weitere Wärmeerzeuger</t>
  </si>
  <si>
    <t>I61</t>
  </si>
  <si>
    <t>C63</t>
  </si>
  <si>
    <t>C64</t>
  </si>
  <si>
    <t xml:space="preserve">Bedarf nicht gedeckt  </t>
  </si>
  <si>
    <t>F58</t>
  </si>
  <si>
    <t>ohne Hallenbad</t>
  </si>
  <si>
    <t>B59</t>
  </si>
  <si>
    <t>Zwingende Eingabe Qh,eff oder Qh,korr:
Heizwärmebedarf Qh,eff mit effektivem, thermisch wirksamen Aussenluftvolumenstrom Vth aus der Berechnung SIA 380/1:2009 übertragen.
Fakultativ darf anstelle von Qh,eff auch der raumhöhenkorrigierte Wert Qh,korr (Korrektur gemäss Angaben MINERGIE) hier eingetragen werden.</t>
  </si>
  <si>
    <t>Entrée obligatoire: Qh,eff ou Qh,corr
à reporter du calcul SIA 380/1:2009 les besoins de chaleur pour le chauffage Qh,eff avec débit d’air neuf thermiquement actif Vth.
Facultatif: la valeur corrigée pour la hauteur d'étage Qh,corr (correction selon indications MINERGIE) peut être introduite à la place de Qh,eff</t>
  </si>
  <si>
    <t>Aenderungen / Geprüfter Bereich</t>
  </si>
  <si>
    <t>B1</t>
  </si>
  <si>
    <t xml:space="preserve">1) Externe Berechnung beilegen und Werte in Zellen F40 - I43 eintragen </t>
  </si>
  <si>
    <t>1) Joindre un calcul externe et introduire les valeurs aux cellules F40 - I43</t>
  </si>
  <si>
    <t>Deckungsgrad &lt;&gt; 100%</t>
  </si>
  <si>
    <t>J28</t>
  </si>
  <si>
    <t>Netto-Jahresertrag [kWh/kWp] (Berechnung beilegen)</t>
  </si>
  <si>
    <t>Strombedarf für Klima + Hilfsbetriebe</t>
  </si>
  <si>
    <t>Strom für Klima + Hilfsbetriebe</t>
  </si>
  <si>
    <t>J8</t>
  </si>
  <si>
    <t xml:space="preserve">EGID:  </t>
  </si>
  <si>
    <t>G7</t>
  </si>
  <si>
    <t>Energienachweis:
Im Energienachweis werden nur die Neubauten berücksichtigt.
Minergie:
Baujahr (Bauvollendung) ab 2000.</t>
  </si>
  <si>
    <t>Fernwärme (&gt;75% nicht erneuerbar)</t>
  </si>
  <si>
    <t>Fernwärme (&lt;=25% nicht erneuerbar)</t>
  </si>
  <si>
    <t>Fernwärme (&lt;=75% nicht erneuerbar)</t>
  </si>
  <si>
    <t>Fernwärme (inkl. Abwärme aus KVA,ARA), &lt;=25% nicht erneuerbar</t>
  </si>
  <si>
    <t>Fernwärme (inkl. Abwärme aus KVA,ARA), &lt;=75% nicht erneuerbar</t>
  </si>
  <si>
    <t>Fernwärme (inkl. Abwärme aus KVA,ARA), &gt;75% nicht erneuerbar</t>
  </si>
  <si>
    <t>Fernwärme (&lt;=50% nicht erneuerbar)</t>
  </si>
  <si>
    <t>Fernwärme (inkl. Abwärme aus KVA,ARA), &lt;=50% nicht erneuerbar</t>
  </si>
  <si>
    <t>AD118</t>
  </si>
  <si>
    <t>Strom für Wärmepumpen ist doppelt zu gewichten</t>
  </si>
  <si>
    <t>Verifica energetica</t>
  </si>
  <si>
    <t>Soluzione tramite calcolo</t>
  </si>
  <si>
    <t>Comune:</t>
  </si>
  <si>
    <t>Part. n.:</t>
  </si>
  <si>
    <t>Fabbr. n.:</t>
  </si>
  <si>
    <t>Cantone:</t>
  </si>
  <si>
    <t>Oggetto:</t>
  </si>
  <si>
    <t>Dati dell'edificio</t>
  </si>
  <si>
    <t>Altitudine:</t>
  </si>
  <si>
    <t>msm</t>
  </si>
  <si>
    <t>(secondo la SIA 380/1)</t>
  </si>
  <si>
    <t>Tipo di verifica</t>
  </si>
  <si>
    <t>Verifica regolare</t>
  </si>
  <si>
    <t>rispettato</t>
  </si>
  <si>
    <t>non rispettato</t>
  </si>
  <si>
    <t>si</t>
  </si>
  <si>
    <t>no</t>
  </si>
  <si>
    <t>Staz. climatica</t>
  </si>
  <si>
    <t>Somma</t>
  </si>
  <si>
    <t>Categoria d'edificio</t>
  </si>
  <si>
    <t>Con acqua calda?</t>
  </si>
  <si>
    <t>Superficie di riferimento energetico AE</t>
  </si>
  <si>
    <t>Edificio nuovo</t>
  </si>
  <si>
    <t>(media)</t>
  </si>
  <si>
    <t>Fabb. risc. con ricambio d'aria standard</t>
  </si>
  <si>
    <t>La portata d'aria esterna termicamente determinante secondo F45-I45 è da inserire nel calcolo del fabbisogno termico (SIA 380/1)</t>
  </si>
  <si>
    <t>Scambiatore con recupero di calore</t>
  </si>
  <si>
    <t xml:space="preserve">Portata d'aria nominale </t>
  </si>
  <si>
    <t xml:space="preserve">Azionamento dei ventilatori con </t>
  </si>
  <si>
    <t>Piccoli impianti con valori standard</t>
  </si>
  <si>
    <t>Fabb. elettricità per aerazione e antigelo</t>
  </si>
  <si>
    <t>Fabbisogno di elettricità per ausiliari</t>
  </si>
  <si>
    <t>Calcolo esterno</t>
  </si>
  <si>
    <t>Qh con portata d'aria esterna termicamente determinante</t>
  </si>
  <si>
    <t>Portata d'aria esterna termicamente determinante Vth secondo la SIA 380/1. Questo valore deve corrispondere al dato per il calcolo del fabbisogno termico con portata d'aria esterna termicamente determinante.</t>
  </si>
  <si>
    <t>Fabb. calore effettivo per il risc. con aeraz.</t>
  </si>
  <si>
    <t>Valore richiesto per Qh,eff. o Qh,corr.:
inserire fabbisogno di calore per il riscaldamento Qh,eff. con portata d'aria esterna termicamente determinante Vth secondo calcolo SIA 380/1:2009.</t>
  </si>
  <si>
    <t>Risultati da calcoli esterni, es. foglio di calcolo esterno per l'aerazione, sono da inserire in questa parte.
Sono richiesti i valori per gli impianti di climatizzazione.</t>
  </si>
  <si>
    <t>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</si>
  <si>
    <t>Verifica energetica:
Nella verifica energetica vengono considerati unicamente gli edifici nuovi.
Minergie: anno di costruzione (completamento dei lavori)  a partire dal 2000</t>
  </si>
  <si>
    <t>La superficie di riferimento energetico AE deve essere ripresa dal calcolo secondo la SIA 380/1</t>
  </si>
  <si>
    <t>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</si>
  <si>
    <t>Solo per le categorie monofamiliari e plurifamiliari con AE fino a 2'000 m2 o per amministrazione e scuole fino a 1'000 m2.</t>
  </si>
  <si>
    <t>Scelta dell'aerazione: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</si>
  <si>
    <t>Numero di locali con immissione d'aria:
dato necessario solo per categorie abitazioni monofamiliari o plurifamiliari.
Numero di persone (totale per zona):
dato necessario per categorie amministrazione o scuole.
Il dato è utilizzato per calcolare il volume d'aria immessa.</t>
  </si>
  <si>
    <t>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</si>
  <si>
    <t>Dato di inserimento per piccoli impianti con valori standard: motori utilizzati per i ventilatori d'aerazione: corrente alternata (AC) o corrente continua (DC).</t>
  </si>
  <si>
    <t>Dato mancante</t>
  </si>
  <si>
    <t>Dato errato</t>
  </si>
  <si>
    <t>Requisito primario</t>
  </si>
  <si>
    <t>Requisito 2 non rispettato.</t>
  </si>
  <si>
    <t>Nota: nel foglio "Dati" è stato scelto un impianto di ventilazione con PdC integrata</t>
  </si>
  <si>
    <t>Raffreddam.</t>
  </si>
  <si>
    <t>Umidificaz.</t>
  </si>
  <si>
    <t>Raffr.+Umidif.</t>
  </si>
  <si>
    <t>nessuno</t>
  </si>
  <si>
    <t>Ab. plurif.</t>
  </si>
  <si>
    <t>Ab. monof.</t>
  </si>
  <si>
    <t>Amministraz.</t>
  </si>
  <si>
    <t>Scuole</t>
  </si>
  <si>
    <t>Negozi</t>
  </si>
  <si>
    <t>Ristoranti</t>
  </si>
  <si>
    <t>Locali pubblici</t>
  </si>
  <si>
    <t>Ospedali</t>
  </si>
  <si>
    <t>Magazzini</t>
  </si>
  <si>
    <t>Impianti sport.</t>
  </si>
  <si>
    <t>Piscine</t>
  </si>
  <si>
    <t>No ventil.</t>
  </si>
  <si>
    <t>Immiss./estraz.</t>
  </si>
  <si>
    <t>Ventil.+RC</t>
  </si>
  <si>
    <t>Ventil.+PdC</t>
  </si>
  <si>
    <t>Solo estraz.</t>
  </si>
  <si>
    <t>Estraz.+PdC</t>
  </si>
  <si>
    <t>Aeraz. per loc.</t>
  </si>
  <si>
    <t>Finestre,autom.</t>
  </si>
  <si>
    <t>nessun RC</t>
  </si>
  <si>
    <t>flusso incrociato</t>
  </si>
  <si>
    <t>controcorrente</t>
  </si>
  <si>
    <t>scambiatore rotativo</t>
  </si>
  <si>
    <t>scambiatore di calore a circuito chiuso</t>
  </si>
  <si>
    <t>Motore AC</t>
  </si>
  <si>
    <t>Motore DC/EC</t>
  </si>
  <si>
    <t>Tasso di copertura troppo alto</t>
  </si>
  <si>
    <t>Riscaldamento scelto</t>
  </si>
  <si>
    <t>Acqua calda scelta</t>
  </si>
  <si>
    <t>Allegare il calcolo</t>
  </si>
  <si>
    <t>Scegliere uno scaldacqua elettrico aggiuntivo per ACS</t>
  </si>
  <si>
    <t>Allegare calcolo esterno</t>
  </si>
  <si>
    <t>Nota: nel foglio "Dati" è stasto scelto un impianto di ventilazione con PdC integrata
-&gt; scegliere una produzione di calore con PdC con immissione d'aria</t>
  </si>
  <si>
    <t>1) Allegare un calcolo eterno e inserire i valori nelle celle F40 - I43</t>
  </si>
  <si>
    <t>EGID:</t>
  </si>
  <si>
    <t>Argovia</t>
  </si>
  <si>
    <t>Appenzello interno</t>
  </si>
  <si>
    <t>Appenzello esterno</t>
  </si>
  <si>
    <t>Berna</t>
  </si>
  <si>
    <t>Basilea Campagna</t>
  </si>
  <si>
    <t>Basilea Città</t>
  </si>
  <si>
    <t>Friborgo</t>
  </si>
  <si>
    <t>Ginevra</t>
  </si>
  <si>
    <t>Glarona</t>
  </si>
  <si>
    <t>Grigioni</t>
  </si>
  <si>
    <t>Giura</t>
  </si>
  <si>
    <t>Lucerna</t>
  </si>
  <si>
    <t>Nidvaldo</t>
  </si>
  <si>
    <t>Obvaldo</t>
  </si>
  <si>
    <t>San Gallo</t>
  </si>
  <si>
    <t>Sciaffusa</t>
  </si>
  <si>
    <t>Soletta</t>
  </si>
  <si>
    <t>Svitto</t>
  </si>
  <si>
    <t>Turgovia</t>
  </si>
  <si>
    <t>Ticino</t>
  </si>
  <si>
    <t>Vallese</t>
  </si>
  <si>
    <t>Zugo</t>
  </si>
  <si>
    <t>Zurigo</t>
  </si>
  <si>
    <t xml:space="preserve">Principato del Liechtenstein </t>
  </si>
  <si>
    <t>speciale</t>
  </si>
  <si>
    <t>Firme</t>
  </si>
  <si>
    <t>Verifica elaborata da:</t>
  </si>
  <si>
    <t>Controllo della verifica/Controllo esterno:</t>
  </si>
  <si>
    <t>Si attesta la correttezza</t>
  </si>
  <si>
    <t>Nome e indirizzo</t>
  </si>
  <si>
    <t>risp. timbro della ditta</t>
  </si>
  <si>
    <t>Responsabile, tel.:</t>
  </si>
  <si>
    <t>Luogo, data, firma:</t>
  </si>
  <si>
    <t>Controllo esecuzione:</t>
  </si>
  <si>
    <t>stessa persona</t>
  </si>
  <si>
    <t>oppure:</t>
  </si>
  <si>
    <t>Caldaia a gasolio</t>
  </si>
  <si>
    <t>Caldaia a gasolio con condensazione, solo riscaldamento</t>
  </si>
  <si>
    <t>Caldaia a gasolio con condensazione, solo ACS</t>
  </si>
  <si>
    <t>Caldaia a gas</t>
  </si>
  <si>
    <t>Caldaia a gas con condensazione, solo riscaldamento</t>
  </si>
  <si>
    <t>Caldaia a gas con condensazione, solo ACS</t>
  </si>
  <si>
    <t>Scaldacqua a gas</t>
  </si>
  <si>
    <t>Riscaldamento a legna</t>
  </si>
  <si>
    <t>Riscaldamento a pellet</t>
  </si>
  <si>
    <t>Riscaldamento elettrico diretto centralizzato</t>
  </si>
  <si>
    <t>Elettrico diretto</t>
  </si>
  <si>
    <t>Scaldacqua elettrico</t>
  </si>
  <si>
    <t>Cogenerazione (fossile) - termico + elettrico</t>
  </si>
  <si>
    <t>Cogenerazione (legna) - termico + elettrico</t>
  </si>
  <si>
    <t>PdC con sonde geotermiche, solo riscaldamento</t>
  </si>
  <si>
    <t>PdC con sonde geotermiche, solo ACS</t>
  </si>
  <si>
    <t>PdC con acqua di scarico, solo riscaldamento</t>
  </si>
  <si>
    <t>PdC con acqua di scarico, solo ACS</t>
  </si>
  <si>
    <t>PdC con acqua di falda, diretto, solo riscaldamento</t>
  </si>
  <si>
    <t>PdC con acqua di falda, diretto, solo ACS</t>
  </si>
  <si>
    <t>PdC con acqua di falda, indiretto, solo riscaldamento</t>
  </si>
  <si>
    <t>PdC con acqua di falda, indiretto, solo ACS</t>
  </si>
  <si>
    <t>PdC con fasci di tubi orizzontali, solo riscaldamento</t>
  </si>
  <si>
    <t>PdC con fasci di tubi orizzontali, solo ACS</t>
  </si>
  <si>
    <t>Energia solare termica, solo riscaldamento</t>
  </si>
  <si>
    <t>Energia solare termica, solo ACS</t>
  </si>
  <si>
    <t>Energia solare termica, risc. + ACS</t>
  </si>
  <si>
    <t>Fotovoltaico</t>
  </si>
  <si>
    <t>Altro</t>
  </si>
  <si>
    <t>Riporto</t>
  </si>
  <si>
    <t>Impianto di immissione e espulsione dell'aria con recupero di calore e PdC sull'aspirazione dell'aria</t>
  </si>
  <si>
    <t>Impianto di immissione e espulsione dell'aria senza recupero di calore e con PdC sull'aspirazione dell'aria</t>
  </si>
  <si>
    <t>Impianto d'estrazione dell'aria, senza immissione, con PdC sull'aspirazione dell'aria.</t>
  </si>
  <si>
    <t>PdC aria-acqua compatta con immissione e espulsione dell'aria, con recupero di calore</t>
  </si>
  <si>
    <t>PdC aria-acqua compatta con immissione e espulsione dell'aria, senza recupero di calore (solo riscaldamento)</t>
  </si>
  <si>
    <t>PdC aria-acqua compatta con immissione e espulsione dell'aria, senza recupero di calore (solo ACS)</t>
  </si>
  <si>
    <t>Biomassa, collegata alla rete idraulica</t>
  </si>
  <si>
    <t>Caldaia a gasolio con condensazione</t>
  </si>
  <si>
    <t>Scaldacqua a gasolio con condensazione</t>
  </si>
  <si>
    <t>Caldaia a gas con condensazione</t>
  </si>
  <si>
    <t>Scaldacqua a gas con condensazione</t>
  </si>
  <si>
    <t>Caldaia a legna</t>
  </si>
  <si>
    <t>Caldaia a pellet</t>
  </si>
  <si>
    <t>Cogenerazione - termico+elettrico</t>
  </si>
  <si>
    <t>Cogenerazione a legna - termico+elettrico</t>
  </si>
  <si>
    <t>PdC ad aria, riscaldamento</t>
  </si>
  <si>
    <t>PdC ad aria, ACS</t>
  </si>
  <si>
    <t>PdC con sonde geotermiche, riscaldamento</t>
  </si>
  <si>
    <t>PdC con sonde geotermiche, ACS</t>
  </si>
  <si>
    <t>PdC con acqua di scarico, riscaldamento</t>
  </si>
  <si>
    <t>PdC con acqua di scarico, ACS</t>
  </si>
  <si>
    <t>PdC ad acqua, riscaldamento</t>
  </si>
  <si>
    <t>PdC ad acqua, ACS</t>
  </si>
  <si>
    <t>PdC con acqua di falda, diretto, riscaldamento</t>
  </si>
  <si>
    <t>PdC con acqua di falda, diretto, ACS</t>
  </si>
  <si>
    <t>PdC con acqua di falda, indiretto, riscaldamento</t>
  </si>
  <si>
    <t>PdC con acqua di falda, indiretto, ACS</t>
  </si>
  <si>
    <t>PdC con fasci di tubi orizzontali, riscaldamento</t>
  </si>
  <si>
    <t>PdC con fasci di tubi orizzontali, ACS</t>
  </si>
  <si>
    <t>Energia solare termica per riscaldamento</t>
  </si>
  <si>
    <t>Energia solare termica per ACS</t>
  </si>
  <si>
    <t>Energia solare per riscaldamento + ACS</t>
  </si>
  <si>
    <t>Impianto d'estrazione dell'aria, senza immissione, con PdC sull'aspirazione dell'aria</t>
  </si>
  <si>
    <t>PdC compatta + RC</t>
  </si>
  <si>
    <t>PdC compatta senza RC, risc.</t>
  </si>
  <si>
    <t>PdC compatta senza RC, ACS</t>
  </si>
  <si>
    <t>Biomassa, collegata</t>
  </si>
  <si>
    <t>Rendimento elettrico (allegare il calcolo)</t>
  </si>
  <si>
    <t>Superficie dell'assorbitore [m2]</t>
  </si>
  <si>
    <t>Potenza nominale (kWp)</t>
  </si>
  <si>
    <t>Produzione netta per m2 di assorbitore [kWh/m2]</t>
  </si>
  <si>
    <t>Produzione annuale netta [kWh/kWp] (allegare il calcolo)</t>
  </si>
  <si>
    <t>Produzione di calore:</t>
  </si>
  <si>
    <t>Tasso di copertura [%]</t>
  </si>
  <si>
    <t>Produzione di calore A</t>
  </si>
  <si>
    <t>Produzione di calore B</t>
  </si>
  <si>
    <t>Produzione di calore C</t>
  </si>
  <si>
    <t>Produzione di calore D</t>
  </si>
  <si>
    <t>Valore</t>
  </si>
  <si>
    <t>Valore utilizz.</t>
  </si>
  <si>
    <t>Riscaldam.</t>
  </si>
  <si>
    <t>Acqua calda</t>
  </si>
  <si>
    <t>Riporto da altre produzioni di calore</t>
  </si>
  <si>
    <t>Elettricità fornita (non ponderata)</t>
  </si>
  <si>
    <t>Energia fornita (escluso elettricità, ponderata)</t>
  </si>
  <si>
    <t>Copertura totale:</t>
  </si>
  <si>
    <t>Dati dell'edificio, ventilazione e valori limite</t>
  </si>
  <si>
    <t>Tot./media</t>
  </si>
  <si>
    <t>Fabbisogno termico per il riscaldamento Qh,eff</t>
  </si>
  <si>
    <t>Qh con ricambio d'aria effettivo</t>
  </si>
  <si>
    <t>Fabbisogno elettrico per ventilazione</t>
  </si>
  <si>
    <t>Elettricità per ausiliari/climatizzazione</t>
  </si>
  <si>
    <t>Fabbisogno elettrico per climatizzazione e ausiliari</t>
  </si>
  <si>
    <t>Valore limite determinante</t>
  </si>
  <si>
    <t>(Riscaldamento+ACS)</t>
  </si>
  <si>
    <t>o COP</t>
  </si>
  <si>
    <t>Tasso di copertura</t>
  </si>
  <si>
    <t>Fabb. fin. pond. kWh/m2</t>
  </si>
  <si>
    <t>Elettricità</t>
  </si>
  <si>
    <t>altro</t>
  </si>
  <si>
    <t>Calore</t>
  </si>
  <si>
    <t>Fabb. elettricità impianti di aerazione</t>
  </si>
  <si>
    <t>Elettricità per climatizzazione + ausiliari</t>
  </si>
  <si>
    <t>Totale:</t>
  </si>
  <si>
    <t>Rispetto delle esigenze:</t>
  </si>
  <si>
    <t>Esigenza</t>
  </si>
  <si>
    <t>Valore calcolato</t>
  </si>
  <si>
    <t>Indice termico MINERGIE</t>
  </si>
  <si>
    <t>Valore limite MINERGIE - P</t>
  </si>
  <si>
    <t>Valore limite</t>
  </si>
  <si>
    <t>Rispettato?</t>
  </si>
  <si>
    <t>altri produttori di calore</t>
  </si>
  <si>
    <t>Allegati (presentare tutti gli allegati della colonna a sinistra)</t>
  </si>
  <si>
    <t>Crociare gli allegati da presentare</t>
  </si>
  <si>
    <t>Schema riscaldamento e ventilazione</t>
  </si>
  <si>
    <t>Calcoli e schede tecniche</t>
  </si>
  <si>
    <t>Fabbisogno non coperto</t>
  </si>
  <si>
    <t>senza piscina</t>
  </si>
  <si>
    <t>ACS prodotta con almeno 20% di energie rinnovabili (per ristoranti/impianti sportivi/piscine)</t>
  </si>
  <si>
    <t>Copertura &lt;&gt; 100%</t>
  </si>
  <si>
    <t>Apporto annuale netto per kWp (valore standard)</t>
  </si>
  <si>
    <t>Valore richiesto per Qh,eff. O Qh,corr.:
inserire fabbisogno di calore per il riscaldamento Qh,eff. con portata d'aria esterna termicamente determinante Vth secondo calcolo SIA 380/1:2009.
Facoltativo: invece di Qh,eff. può essere inserito Qh,corr. che considera anche la correzione dell'altezza del locale (corrzione secondo indicazioni MINERGIE)</t>
  </si>
  <si>
    <t>Scegliere "Impianto d'estrazione dell'aria, con PdC sull'aspirazione dell'aria".</t>
  </si>
  <si>
    <t>Scegliere "Impianto di immissione e espulsione dell'aria senza recupero di calore e con PdC sull'aspirazione dell'aria" oppure "PdC aria-acqua compatta con immissione e espulsione dell'aria, senza recupero di calore"</t>
  </si>
  <si>
    <t>Scegliere "Impianto di immissione e espulsione dell'aria con recupero di calore e  PdC sull'aspirazione dell'aria" oppure "PdC aria-acqua compatta con immissione e espulsione dell'aria e ACS, con recupero di calore"</t>
  </si>
  <si>
    <t>Teleriscaldamento (&lt;=50% di energie non rinnovabili)</t>
  </si>
  <si>
    <t>Teleriscaldamento (&gt;75% di energie non rinnovabili)</t>
  </si>
  <si>
    <t>Teleriscaldamento (&lt;=75% di energie non rinnovabili)</t>
  </si>
  <si>
    <t>Teleriscaldamento (&lt;=25% di energie non rinnovabili)</t>
  </si>
  <si>
    <t>Teleriscaldamento (&lt;=50% non rinnovabili)</t>
  </si>
  <si>
    <t>Teleriscaldamento (&gt;75% non rinnovabili)</t>
  </si>
  <si>
    <t>Teleriscaldamento (&lt;=75% non rinnovabili)</t>
  </si>
  <si>
    <t>Teleriscaldamento (&lt;=25% non rinnovabili)</t>
  </si>
  <si>
    <t>L'elettricità per la PdC ha un fattore di ponderazione g=2</t>
  </si>
  <si>
    <t>Justificatif énergétique</t>
  </si>
  <si>
    <t>Preuve calculée</t>
  </si>
  <si>
    <t>Commune:</t>
  </si>
  <si>
    <t>N° cadastre:</t>
  </si>
  <si>
    <t>N° bâtiment:</t>
  </si>
  <si>
    <t>Objet:</t>
  </si>
  <si>
    <t>Données sur le bâtiment</t>
  </si>
  <si>
    <t xml:space="preserve">Altitude: </t>
  </si>
  <si>
    <t>m</t>
  </si>
  <si>
    <t>(Selon la norme SIA 380/1)</t>
  </si>
  <si>
    <t>Justificatif pour:</t>
  </si>
  <si>
    <t>Preuve officielle</t>
  </si>
  <si>
    <t>satisfait</t>
  </si>
  <si>
    <t>non satisfait</t>
  </si>
  <si>
    <t>Station climat.</t>
  </si>
  <si>
    <t>Somme</t>
  </si>
  <si>
    <t>Catégorie d'ouvrage</t>
  </si>
  <si>
    <t>Avec eau chaude?</t>
  </si>
  <si>
    <t>Surface de référence énergétique SRE</t>
  </si>
  <si>
    <t>Nouvelle construction</t>
  </si>
  <si>
    <t>(moyenne)</t>
  </si>
  <si>
    <t>Besoins pour chauffage avec renouvellement d'air normal</t>
  </si>
  <si>
    <t>Données pour installation de ventilation standard</t>
  </si>
  <si>
    <t>Type d'installation de ventilation standard</t>
  </si>
  <si>
    <t>Locaux avec air fourni ou nombre de personnes</t>
  </si>
  <si>
    <t>Nombre de locaux avec air fourni</t>
  </si>
  <si>
    <t>Nombre de personnes</t>
  </si>
  <si>
    <t>Récupération de chaleur-Echangeur de chaleur</t>
  </si>
  <si>
    <t>Débit d'air nominal</t>
  </si>
  <si>
    <t>Entrainement de ventilateur avec</t>
  </si>
  <si>
    <t>Petite installation avec valeurs standard</t>
  </si>
  <si>
    <t>Débit d'air neuf thermiquement actif</t>
  </si>
  <si>
    <t>Besoins d'électricité pour la ventilation et la protection antigel</t>
  </si>
  <si>
    <t>Besoins pour le chauffage effectif avec l'installation de ventilation</t>
  </si>
  <si>
    <t xml:space="preserve">Entrée obligatoire: Qh,eff ou Qh,corr
à reporter du calcul SIA 380/1:2009 les besoins de chaleur pour le chauffage Qh,eff avec débit d’air neuf thermiquement actif Vth.
</t>
  </si>
  <si>
    <t>Indiquer ici le résulat d'un calcul externe (sur une feuille séparée).
Entrée obligatoire pour les installation de climatisation.</t>
  </si>
  <si>
    <t>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t>
  </si>
  <si>
    <t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</si>
  <si>
    <t>Entrée possible que pour l'habitat jusqu'à 2000 m2 et l'administration et les écoles jusqu'à 1000 m2.</t>
  </si>
  <si>
    <t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</si>
  <si>
    <t>Nombre de pièces avec air fourni:
Données obligatoires que pour l'habitat.
Nombre de personnes (total par zone).
Données obligatoires pour administration ou écoles.
Seront utilisées pour le calcul de l'air fourni.</t>
  </si>
  <si>
    <t>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t>
  </si>
  <si>
    <t>Données pour les petites installations avec des valeurs standard:
Moteurs des ventilateurs: à courant alternatif (AC) ou à courant continu (DC)</t>
  </si>
  <si>
    <t>donnée manquante</t>
  </si>
  <si>
    <t>donnée fausse</t>
  </si>
  <si>
    <t>Exigence primaire pas requise</t>
  </si>
  <si>
    <t>Exigence 2 pas satisfaite</t>
  </si>
  <si>
    <t>aucune</t>
  </si>
  <si>
    <t>Habitat individuel</t>
  </si>
  <si>
    <t>Habitat collectif</t>
  </si>
  <si>
    <t>Administration</t>
  </si>
  <si>
    <t>Ecole</t>
  </si>
  <si>
    <t>Commerce</t>
  </si>
  <si>
    <t>Lieu de rassemblement</t>
  </si>
  <si>
    <t>Hôpital</t>
  </si>
  <si>
    <t>Entrepôt</t>
  </si>
  <si>
    <t>Installation sportive</t>
  </si>
  <si>
    <t>Piscine couverte</t>
  </si>
  <si>
    <t>Pas de ventilation</t>
  </si>
  <si>
    <t>Fourni/repris</t>
  </si>
  <si>
    <t>Double flux</t>
  </si>
  <si>
    <t>FOU/REP+PAC</t>
  </si>
  <si>
    <t>REP</t>
  </si>
  <si>
    <t>REP+PAC</t>
  </si>
  <si>
    <t>Local</t>
  </si>
  <si>
    <t>Fen. auto</t>
  </si>
  <si>
    <t>Pas de récup.</t>
  </si>
  <si>
    <t>Courant croisé</t>
  </si>
  <si>
    <t>Contre-courant</t>
  </si>
  <si>
    <t>Rotatif</t>
  </si>
  <si>
    <t>Circulation-KVS</t>
  </si>
  <si>
    <t>Moteur AC</t>
  </si>
  <si>
    <t>Moteur DC/EC</t>
  </si>
  <si>
    <t>Signature</t>
  </si>
  <si>
    <t>Justificatif établi par:</t>
  </si>
  <si>
    <t>Contrôle du justificatif/Contrôle privé:</t>
  </si>
  <si>
    <t>Certifié complet et correct</t>
  </si>
  <si>
    <t>Nom et adresse</t>
  </si>
  <si>
    <t>ou tampon de l'entreprise</t>
  </si>
  <si>
    <t>Responsable, tél.:</t>
  </si>
  <si>
    <t>Lieu, date, signature:</t>
  </si>
  <si>
    <t>Contrôle d'exécution</t>
  </si>
  <si>
    <t>même personne</t>
  </si>
  <si>
    <t>ou:</t>
  </si>
  <si>
    <t>Chaudière à mazout</t>
  </si>
  <si>
    <t>Chaudière à mazout à condensation, que chauffage</t>
  </si>
  <si>
    <t xml:space="preserve">Chaudière à mazout à condensation, qu'eau chaude </t>
  </si>
  <si>
    <t>Chaudière à gaz</t>
  </si>
  <si>
    <t>Chaudière à gaz à condensation, que chauffage</t>
  </si>
  <si>
    <t>Chaudière à gaz à condensation, qu'eau chaude</t>
  </si>
  <si>
    <t>Chauffe-eau à gaz</t>
  </si>
  <si>
    <t>Chauffage au bois</t>
  </si>
  <si>
    <t>Chauffage au pellets</t>
  </si>
  <si>
    <t>Chaleur à distance (min. 50% énergies ren., rejets, CCF)</t>
  </si>
  <si>
    <t>Chauffage central électrique</t>
  </si>
  <si>
    <t>Chauffage électrique direct</t>
  </si>
  <si>
    <t>Chauffe-eau électrique</t>
  </si>
  <si>
    <t>CCF (fossile) - part thermique et électrique</t>
  </si>
  <si>
    <t>CCF (bois) - part thermique et électrique</t>
  </si>
  <si>
    <t>Pompe à chaleur géothermique, que chauffage</t>
  </si>
  <si>
    <t>Pompe à chaleur géothermique, qu'eau chaude</t>
  </si>
  <si>
    <t>Pompe à chaleur eau usée, que chauffage</t>
  </si>
  <si>
    <t>Pompe à chaleur eau usée, qu'eau chaude</t>
  </si>
  <si>
    <t>Pompe à chaleur eau-eau, que chauffage</t>
  </si>
  <si>
    <t>Pompe à chaleur eau-eau, qu'eau chaude</t>
  </si>
  <si>
    <t>Pompe à chaleur eau souterraine, directe, que chauffage</t>
  </si>
  <si>
    <t>Pompe à chaleur eau souterraine, directe, qu'eau chaude</t>
  </si>
  <si>
    <t>Pompe à chaleur eau souterraine, indirecte, que chauffage</t>
  </si>
  <si>
    <t>Pompe à chaleur eau souterraine, indirecte, qu'eau chaude</t>
  </si>
  <si>
    <t>Pompe à chaleur registre terrestre, que chauffage</t>
  </si>
  <si>
    <t>Pompe à chaleur registre terrestre, qu'eau chaude</t>
  </si>
  <si>
    <t>Capteurs solaires thermiques, que chauffage</t>
  </si>
  <si>
    <t>Capteurs solaires thermiques, qu'eau chaude</t>
  </si>
  <si>
    <t>Capteurs solaires thermiques, chauffage et eau chaude</t>
  </si>
  <si>
    <t>Installation photovoltaïque</t>
  </si>
  <si>
    <t>Autre</t>
  </si>
  <si>
    <t>Report</t>
  </si>
  <si>
    <t>PAC compacte avec air fourni/repris avec récup. de chaleur</t>
  </si>
  <si>
    <t>PAC compacte avec air fourni/repris sans récup. de chaleur (que chauffage)</t>
  </si>
  <si>
    <t>PAC compacte avec air fourni/repris sans récup. de chaleur (qu'eau chaude)</t>
  </si>
  <si>
    <t>Chaleur à distance (max. 25% énergies ren., rejets, CCF)</t>
  </si>
  <si>
    <t>Chaleur à distance (min. 25% énergies ren., rejets, CCF)</t>
  </si>
  <si>
    <t>Chaleur à distance (min. 75% énergies ren., rejets, CCF)</t>
  </si>
  <si>
    <t>Chaudière à mazout à condensation</t>
  </si>
  <si>
    <t xml:space="preserve">Chaudière à mazout à condensation. Eau chaude. </t>
  </si>
  <si>
    <t>Chaudière à gaz à condensation</t>
  </si>
  <si>
    <t>Chaudière à gaz à condensation. Eau chaude</t>
  </si>
  <si>
    <t>Chaleur à distance (min. 50% énergies ren.)</t>
  </si>
  <si>
    <t>Pompe à chaleur air-air, chauffage</t>
  </si>
  <si>
    <t>Pompe à chaleur air-air, eau chaude</t>
  </si>
  <si>
    <t>Pompe à chaleur géothermique, chauffage</t>
  </si>
  <si>
    <t>Pompe à chaleur géothermique, eau chaude</t>
  </si>
  <si>
    <t>Pompe à chaleur eau usée (directe), chauffage</t>
  </si>
  <si>
    <t>Pompe à chaleur eau usée directe, eau chaude</t>
  </si>
  <si>
    <t>Pompe à chaleur eau-eau, chauffage</t>
  </si>
  <si>
    <t>Pompe à chaleur eau-eau, eau chaude</t>
  </si>
  <si>
    <t>Pompe à chaleur eau souterraine, directe, chauffage</t>
  </si>
  <si>
    <t>Pompe à chaleur eau souterraine, directe, eau chaude</t>
  </si>
  <si>
    <t>Pompe à chaleur eau souterraine, indirecte, chauffage</t>
  </si>
  <si>
    <t>Pompe à chaleur eau souterraine, indirecte, eau chaude</t>
  </si>
  <si>
    <t>Pompe à chaleur registre terrestre, chauffage</t>
  </si>
  <si>
    <t>Pompe à chaleur registre terrestre, eau chaude</t>
  </si>
  <si>
    <t>Capteurs solaires thermiques, chauffage</t>
  </si>
  <si>
    <t>Capteurs solaires thermiques, eau chaude</t>
  </si>
  <si>
    <t>PAC compacte sans récup. de chaleur, eau chaude</t>
  </si>
  <si>
    <t>Chaleur à distance (&lt;=25% renouvelable)</t>
  </si>
  <si>
    <t>Chaleur à distance (&gt;25% renouvelable)</t>
  </si>
  <si>
    <t>Chaleur à distance (&gt;75% renouvelable)</t>
  </si>
  <si>
    <t>Rendement électrique (joindre calcul)</t>
  </si>
  <si>
    <t>Surface d'absorbeur [m2]</t>
  </si>
  <si>
    <t>Puissance nominale [kWp]</t>
  </si>
  <si>
    <t>Apport net par m2 d'absorbeur [kWh/m2]</t>
  </si>
  <si>
    <t>Apport net annuel [kWh/kWp] (joindre clacul)</t>
  </si>
  <si>
    <t>Production de chaleur:</t>
  </si>
  <si>
    <t>Rendement / COPa</t>
  </si>
  <si>
    <t>Taux de couverture [%]</t>
  </si>
  <si>
    <t>Production de chaleur A</t>
  </si>
  <si>
    <t>Production de chaleur B</t>
  </si>
  <si>
    <t>Production de chaleur C</t>
  </si>
  <si>
    <t>Production de chaleur D</t>
  </si>
  <si>
    <t>Entrée</t>
  </si>
  <si>
    <t>Valeur calculée</t>
  </si>
  <si>
    <t>Chauffage</t>
  </si>
  <si>
    <t>Eau chaude</t>
  </si>
  <si>
    <t>Report autres productions de chaleur</t>
  </si>
  <si>
    <t>Electricité fournie (non pondérée)</t>
  </si>
  <si>
    <t>Energie fournie (sans électricité, pondérée)</t>
  </si>
  <si>
    <t>Taux de couverture total</t>
  </si>
  <si>
    <t>Données du bâtiment, ventilation et valeur limite</t>
  </si>
  <si>
    <t>Besoin pour chauffage Qh,eff</t>
  </si>
  <si>
    <t>Qh avec renouvelement d'air effectif</t>
  </si>
  <si>
    <t>Besoin en électricité pour la ventilation</t>
  </si>
  <si>
    <t>Electricité pour les auxiliaires / le refroidissement</t>
  </si>
  <si>
    <t>Besoin en électricité pour la climatisation + auxiliaires</t>
  </si>
  <si>
    <t>Valeur limite déterminante</t>
  </si>
  <si>
    <t>(chauffage et eau chaude)</t>
  </si>
  <si>
    <t>ou COPa</t>
  </si>
  <si>
    <t>Pondération</t>
  </si>
  <si>
    <t>Taux de couverture</t>
  </si>
  <si>
    <t>Energie finale pondérée kWh/m2</t>
  </si>
  <si>
    <t>Courant</t>
  </si>
  <si>
    <t>autre</t>
  </si>
  <si>
    <t>Chaleur</t>
  </si>
  <si>
    <t>Besoin d'électricité ventilation</t>
  </si>
  <si>
    <t>Electricité climatisation + auxiliaires</t>
  </si>
  <si>
    <t>Respect des exigences:</t>
  </si>
  <si>
    <t>Exigences</t>
  </si>
  <si>
    <t>Minergie - Indice chaleur</t>
  </si>
  <si>
    <t>Valeur limite MINERGIE-P</t>
  </si>
  <si>
    <t>Valeur limite</t>
  </si>
  <si>
    <t>Respectée?</t>
  </si>
  <si>
    <t>autre production de chaleur</t>
  </si>
  <si>
    <t>Annexes (déposer toute celles de la colonne de gauche)</t>
  </si>
  <si>
    <t>Marquer d'une croix ce qui convient</t>
  </si>
  <si>
    <t>Schéma chauffage et ventilation</t>
  </si>
  <si>
    <t>Calculs externes et fiches techniques</t>
  </si>
  <si>
    <t>Besoin pas couvert</t>
  </si>
  <si>
    <t>sans piscine couverte</t>
  </si>
  <si>
    <t>Eau chaude avec min. 20% d'énergie renouvelable (pour restaurants, installations sportives, piscines couvertes)</t>
  </si>
  <si>
    <t>Taux de couverture &lt;&gt; 100%</t>
  </si>
  <si>
    <t>L'électricité pour les PAC doit être pondérée double</t>
  </si>
  <si>
    <t>Verifica</t>
  </si>
  <si>
    <t>Dati</t>
  </si>
  <si>
    <t>Entrées</t>
  </si>
  <si>
    <t>Justificatif</t>
  </si>
  <si>
    <t>Energiebedarf</t>
  </si>
  <si>
    <t>Besoin d'énergie</t>
  </si>
  <si>
    <t>Fabbisogno energetico</t>
  </si>
  <si>
    <t>Qh mit effektivem, thermisch wirksamem Aussenluftvolumenstrom</t>
  </si>
  <si>
    <t>Minergie-Kennzahl (MKZ)</t>
  </si>
  <si>
    <t>Der thermisch wirksame Aussenluft-Volumenstrom ist in der Heizwärmebedarfsberechnung (SIA 380/1) entsprechend F45 - I45 einzusetzen</t>
  </si>
  <si>
    <t>Elektrizität</t>
  </si>
  <si>
    <t>Alle Kühl- und Gefrierschränke A+++</t>
  </si>
  <si>
    <t>Alle Geschirrspüler Klasse A+++</t>
  </si>
  <si>
    <t>Alle Waschmaschinen Klasse A+++</t>
  </si>
  <si>
    <t>Alle Wäschetrockner Klasse A+++</t>
  </si>
  <si>
    <t>Alles Induktionskochherde</t>
  </si>
  <si>
    <t>Feste Wohnungsbeleuchtung LED A++</t>
  </si>
  <si>
    <t>Allg. Beleuchtung LED A++ &amp; Regelung</t>
  </si>
  <si>
    <t>Angaben für Wohnungsnutzung:</t>
  </si>
  <si>
    <t>Photovoltaik-Anlage</t>
  </si>
  <si>
    <t>Jahresertrag [kWh/m2]</t>
  </si>
  <si>
    <t>Zusatzangaben für den</t>
  </si>
  <si>
    <t>Appenzell Rhodes-Extérieures</t>
  </si>
  <si>
    <t>Grisons</t>
  </si>
  <si>
    <t>Pompe à chaleur air-eau, que chauffage</t>
  </si>
  <si>
    <t>Pompe à chaleur air-eau, qu'eau chaude</t>
  </si>
  <si>
    <t>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t>
  </si>
  <si>
    <t>Die Globalbeurteilung gilt für Zonen in denen in allen Räumen folgende Bedingungen eingehalten sind:</t>
  </si>
  <si>
    <t>Rollläden</t>
  </si>
  <si>
    <t>- keine Oblichter oder Dachflächenfenster mit Glasflächen &gt; 0.5 m2, grössere Glasflächen können in vertikale Flächen
  umgerechnet werden -&gt; siehe Anwendungshilfe</t>
  </si>
  <si>
    <t>- Nachtauskühlung mit Fensterlüftung ist möglich;</t>
  </si>
  <si>
    <t>S4</t>
  </si>
  <si>
    <t>- interne Wärmelasten nicht höher als die Standardwerte im Merkblatt SIA 2024.</t>
  </si>
  <si>
    <t>Prüfung ob nicht alle Eingaben "n.a."</t>
  </si>
  <si>
    <t>Erfüllen die Räume in der Zone die Kriterien?</t>
  </si>
  <si>
    <t>S10</t>
  </si>
  <si>
    <t>Aussenliegender beweglicher Sonnenschutz. Bei "andere" hier deklarieren:</t>
  </si>
  <si>
    <t>Wohnen (EFH, MFH), Räume mit 1 Fassade, Betondecke (&gt;80% frei):
- Glasanteil &lt;70%</t>
  </si>
  <si>
    <t>Wohnen (EFH,MFH), Eckzimmer; Betondecke (&gt;80% frei):
- Glasanteil pro Fassade &lt;50%</t>
  </si>
  <si>
    <t>Wohnen (EFH, MFH), 1 Fassade oder Eckzimmer. Holzdecke und Zementunterlagsboden mit min. 6 cm oder Anhydrit min. 5 cm Stärke:
- Glasanteil &lt;40%</t>
  </si>
  <si>
    <t>Wohnen (EFH, MFH), Räume mit 1 Fassade, Betondecke (&gt;80% frei) oder Zement-unterlagsboden mit min. 6 cm oder Anhydrit min. 5 cmStärke. Süd-Orientierung und Verschattung durch Balkon von min. 1 m Tiefe. 
- Glasanteil &lt;100%</t>
  </si>
  <si>
    <t>"n.a.":    Nicht vorhanden. Ein solcher Raumtyp existiert nicht.
"ja":       Ein solcher Raumtyp ist vorhanden und alle Kriterien sind erfüllt.
"nein":   Ein solcher Raumtyp ist vorhanden, aber die Kriterien sind nicht erfüllt (z.B. zu hoher Glasanteil)</t>
  </si>
  <si>
    <t>Variante 2: Externer Nachweis der Kriterien gemäss SIA382/1 (ohne Kühlung)</t>
  </si>
  <si>
    <t>Die Erfüllung dieser Kriterien wird in Beilagen beschrieben und dokumentiert.</t>
  </si>
  <si>
    <t>SIA 382/1 Ziffer</t>
  </si>
  <si>
    <t>S21</t>
  </si>
  <si>
    <t>2.1.3</t>
  </si>
  <si>
    <t>Anforderungen an den Sonnenschutz sind gemäss Zusatzformular sommerlicher Wärmeschutz erfüllt.</t>
  </si>
  <si>
    <t>S22</t>
  </si>
  <si>
    <t>S23</t>
  </si>
  <si>
    <t>S24</t>
  </si>
  <si>
    <t>S25</t>
  </si>
  <si>
    <t>S26</t>
  </si>
  <si>
    <t>Bemerkungen zum externen Nachweis (Art, Beilage, z.B. Hilfskriterien gemäss Anwendungshilfe):</t>
  </si>
  <si>
    <t>Die sommerlichen Raumlufttemperaturen wurden gemäss SIA 382/1, Zif. 4.4.4 berechnet. Die Grenzwertkurve wird ohne Kühlung an weniger als 100 h überschritten.</t>
  </si>
  <si>
    <t>S32</t>
  </si>
  <si>
    <t>Die Zone ist gekühlt und der Energiebedarf wurde berechnet. 
Es treten keinen hohen sommerlichen Raumlufttemperaturen auf.</t>
  </si>
  <si>
    <t>S33</t>
  </si>
  <si>
    <t>S34</t>
  </si>
  <si>
    <t>erfüllt?</t>
  </si>
  <si>
    <t>Gemäss Deklaration sind Anforderungen an den sommerlichen Wärmeschutz erfüllt.</t>
  </si>
  <si>
    <t>Sommer</t>
  </si>
  <si>
    <t>Register</t>
  </si>
  <si>
    <t>B2</t>
  </si>
  <si>
    <t>Variante 1: Globalbeurteilung von Standardfällen für die Nutzungen Wohnen, Einzelbüro, Gruppenbüro, Sitzungszimmer und Lager (ohne Kühlung)</t>
  </si>
  <si>
    <t>B10</t>
  </si>
  <si>
    <t>B12</t>
  </si>
  <si>
    <t>B18</t>
  </si>
  <si>
    <t>g-Wert und Produktebezeichnung</t>
  </si>
  <si>
    <t>B20</t>
  </si>
  <si>
    <t>B22</t>
  </si>
  <si>
    <t>Einzelbüro, Gruppenbüro, Sitzungszimmer mit 1 Fassade, Betondecke (&gt;80% frei):
- Glasanteil &lt;50% und automat. Steuerung des Sonnenschutzes</t>
  </si>
  <si>
    <t>Einzelbüro, Gruppenbüro, Sitzungszimmer als Eckzimmer, Betondecke (&gt;80% frei):
- Glasanteil &lt;35% und automat. Steuerung des Sonnenschutzes</t>
  </si>
  <si>
    <t>Lager mit geringen internen Wärmelasten</t>
  </si>
  <si>
    <t>B26</t>
  </si>
  <si>
    <t>Wenn S14 zutrifft, ist in S11 n.a. anzuwählen.</t>
  </si>
  <si>
    <t>Tag
B20</t>
  </si>
  <si>
    <t>Wenn Beschreibung zutrifft, ist Bedingung 'Glasanteil' nicht relevant. Wenn eine der beschriebenen Eigenschaften nicht zutrifft, ist n.a. anzuwählen.</t>
  </si>
  <si>
    <t>Tag
B23</t>
  </si>
  <si>
    <t>B33</t>
  </si>
  <si>
    <t>C35</t>
  </si>
  <si>
    <t>Variante 3: Externer Nachweis der Kriterien gemäss SIA382/1 (mit Kühlung)</t>
  </si>
  <si>
    <t>B47</t>
  </si>
  <si>
    <t>P11</t>
  </si>
  <si>
    <t>P12</t>
  </si>
  <si>
    <t>Rafflamellen</t>
  </si>
  <si>
    <t>P13</t>
  </si>
  <si>
    <t>P14</t>
  </si>
  <si>
    <t>Projektname:</t>
  </si>
  <si>
    <t>I8</t>
  </si>
  <si>
    <t xml:space="preserve">MOP - Nr.: </t>
  </si>
  <si>
    <t>Gebäudeadresse:</t>
  </si>
  <si>
    <t>Grenzwert für Endenergiebedarf ohne PV</t>
  </si>
  <si>
    <t>Grenzwert für Minergie-Kennzahl MKZ</t>
  </si>
  <si>
    <t>B36</t>
  </si>
  <si>
    <t>Übrige Nutzungen: Angaben zur Beleuchtung</t>
  </si>
  <si>
    <t>B49</t>
  </si>
  <si>
    <t>Uebrsicht</t>
  </si>
  <si>
    <t>Uebersicht</t>
  </si>
  <si>
    <t>AF6</t>
  </si>
  <si>
    <t>AF7</t>
  </si>
  <si>
    <t>AF8</t>
  </si>
  <si>
    <t>AF9</t>
  </si>
  <si>
    <t>AF10</t>
  </si>
  <si>
    <t>Nutzung der Abwärme</t>
  </si>
  <si>
    <t>AF11</t>
  </si>
  <si>
    <t>AF12</t>
  </si>
  <si>
    <t>BA8</t>
  </si>
  <si>
    <t>BA6</t>
  </si>
  <si>
    <t>Wird die Abwärme genutzt?</t>
  </si>
  <si>
    <t>BA11</t>
  </si>
  <si>
    <t>BA12</t>
  </si>
  <si>
    <t>BA13</t>
  </si>
  <si>
    <t>Anforderung Beleuchtung eingehalten?</t>
  </si>
  <si>
    <t>Weitere Anforderungen</t>
  </si>
  <si>
    <r>
      <t>MKZ</t>
    </r>
    <r>
      <rPr>
        <vertAlign val="subscript"/>
        <sz val="9"/>
        <rFont val="Arial"/>
        <family val="2"/>
      </rPr>
      <t>HLK</t>
    </r>
    <r>
      <rPr>
        <sz val="9"/>
        <rFont val="Arial"/>
        <family val="2"/>
      </rPr>
      <t xml:space="preserve"> = </t>
    </r>
  </si>
  <si>
    <t>Zone =</t>
  </si>
  <si>
    <r>
      <t>MKZ</t>
    </r>
    <r>
      <rPr>
        <vertAlign val="subscript"/>
        <sz val="9"/>
        <rFont val="Arial"/>
        <family val="2"/>
      </rPr>
      <t>ww</t>
    </r>
    <r>
      <rPr>
        <sz val="9"/>
        <rFont val="Arial"/>
        <family val="2"/>
      </rPr>
      <t xml:space="preserve"> = </t>
    </r>
  </si>
  <si>
    <r>
      <t>f</t>
    </r>
    <r>
      <rPr>
        <vertAlign val="subscript"/>
        <sz val="9"/>
        <rFont val="Arial"/>
        <family val="2"/>
      </rPr>
      <t>A</t>
    </r>
    <r>
      <rPr>
        <sz val="9"/>
        <rFont val="Arial"/>
        <family val="2"/>
      </rPr>
      <t xml:space="preserve"> =</t>
    </r>
  </si>
  <si>
    <r>
      <t>f</t>
    </r>
    <r>
      <rPr>
        <vertAlign val="subscript"/>
        <sz val="9"/>
        <rFont val="Arial"/>
        <family val="2"/>
      </rPr>
      <t>W</t>
    </r>
    <r>
      <rPr>
        <sz val="9"/>
        <rFont val="Arial"/>
        <family val="2"/>
      </rPr>
      <t xml:space="preserve"> =</t>
    </r>
  </si>
  <si>
    <t xml:space="preserve"> - Abminderung Armaturen</t>
  </si>
  <si>
    <t xml:space="preserve"> - Abminderung Warmhaltung</t>
  </si>
  <si>
    <t>Mittelwert</t>
  </si>
  <si>
    <t>Energieeff.</t>
  </si>
  <si>
    <t>Geschirrsp.</t>
  </si>
  <si>
    <t>Kühlschrank</t>
  </si>
  <si>
    <t>Waschm.</t>
  </si>
  <si>
    <t>Wäschetr.</t>
  </si>
  <si>
    <t>Induktionsk.</t>
  </si>
  <si>
    <t>LED</t>
  </si>
  <si>
    <t>allg. LED:</t>
  </si>
  <si>
    <t>Wohnung:</t>
  </si>
  <si>
    <t>EBF wohnen:</t>
  </si>
  <si>
    <r>
      <t>E</t>
    </r>
    <r>
      <rPr>
        <vertAlign val="subscript"/>
        <sz val="9"/>
        <rFont val="Arial"/>
        <family val="2"/>
      </rPr>
      <t>Aufzug</t>
    </r>
  </si>
  <si>
    <t xml:space="preserve"> - Länge Warmhaltebänder</t>
  </si>
  <si>
    <r>
      <t>E</t>
    </r>
    <r>
      <rPr>
        <vertAlign val="subscript"/>
        <sz val="9"/>
        <rFont val="Arial"/>
        <family val="2"/>
      </rPr>
      <t>Heizband</t>
    </r>
    <r>
      <rPr>
        <sz val="9"/>
        <rFont val="Arial"/>
        <family val="2"/>
      </rPr>
      <t xml:space="preserve"> =</t>
    </r>
  </si>
  <si>
    <t>Wohnfl. Aw</t>
  </si>
  <si>
    <t>Mittelwert / 
Summe</t>
  </si>
  <si>
    <r>
      <t>MKZ</t>
    </r>
    <r>
      <rPr>
        <vertAlign val="subscript"/>
        <sz val="9"/>
        <rFont val="Arial"/>
        <family val="2"/>
      </rPr>
      <t>El,Wohnen</t>
    </r>
    <r>
      <rPr>
        <sz val="9"/>
        <rFont val="Arial"/>
        <family val="2"/>
      </rPr>
      <t xml:space="preserve"> = </t>
    </r>
  </si>
  <si>
    <t>Wohnbauten:</t>
  </si>
  <si>
    <t>Beleuchtung: Umfassende Sanierung?</t>
  </si>
  <si>
    <t>B50</t>
  </si>
  <si>
    <t>K62</t>
  </si>
  <si>
    <t>I62</t>
  </si>
  <si>
    <t>D62</t>
  </si>
  <si>
    <t>B62</t>
  </si>
  <si>
    <t>G54</t>
  </si>
  <si>
    <t>Q13</t>
  </si>
  <si>
    <t>R13</t>
  </si>
  <si>
    <r>
      <t>MKZ</t>
    </r>
    <r>
      <rPr>
        <vertAlign val="subscript"/>
        <sz val="9"/>
        <rFont val="Arial"/>
        <family val="2"/>
      </rPr>
      <t>Bel,gross</t>
    </r>
  </si>
  <si>
    <r>
      <t>r</t>
    </r>
    <r>
      <rPr>
        <vertAlign val="subscript"/>
        <sz val="9"/>
        <rFont val="Arial"/>
        <family val="2"/>
      </rPr>
      <t>Bel</t>
    </r>
    <r>
      <rPr>
        <sz val="9"/>
        <rFont val="Arial"/>
        <family val="2"/>
      </rPr>
      <t xml:space="preserve"> =</t>
    </r>
  </si>
  <si>
    <r>
      <t>MKZ</t>
    </r>
    <r>
      <rPr>
        <vertAlign val="subscript"/>
        <sz val="9"/>
        <rFont val="Arial"/>
        <family val="2"/>
      </rPr>
      <t>Bel,Standard</t>
    </r>
  </si>
  <si>
    <t>Geräte</t>
  </si>
  <si>
    <t>Geräte bei Zweckbauten</t>
  </si>
  <si>
    <r>
      <t>MKZ</t>
    </r>
    <r>
      <rPr>
        <vertAlign val="subscript"/>
        <sz val="9"/>
        <color theme="1"/>
        <rFont val="Arial"/>
        <family val="2"/>
      </rPr>
      <t>Geräte</t>
    </r>
    <r>
      <rPr>
        <sz val="9"/>
        <color theme="1"/>
        <rFont val="Arial"/>
        <family val="2"/>
      </rPr>
      <t xml:space="preserve"> =</t>
    </r>
  </si>
  <si>
    <t>Allgemeine Gebäudetechnik</t>
  </si>
  <si>
    <r>
      <t>MKZ</t>
    </r>
    <r>
      <rPr>
        <vertAlign val="subscript"/>
        <sz val="9"/>
        <color theme="1"/>
        <rFont val="Arial"/>
        <family val="2"/>
      </rPr>
      <t>AGT</t>
    </r>
    <r>
      <rPr>
        <sz val="9"/>
        <color theme="1"/>
        <rFont val="Arial"/>
        <family val="2"/>
      </rPr>
      <t xml:space="preserve"> =</t>
    </r>
  </si>
  <si>
    <t>Strom-Eigenproduktion</t>
  </si>
  <si>
    <r>
      <t>MKZ</t>
    </r>
    <r>
      <rPr>
        <vertAlign val="subscript"/>
        <sz val="9"/>
        <color theme="1"/>
        <rFont val="Arial"/>
        <family val="2"/>
      </rPr>
      <t>Prod</t>
    </r>
    <r>
      <rPr>
        <sz val="9"/>
        <color theme="1"/>
        <rFont val="Arial"/>
        <family val="2"/>
      </rPr>
      <t xml:space="preserve"> =</t>
    </r>
  </si>
  <si>
    <r>
      <t>E</t>
    </r>
    <r>
      <rPr>
        <vertAlign val="subscript"/>
        <sz val="10"/>
        <rFont val="Arial"/>
        <family val="2"/>
      </rPr>
      <t>EB</t>
    </r>
    <r>
      <rPr>
        <sz val="10"/>
        <rFont val="Arial"/>
        <family val="2"/>
      </rPr>
      <t xml:space="preserve"> =</t>
    </r>
  </si>
  <si>
    <r>
      <t>E</t>
    </r>
    <r>
      <rPr>
        <vertAlign val="subscript"/>
        <sz val="10"/>
        <rFont val="Arial"/>
        <family val="2"/>
      </rPr>
      <t>Netz</t>
    </r>
    <r>
      <rPr>
        <sz val="10"/>
        <rFont val="Arial"/>
        <family val="2"/>
      </rPr>
      <t xml:space="preserve"> =</t>
    </r>
  </si>
  <si>
    <t>kWp</t>
  </si>
  <si>
    <t>W/m2</t>
  </si>
  <si>
    <t>spezifische, installierte Leistung pro m2 EBF:</t>
  </si>
  <si>
    <t xml:space="preserve">MKZ = </t>
  </si>
  <si>
    <t>Berechnung Objkektwert der MINERGIE-Kennzahl:</t>
  </si>
  <si>
    <t>Berechnung des Grenzwertes der MINERGIE-Kennzahl:</t>
  </si>
  <si>
    <r>
      <t>MKZ</t>
    </r>
    <r>
      <rPr>
        <vertAlign val="subscript"/>
        <sz val="9"/>
        <rFont val="Arial"/>
        <family val="2"/>
      </rPr>
      <t>li</t>
    </r>
    <r>
      <rPr>
        <sz val="9"/>
        <rFont val="Arial"/>
        <family val="2"/>
      </rPr>
      <t xml:space="preserve"> = </t>
    </r>
  </si>
  <si>
    <r>
      <t>E</t>
    </r>
    <r>
      <rPr>
        <vertAlign val="subscript"/>
        <sz val="9"/>
        <rFont val="Arial"/>
        <family val="2"/>
      </rPr>
      <t>Bel,Standard</t>
    </r>
    <r>
      <rPr>
        <sz val="9"/>
        <rFont val="Arial"/>
        <family val="2"/>
      </rPr>
      <t xml:space="preserve"> =</t>
    </r>
  </si>
  <si>
    <r>
      <t>E</t>
    </r>
    <r>
      <rPr>
        <vertAlign val="subscript"/>
        <sz val="9"/>
        <rFont val="Arial"/>
        <family val="2"/>
      </rPr>
      <t>SIA380/4,ta</t>
    </r>
    <r>
      <rPr>
        <sz val="9"/>
        <rFont val="Arial"/>
        <family val="2"/>
      </rPr>
      <t xml:space="preserve"> =</t>
    </r>
  </si>
  <si>
    <r>
      <t>MKZ</t>
    </r>
    <r>
      <rPr>
        <vertAlign val="subscript"/>
        <sz val="9"/>
        <rFont val="Arial"/>
        <family val="2"/>
      </rPr>
      <t>li,ZB</t>
    </r>
  </si>
  <si>
    <t>Klimazu. =</t>
  </si>
  <si>
    <r>
      <t>MKZ</t>
    </r>
    <r>
      <rPr>
        <vertAlign val="subscript"/>
        <sz val="9"/>
        <rFont val="Arial"/>
        <family val="2"/>
      </rPr>
      <t>li,o</t>
    </r>
    <r>
      <rPr>
        <sz val="9"/>
        <rFont val="Arial"/>
        <family val="2"/>
      </rPr>
      <t xml:space="preserve"> = </t>
    </r>
  </si>
  <si>
    <t>Übersicht</t>
  </si>
  <si>
    <t>Anleitung</t>
  </si>
  <si>
    <t xml:space="preserve">Dieses Nachweisformular dient zum Nachweis der Standards Minergie, Minergie-P und Minergie-A. Der entsprechende Standard </t>
  </si>
  <si>
    <t>kann im Blatt "Eingabe" ausgewählt werden. Der ausgefüllte Nachweis wird auf der Minergie-Online-Plattform (MOP) hochgeladen.</t>
  </si>
  <si>
    <t>Das Antragsformular wird nach der Einreichung auf der MOP automatisch generiert. Der unterschriebene Antrag, dieses Nachweis-</t>
  </si>
  <si>
    <t>formular, sowie weitere auf dem Antrag vermerkte Unterlagen sind der zuständigen Zertifizierungsstelle schriftlich einzureichen.</t>
  </si>
  <si>
    <t>Folgende Farbcodierung ist beim Ausfüllen des Nachweisformulars zu beachten:</t>
  </si>
  <si>
    <t>Eingabefeld (Pflicht)</t>
  </si>
  <si>
    <t>Eingabefeld (Fakultativ)</t>
  </si>
  <si>
    <t>Auswahlfeld (Pflicht)</t>
  </si>
  <si>
    <t>Projekt</t>
  </si>
  <si>
    <t>Erfüllung der Hauptanforderung</t>
  </si>
  <si>
    <t>Minergie-Kennzahl in kWh/m2</t>
  </si>
  <si>
    <t>B9</t>
  </si>
  <si>
    <t>D17</t>
  </si>
  <si>
    <t>H17</t>
  </si>
  <si>
    <t>Berechnung der Primäranforderung MINERGIE:</t>
  </si>
  <si>
    <r>
      <t>Q</t>
    </r>
    <r>
      <rPr>
        <vertAlign val="subscript"/>
        <sz val="9"/>
        <rFont val="Arial"/>
        <family val="2"/>
      </rPr>
      <t>h,li</t>
    </r>
    <r>
      <rPr>
        <sz val="9"/>
        <rFont val="Arial"/>
        <family val="2"/>
      </rPr>
      <t xml:space="preserve"> = </t>
    </r>
  </si>
  <si>
    <r>
      <t>Q</t>
    </r>
    <r>
      <rPr>
        <vertAlign val="subscript"/>
        <sz val="9"/>
        <rFont val="Arial"/>
        <family val="2"/>
      </rPr>
      <t>h,li</t>
    </r>
    <r>
      <rPr>
        <sz val="9"/>
        <rFont val="Arial"/>
        <family val="2"/>
      </rPr>
      <t xml:space="preserve"> (Neu)</t>
    </r>
  </si>
  <si>
    <t>Anforderung Heizwärmebedarf Qh:</t>
  </si>
  <si>
    <t>M42</t>
  </si>
  <si>
    <t>M43</t>
  </si>
  <si>
    <t>M44</t>
  </si>
  <si>
    <t>M45</t>
  </si>
  <si>
    <t>M46</t>
  </si>
  <si>
    <t>Endenergiebedarf</t>
  </si>
  <si>
    <t>M49</t>
  </si>
  <si>
    <t>M50</t>
  </si>
  <si>
    <t>M47</t>
  </si>
  <si>
    <t>M51</t>
  </si>
  <si>
    <t>M52</t>
  </si>
  <si>
    <t>M55</t>
  </si>
  <si>
    <t>M57</t>
  </si>
  <si>
    <t>Bedarf</t>
  </si>
  <si>
    <t>M39</t>
  </si>
  <si>
    <t>Optimierungspotential</t>
  </si>
  <si>
    <t>M59</t>
  </si>
  <si>
    <t>M58</t>
  </si>
  <si>
    <t>PV Eigenverbrauch</t>
  </si>
  <si>
    <t>PV Anteil Einspeisung</t>
  </si>
  <si>
    <t>Se si riscontra questa situazione, la percentuale di vetro non è rilevante. Se una delle caratteristiche elencate non è presente, bisogna rispondere n.a.</t>
  </si>
  <si>
    <t>Tag
B65</t>
  </si>
  <si>
    <t>Gilt für Kategorien ‚Restaurants’, ‚Sportbauten’ und ‚Hallenbäder’:
20% mit erneuerbarer Energie erbringen.</t>
  </si>
  <si>
    <t>20% mit erneuerbarer Energie gedeckt?</t>
  </si>
  <si>
    <t>Gilt für Kategorie "Hallenbad"</t>
  </si>
  <si>
    <t>Tag
B69</t>
  </si>
  <si>
    <t>Eigenstromerzeugung:</t>
  </si>
  <si>
    <t>EBF Neubau:</t>
  </si>
  <si>
    <t>EBF Altbau:</t>
  </si>
  <si>
    <t>PV-befreit:</t>
  </si>
  <si>
    <t>Min-Anforder:</t>
  </si>
  <si>
    <t>MKZ:</t>
  </si>
  <si>
    <t>BA9</t>
  </si>
  <si>
    <t>BA10</t>
  </si>
  <si>
    <t>Einsatz erneuerbarer Energien</t>
  </si>
  <si>
    <t>Maximal 30% fossile Spitzenlast?</t>
  </si>
  <si>
    <t>Monitoringkonzept</t>
  </si>
  <si>
    <t>Monitoringkonzept:</t>
  </si>
  <si>
    <t>AF13, AF14</t>
  </si>
  <si>
    <t>Grosse Eingriffe in  Gebäudetechnik?</t>
  </si>
  <si>
    <t>Monitor?</t>
  </si>
  <si>
    <t>BA14</t>
  </si>
  <si>
    <t>Monitoringkonzept beigelegt?</t>
  </si>
  <si>
    <t>Aufzugsanlage / Lift vorhanden?</t>
  </si>
  <si>
    <t>G53</t>
  </si>
  <si>
    <t>I53</t>
  </si>
  <si>
    <t>G62. G57</t>
  </si>
  <si>
    <t>Teilkennzahl
Bedarf</t>
  </si>
  <si>
    <t>G58</t>
  </si>
  <si>
    <t>H58</t>
  </si>
  <si>
    <t>Anforderung PV (gewichtet)</t>
  </si>
  <si>
    <t>F29</t>
  </si>
  <si>
    <t>Produktion PV (gewichtet)</t>
  </si>
  <si>
    <t>H29</t>
  </si>
  <si>
    <t>Minergie-Nachweis: Jahresversion und Jahr</t>
  </si>
  <si>
    <t>Minergie-Kennzahl in kg CO2/m2</t>
  </si>
  <si>
    <t>Keine Anforderungen</t>
  </si>
  <si>
    <t>F31</t>
  </si>
  <si>
    <t>Rechenwert Qh:</t>
  </si>
  <si>
    <r>
      <t>Q</t>
    </r>
    <r>
      <rPr>
        <vertAlign val="subscript"/>
        <sz val="9"/>
        <rFont val="Arial"/>
        <family val="2"/>
      </rPr>
      <t>h</t>
    </r>
    <r>
      <rPr>
        <sz val="9"/>
        <rFont val="Arial"/>
        <family val="2"/>
      </rPr>
      <t xml:space="preserve"> = </t>
    </r>
  </si>
  <si>
    <t>Erfüllung der Zusatzanforderungen</t>
  </si>
  <si>
    <t>Eigenstromerzeugung</t>
  </si>
  <si>
    <t>Minimale Grösse der Eigenstromerzeugung:</t>
  </si>
  <si>
    <t>Anzahl Wohneinheiten</t>
  </si>
  <si>
    <t>Allgemeinstrom</t>
  </si>
  <si>
    <t>Produktion
(gewichtet)</t>
  </si>
  <si>
    <t>Anforderung Minergie-A: 
Teilkennzahl Beleuchtung, Geräte und allg. Gebäudetechnik ist kleiner als die Eigenproduktion</t>
  </si>
  <si>
    <t>Stromproduktion deckt Bedarf:</t>
  </si>
  <si>
    <t>Minergie - A</t>
  </si>
  <si>
    <t>Si la description est exacte, la condition "taux de surface vitrée" n'est pas significative. Si l'une des caractéristiques ne correspond pas, "n.a." doit être sélectionné.</t>
  </si>
  <si>
    <t>Aperçu</t>
  </si>
  <si>
    <t>Eté</t>
  </si>
  <si>
    <t>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t>
  </si>
  <si>
    <t>Variante 1: Evaluation globale de cas standards pour les affectations suivantes: habitation, bureau individuel ou paysager, salle de réunion et dépôt (sans refroidissement)</t>
  </si>
  <si>
    <t>L'évaluation globale est valable pour les zones dans lesquelles les conditions suivantes sont respectées pour tous les locaux:</t>
  </si>
  <si>
    <t>- rafraîchissement nocturne possible grâce aux fenêtres;</t>
  </si>
  <si>
    <t>- charges thermiques internes pas plus élevées que la valeur standard figurant dans le cahier technique SIA 2024.</t>
  </si>
  <si>
    <t>Les locaux de cette zone satisfont-ils les critères?</t>
  </si>
  <si>
    <t>Protection solaire extérieure mobile. A déclarer ici sous "autres":</t>
  </si>
  <si>
    <t>Valeur g et désignation du produit</t>
  </si>
  <si>
    <t>Dépôt avec faibles charges thermiques internes</t>
  </si>
  <si>
    <t>Si S14 s'avère exact, "n.a." doit être sélectionné dans S11.</t>
  </si>
  <si>
    <t>Variante 2: justification externe des critères selon SIA 382/1 (sans refroidissement)</t>
  </si>
  <si>
    <t>Les conditions propres au respect de ces critères sont décrites et documentées en annexe.</t>
  </si>
  <si>
    <t>SIA 382/1 chiffre</t>
  </si>
  <si>
    <t>Les exigences concernant la protection thermique estivale sont remplies conformément au formulaire supplémentaire correspondant.</t>
  </si>
  <si>
    <t>Remarques concernant la justification externe (manière, annexes, par ex. critères de choix selon Aide à l'utilisation):</t>
  </si>
  <si>
    <t>Variante 3: justification externe des critères selon SIA 382/1 (avec refroidissement)</t>
  </si>
  <si>
    <t>Les températures de l'air intérieur en été sont calculées selon SIA 382/1 chiffre 4.4.4. Sans refroidissement, la courbe limite est dépassée en moins de 100 h.</t>
  </si>
  <si>
    <t>Selon cette déclaration, les exigences pour la protection thermique estivale sont remplies.</t>
  </si>
  <si>
    <t>Volets roulants</t>
  </si>
  <si>
    <t>Stores à lamelles</t>
  </si>
  <si>
    <t>Autres</t>
  </si>
  <si>
    <t>La zone est refroidie et les besoins en énergie sont calculés. 
Il n'y a aucune température trop élevée en été.</t>
  </si>
  <si>
    <t>Nom du projet:</t>
  </si>
  <si>
    <t>Facteur d'enveloppe</t>
  </si>
  <si>
    <t xml:space="preserve">N° MOP: </t>
  </si>
  <si>
    <t>Adresse du bâtiment:</t>
  </si>
  <si>
    <t>Valeur limite pour les besoins en énergie finale sans photovoltaïque</t>
  </si>
  <si>
    <t>Valeur limite pour l'indice Minergie MKZ</t>
  </si>
  <si>
    <t xml:space="preserve"> - Réduction pour la robinetterie</t>
  </si>
  <si>
    <t xml:space="preserve"> - Réduction pour le maintien de la chaleur</t>
  </si>
  <si>
    <t>Electricité</t>
  </si>
  <si>
    <t xml:space="preserve">Données concernant l'utilisation du logement: </t>
  </si>
  <si>
    <t>Ascenseur / élévateur disponible sur place?</t>
  </si>
  <si>
    <t>Tous les lave-vaisselle sont de classe A+++</t>
  </si>
  <si>
    <t>Tous les réfrigérateurs et congélateurs sont de classe A+++</t>
  </si>
  <si>
    <t>Tous les lave-linge sont de classe A+++</t>
  </si>
  <si>
    <t>Tous les sèche-linge sont de classe A+++</t>
  </si>
  <si>
    <t>Toutes les cuisinières sont à induction</t>
  </si>
  <si>
    <t>Eclairage résidentiel fixe LED A++</t>
  </si>
  <si>
    <t>Eclairage général LED A++ &amp; régulation</t>
  </si>
  <si>
    <t>Autres utilisations: données concernant l'éclairage</t>
  </si>
  <si>
    <t>Données supplémentaires pour le</t>
  </si>
  <si>
    <t>Luminaires: module Minergie ou classe A+</t>
  </si>
  <si>
    <t>Commande d'éclairage de classe A++</t>
  </si>
  <si>
    <t>Rendement annuel [kWh/m2]</t>
  </si>
  <si>
    <t>Besoins personnels [%]</t>
  </si>
  <si>
    <t>Rendement annuel net [kWh/kWp] (joindre le calcul)</t>
  </si>
  <si>
    <t>Autres exigences</t>
  </si>
  <si>
    <t>Autodéclaration/attestation</t>
  </si>
  <si>
    <t>Exigence</t>
  </si>
  <si>
    <t>Valeur objet</t>
  </si>
  <si>
    <t>Etanchéité de la surface de l'enveloppe, rénovation</t>
  </si>
  <si>
    <t>Rejets thermiques issus de froid industriel</t>
  </si>
  <si>
    <t>Rejets thermiques</t>
  </si>
  <si>
    <t>Utilisation des rejets thermiques</t>
  </si>
  <si>
    <t>Exploitation optimisée piscine couverte</t>
  </si>
  <si>
    <t>Recours aux énergies renouvelables</t>
  </si>
  <si>
    <t>Production de rejets thermiques?</t>
  </si>
  <si>
    <t>Recours à 20% d'énergies renouvelables?</t>
  </si>
  <si>
    <t>Etanchéité qa,50 &lt; 1,2 m3/(h*m2)</t>
  </si>
  <si>
    <t>Etanchéité qa,50 &lt; 0,8 m3/(h*m2)</t>
  </si>
  <si>
    <t>Les rejets thermiques sont-ils utilisés?</t>
  </si>
  <si>
    <t>RC avec PAC sur ventilation, RC des eaux de piscine</t>
  </si>
  <si>
    <t>Etanchéité qa,50 &lt; 1,6 m3/(h*m2)</t>
  </si>
  <si>
    <t>Pics de charge couverts avec max. 30% d'énergies fossiles?</t>
  </si>
  <si>
    <t>Eclairage: valeur du projet SIA 380/4</t>
  </si>
  <si>
    <t>Eclairage: valeur cible SIA 380/4</t>
  </si>
  <si>
    <t>Exigence éclairage respectée?</t>
  </si>
  <si>
    <t xml:space="preserve"> - Longueur des bandes de chauffage</t>
  </si>
  <si>
    <t>Eclairage: rénovation complète?</t>
  </si>
  <si>
    <t>Puissance installée spécifique, par m2 SRE:</t>
  </si>
  <si>
    <t>Interventions importantes sur installations techniques?</t>
  </si>
  <si>
    <t>Concept de monitoring</t>
  </si>
  <si>
    <t>Concept de monitoring annexé?</t>
  </si>
  <si>
    <t>Projet</t>
  </si>
  <si>
    <t>Instructions</t>
  </si>
  <si>
    <t>Champ de saisie (obligatoire)</t>
  </si>
  <si>
    <t>Champ de saisie (facultatif)</t>
  </si>
  <si>
    <t>Liste déroulante (obligatoire)</t>
  </si>
  <si>
    <t>Satisfaction de l'exigence principale</t>
  </si>
  <si>
    <t>Satisfaction des exigences de base</t>
  </si>
  <si>
    <t>Indice Minergie en kWh/m2</t>
  </si>
  <si>
    <t>Indice Minergie en CO2/m2</t>
  </si>
  <si>
    <t>Visualisation de l'indice Minergie</t>
  </si>
  <si>
    <t>Eclairage</t>
  </si>
  <si>
    <t>Appareils</t>
  </si>
  <si>
    <t>Besoins d'énergie finale</t>
  </si>
  <si>
    <t>Besoins</t>
  </si>
  <si>
    <t>Potentiel d'optimisation</t>
  </si>
  <si>
    <t>Max. besoins autorisés</t>
  </si>
  <si>
    <t>Valable pour les catégories "Restaurants", "Installations sportives" et "Piscines couvertes":
fournir 20% d'énergie à partir de sources renouvelables.</t>
  </si>
  <si>
    <t>Valable pour la catégorie "Piscine couverte".</t>
  </si>
  <si>
    <t>Indice partiel
Besoins</t>
  </si>
  <si>
    <t>Production PV
(pondérée)</t>
  </si>
  <si>
    <t>Exigence PV (pondérée)</t>
  </si>
  <si>
    <t>Production PV (pondérée)</t>
  </si>
  <si>
    <t>MINERGIE-A: les besoins MKZ (sans PV) sont-ils couverts par le photovoltaïque?</t>
  </si>
  <si>
    <t>Visione d'insieme</t>
  </si>
  <si>
    <t>Estate</t>
  </si>
  <si>
    <t>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t>
  </si>
  <si>
    <t>Variante 1: valutazione complessiva di casi standard per le categorie d'edificio abitazioni, amministrazioni (uffici singoli e non), sale riunioni e depositi (senza raffreddamento).</t>
  </si>
  <si>
    <t>La valutazione globale si applica alle zone in cui tutti i locali rispettano le seguenti condizioni:</t>
  </si>
  <si>
    <t>- è possibile eseguire il raffreddamento notturno tramite finestre;</t>
  </si>
  <si>
    <t>- carichi interni non superiori ai valori standard secondo quaderno tecnico SIA 2024</t>
  </si>
  <si>
    <t>Nella zona, i locali soddisfano i seguenti criteri?</t>
  </si>
  <si>
    <t>Schermatura solare esterna mobile. Se "altro" precisare qui:</t>
  </si>
  <si>
    <t>Valore g e descrizione del prodotto</t>
  </si>
  <si>
    <t>Magazzino con bassi carichi di calore interni</t>
  </si>
  <si>
    <t>Se S14 è vero, in S11 bisogna inserire n.a.</t>
  </si>
  <si>
    <t>Variante 2: verifica esterna dei criteri secondo SIA 382/1 (senza raffreddamento)</t>
  </si>
  <si>
    <t>Il rispetto di questi criteri è descritto e documentato negli allegati</t>
  </si>
  <si>
    <t>SIA 382/1 cfr.</t>
  </si>
  <si>
    <t>I requisiti per la protezione termica estiva sono soddisfatti tramite il formulario supplementare.</t>
  </si>
  <si>
    <t>Osservazioni sulla verifica esterna (tipo, allegati, p.es. criteri di scelta secondo la guida all'uso):</t>
  </si>
  <si>
    <t>Variante 3: calcolo tramite Tool SIA TEC 382/1 (con raffreddamento)</t>
  </si>
  <si>
    <t>Se S14 è vero, in S11 bisogna inserire n.a</t>
  </si>
  <si>
    <t>Le temperature estive dell'aria interna sono calcolate tramite SIA 382/1, cifra 4.4.4. La curva dei valori limite non viene oltrepassata per più di 100 h senza raffreddamento.</t>
  </si>
  <si>
    <t>La zona è climatizzata e il fabbisogno energetico è stato calcolato. Nei locali non si riscontrano temperature estive elevate.</t>
  </si>
  <si>
    <t>Secondo quanto dichiarato, i requisiti per la protezione termica estiva sono soddisfatte.</t>
  </si>
  <si>
    <t>Lamelle</t>
  </si>
  <si>
    <t>Modulo Minergie</t>
  </si>
  <si>
    <t>Nome del progetto:</t>
  </si>
  <si>
    <t>Rapporto di forma</t>
  </si>
  <si>
    <t>Indirizzo dell'edificio</t>
  </si>
  <si>
    <t>Valore limite fabbisogno finale d'energia senza PV</t>
  </si>
  <si>
    <t>Valore limite indice Minergie</t>
  </si>
  <si>
    <t>Informazioni sull'utilizzo dell'abitazione</t>
  </si>
  <si>
    <t>Impianti di elevazione / lift presenti</t>
  </si>
  <si>
    <t>- riduttori di flusso per rubinetteria</t>
  </si>
  <si>
    <t>- riduttori per mantenimento del calore</t>
  </si>
  <si>
    <t>Tutte le lavastoviglie classe A+++</t>
  </si>
  <si>
    <t>Tutti i congelatori classe A+++</t>
  </si>
  <si>
    <t>Tutti le macchine da lavare classe A+++</t>
  </si>
  <si>
    <t>Tutti le asciugatrici classe A+++</t>
  </si>
  <si>
    <t>Tutti i piani di cottura ad induzione</t>
  </si>
  <si>
    <t>Illuminazione fissa con LED A++</t>
  </si>
  <si>
    <t>Illuminazione generale LED A++ e regolazione</t>
  </si>
  <si>
    <t>Altri utilizzi: dati sull'illuminazione</t>
  </si>
  <si>
    <t>Dati supplementari per</t>
  </si>
  <si>
    <t>Verifica Minergie</t>
  </si>
  <si>
    <t>Impianto fotovoltaico</t>
  </si>
  <si>
    <t>Produzione annuale [kWh/m2]</t>
  </si>
  <si>
    <t>Autoconsumo [%]</t>
  </si>
  <si>
    <t>Produzione annuale netta [kWh/m2] (allegare calcolo)</t>
  </si>
  <si>
    <t>Altri requisiti</t>
  </si>
  <si>
    <t>Autodichiarazione/conferma</t>
  </si>
  <si>
    <t>Requisito</t>
  </si>
  <si>
    <t>Valore oggetto</t>
  </si>
  <si>
    <t>Ermeticità involucro, risanamento</t>
  </si>
  <si>
    <t>Acqua calda sanitaria</t>
  </si>
  <si>
    <t>Calore residuo industriale</t>
  </si>
  <si>
    <t>Calore residuo</t>
  </si>
  <si>
    <t>Utilizzo del calore residuo</t>
  </si>
  <si>
    <t>Ottimizzazione d'esercizio per piscine coperte</t>
  </si>
  <si>
    <t>Utilizzo energie rinnovabili</t>
  </si>
  <si>
    <t>In presenza di calore residuo?</t>
  </si>
  <si>
    <t>20% coperto con energie rinnovabili?</t>
  </si>
  <si>
    <t>Ermeticità involucro qa,50 &lt; 1.2 m3/(h*m2)</t>
  </si>
  <si>
    <t>Ermeticità involucro qa,50 &lt; 0.8 m3/(h*m2)</t>
  </si>
  <si>
    <t>Il calore residuo è utilizzato?</t>
  </si>
  <si>
    <t>Recupero di calore con PdC sulla ventilazione, recupero di calore dall'acqua della vasca</t>
  </si>
  <si>
    <t>Ermeticità involucro qa,50 &lt; 1.6 m3/(h*m2)</t>
  </si>
  <si>
    <t>Carico di picco con fonti fossili, massimo 30%?</t>
  </si>
  <si>
    <t>Illuminazione: valori di progetto SIA 380/4</t>
  </si>
  <si>
    <t>Illuminazione: valori mirati SIA 380/4</t>
  </si>
  <si>
    <t>I requisiti sull'illuminazione sono rispettati?</t>
  </si>
  <si>
    <t>Illuminazione: risanamento completo?</t>
  </si>
  <si>
    <t>Potenza specifica installata per m2 AE</t>
  </si>
  <si>
    <t>Interventi importanti sull'impiantistica?</t>
  </si>
  <si>
    <t>Concetto di monitoraggio</t>
  </si>
  <si>
    <t>Il concetto di monitoraggio è stato allegato?</t>
  </si>
  <si>
    <t>Progetto</t>
  </si>
  <si>
    <t>Istruzioni</t>
  </si>
  <si>
    <t>La seguente codifica cromatica è da ricordare durante la compilazione del formulario di verifica.</t>
  </si>
  <si>
    <t>Immissione dati (obbligatori)</t>
  </si>
  <si>
    <t>Immissione dati (facoltativi)</t>
  </si>
  <si>
    <t>Campo di selezione(facoltativo)</t>
  </si>
  <si>
    <t>Rispetto del requisito principale</t>
  </si>
  <si>
    <t>Rispetto dei requisiti supplementari</t>
  </si>
  <si>
    <t>Indice Minergie in kWh/m2</t>
  </si>
  <si>
    <t>Indice Minergie in CO2/m2</t>
  </si>
  <si>
    <t>Fabbisogno per il riscaldamento in kWh/m2</t>
  </si>
  <si>
    <t>Energia finale senza PV in kWh/m2</t>
  </si>
  <si>
    <t>- lunghezza cavo riscaldante</t>
  </si>
  <si>
    <t>Valore limite Minergieper l'illuminazione in kWh/m2</t>
  </si>
  <si>
    <t>Visualizzazione Indice Minergie</t>
  </si>
  <si>
    <t>Riscaldamento</t>
  </si>
  <si>
    <t>Illuminazione</t>
  </si>
  <si>
    <t>Apparecchi</t>
  </si>
  <si>
    <t>Impiantistica dell'edificio</t>
  </si>
  <si>
    <t>Fabbisogno d'energia finale</t>
  </si>
  <si>
    <t>Indice Minergie</t>
  </si>
  <si>
    <t>Autoconsumo PV</t>
  </si>
  <si>
    <t>Quota di PV immessa in rete</t>
  </si>
  <si>
    <t>Fabbisogno</t>
  </si>
  <si>
    <t>Potenziale d'ottimizzazione</t>
  </si>
  <si>
    <t>Valore limite Minergie</t>
  </si>
  <si>
    <t>Fabbisogno massimo permesso</t>
  </si>
  <si>
    <t>Vale per la categoria "Piscine coperte"</t>
  </si>
  <si>
    <t>Requisito PV (ponderato)</t>
  </si>
  <si>
    <t>Produzione PV (ponderata)</t>
  </si>
  <si>
    <t>Vale per le categorie "ristoranti", "impianti sportivi" e "piscine coperte":
20% fornito con energie rinnovabili</t>
  </si>
  <si>
    <t>Indice parziale
fabbisogno</t>
  </si>
  <si>
    <t>Produzione PV
(ponderata)</t>
  </si>
  <si>
    <t>Habitation (individuelle ou collective), pièce avec 1 façade et plafond en béton apparent à &gt;80%: - taux de surface vitrée &lt;70%</t>
  </si>
  <si>
    <t>Habitation (individuelle ou collective), pièce d'angle avec plafond en béton apparent à &gt;80%: - taux de surface vitrée de chaque façade &lt;50%</t>
  </si>
  <si>
    <t>Habitation (individuelle ou collective), pièce avec 1 façade, plafond en béton apparent à &gt;80% ou chape ciment (min. 6 cm d'épaisseur) ou anhydrite (min. 5 cm d'épaisseur); orientation sud et ombrage par un balcon (min. 1 m de profondeur):  - taux de surface vitrée &lt;100%</t>
  </si>
  <si>
    <t>Bureau individuel ou paysager, salle de réunion avec 1 façade et plafond en béton apparent à &gt;80%: - taux de surface vitrée &lt;50% et commande automatique des protections solaires</t>
  </si>
  <si>
    <t>Bureau individuel ou paysager, salle de réunion avec 2 façades (pièce d'angle) et plafond en béton apparent à &gt;80%: - taux de surface vitrée &lt;35% et commande automatique des protections solaires</t>
  </si>
  <si>
    <t>"n.a.":    non applicable. Un tel type de local n'existe pas.
"oui":     il y a un local de ce type et tous les critères sont remplis.
"non":    il y a un local de ce type mais tous les critères ne sont pas remplis (p.ex. taux de surface vitrée trop élevé).</t>
  </si>
  <si>
    <t>Abitazioni (mono- e plurifamiliari), locale con 1 facciata, soletta in calcestruzzo (libera &gt;80%): - percentuale di vetro &lt;70%</t>
  </si>
  <si>
    <t>Abitazioni (mono - e plurifamiliari), locale ad angolo, soletta in calcestruzzo (libera &gt;80%): - percentuale di vetro per facciata &lt;50%</t>
  </si>
  <si>
    <t>"n.a.": non applicabile. Un locale di questo tipo non esiste
"si":    un locale di questo tipo esiste e tutti i criteri sono soddisfatti
"no":   un locale di questo tipo esiste, ma i criteri non sono soddisfatti (p.es. percentuale di vetro troppo elevata)</t>
  </si>
  <si>
    <t>Pondera-
zione</t>
  </si>
  <si>
    <t>Total /
Moyenne</t>
  </si>
  <si>
    <t>Luftdichtheit der Hüllfläche, Erneuerung</t>
  </si>
  <si>
    <t>Luftdichtheit qa,50 &lt; 1.2 m3/(h*m2)</t>
  </si>
  <si>
    <t>Luftdichtheit qa,50 &lt; 0.8 m3/(h*m2)</t>
  </si>
  <si>
    <t>Luftdichtheit qa,50 &lt; 1.6 m3/(h*m2)</t>
  </si>
  <si>
    <t>Nessuna esigenza</t>
  </si>
  <si>
    <t>Produzione propria di elettricità</t>
  </si>
  <si>
    <t>Requisito Minergie A:
l’indice parziale illuminazione, apparecchi e impiantistica in genere è inferiore alla produzione propria</t>
  </si>
  <si>
    <t>Dimensione minima della produzione propria di elettricità:</t>
  </si>
  <si>
    <t>Numero unità abitative</t>
  </si>
  <si>
    <t>Apparecchi efficienti corrente comune</t>
  </si>
  <si>
    <t>Potenza nominale (senza cogenerazione) [kWp]</t>
  </si>
  <si>
    <t>Appareils efficaces Electricité générale</t>
  </si>
  <si>
    <t>Nombre d’unités d’habitation</t>
  </si>
  <si>
    <t>Exigence Minergie-A: 
l'indice partiel éclairage, appareils et installations techniques générales est inférieur à l'autoproduction</t>
  </si>
  <si>
    <t>Taille minimale de l'installation d’autoproduction d’électricité:</t>
  </si>
  <si>
    <t>Les besoins sont couverts par la production d’électricité:</t>
  </si>
  <si>
    <t>La produzione di elettricità copre il fabbisogno:</t>
  </si>
  <si>
    <t>Pas d’exigence</t>
  </si>
  <si>
    <t>Autoproduction d‘électricité</t>
  </si>
  <si>
    <t>EBF,neu</t>
  </si>
  <si>
    <t>Zulässiger Höchstanteil nicht erneuerbarer Energie (nur Neubauten)</t>
  </si>
  <si>
    <r>
      <t>Q</t>
    </r>
    <r>
      <rPr>
        <vertAlign val="subscript"/>
        <sz val="9"/>
        <rFont val="Arial"/>
        <family val="2"/>
      </rPr>
      <t>h,li nicht ern.</t>
    </r>
    <r>
      <rPr>
        <sz val="9"/>
        <rFont val="Arial"/>
        <family val="2"/>
      </rPr>
      <t xml:space="preserve"> = </t>
    </r>
  </si>
  <si>
    <r>
      <t>Q</t>
    </r>
    <r>
      <rPr>
        <vertAlign val="subscript"/>
        <sz val="9"/>
        <rFont val="Arial"/>
        <family val="2"/>
      </rPr>
      <t xml:space="preserve">ww, Neubau </t>
    </r>
    <r>
      <rPr>
        <sz val="9"/>
        <rFont val="Arial"/>
        <family val="2"/>
      </rPr>
      <t xml:space="preserve">= </t>
    </r>
  </si>
  <si>
    <r>
      <t>Q</t>
    </r>
    <r>
      <rPr>
        <vertAlign val="subscript"/>
        <sz val="9"/>
        <rFont val="Arial"/>
        <family val="2"/>
      </rPr>
      <t xml:space="preserve">ww,li, Neubau </t>
    </r>
    <r>
      <rPr>
        <sz val="9"/>
        <rFont val="Arial"/>
        <family val="2"/>
      </rPr>
      <t xml:space="preserve">= </t>
    </r>
  </si>
  <si>
    <r>
      <t>Q</t>
    </r>
    <r>
      <rPr>
        <vertAlign val="subscript"/>
        <sz val="9"/>
        <rFont val="Arial"/>
        <family val="2"/>
      </rPr>
      <t xml:space="preserve">h+ww,li, Neubau </t>
    </r>
    <r>
      <rPr>
        <sz val="9"/>
        <rFont val="Arial"/>
        <family val="2"/>
      </rPr>
      <t xml:space="preserve">= </t>
    </r>
  </si>
  <si>
    <t>Max. 30%</t>
  </si>
  <si>
    <t>Rechenwert nicht erneuerbarer Energie (nur Neubauten)</t>
  </si>
  <si>
    <r>
      <t>Q</t>
    </r>
    <r>
      <rPr>
        <vertAlign val="subscript"/>
        <sz val="9"/>
        <rFont val="Arial"/>
        <family val="2"/>
      </rPr>
      <t xml:space="preserve">ww, nicht erneuer </t>
    </r>
    <r>
      <rPr>
        <sz val="9"/>
        <rFont val="Arial"/>
        <family val="2"/>
      </rPr>
      <t xml:space="preserve">= </t>
    </r>
  </si>
  <si>
    <r>
      <t>Q</t>
    </r>
    <r>
      <rPr>
        <vertAlign val="subscript"/>
        <sz val="9"/>
        <rFont val="Arial"/>
        <family val="2"/>
      </rPr>
      <t xml:space="preserve">h+ww, nicht ern. </t>
    </r>
    <r>
      <rPr>
        <sz val="9"/>
        <rFont val="Arial"/>
        <family val="2"/>
      </rPr>
      <t xml:space="preserve">= </t>
    </r>
  </si>
  <si>
    <t>Rubans chauffants</t>
  </si>
  <si>
    <t>Cavi riscaldanti</t>
  </si>
  <si>
    <t>Begleitheizbänder</t>
  </si>
  <si>
    <t>V-W141</t>
  </si>
  <si>
    <t>Höchstanteil fossiler Energie</t>
  </si>
  <si>
    <t>Qww Wärmebedarf Warmwasser SIA 380/1</t>
  </si>
  <si>
    <t>Besoin pour eau chaude Qww SIA 380/1</t>
  </si>
  <si>
    <t>Qww Fabbisogno di calore per ACS SIA 380/1</t>
  </si>
  <si>
    <t>Warmwasser, Rechenwert</t>
  </si>
  <si>
    <t>Eau chaude, valeur calculée</t>
  </si>
  <si>
    <t>Acqua calda, valore utilizz.</t>
  </si>
  <si>
    <t>Warmwasser, SIA 385</t>
  </si>
  <si>
    <t>Eau chaude, SIA 385</t>
  </si>
  <si>
    <t>Acqua calda, SIA 385</t>
  </si>
  <si>
    <t>Part d'énergies fossiles</t>
  </si>
  <si>
    <t>Coperto da energie fossile</t>
  </si>
  <si>
    <t>Mieterausbau</t>
  </si>
  <si>
    <t>unbekannter Mieterausbau</t>
  </si>
  <si>
    <t>Zweckbau</t>
  </si>
  <si>
    <t>Nachw.erford.</t>
  </si>
  <si>
    <t>Zweckneubau</t>
  </si>
  <si>
    <t>Total</t>
  </si>
  <si>
    <t>freiw. Nachw.</t>
  </si>
  <si>
    <t>freiw. gewählt</t>
  </si>
  <si>
    <t>Zweckumbau</t>
  </si>
  <si>
    <t>EBF Zweckneu</t>
  </si>
  <si>
    <t>umf. Sanierung</t>
  </si>
  <si>
    <t>EBF Bel.Nachw.</t>
  </si>
  <si>
    <t>Zw. ohne Nachw</t>
  </si>
  <si>
    <t>EBF Zw. ohne Nachweis</t>
  </si>
  <si>
    <t>Beleuchtung Zweckbauten ohne Mieterausbau</t>
  </si>
  <si>
    <r>
      <t>MKZ</t>
    </r>
    <r>
      <rPr>
        <vertAlign val="subscript"/>
        <sz val="9"/>
        <rFont val="Arial"/>
        <family val="2"/>
      </rPr>
      <t>Bel,Mieterausbau</t>
    </r>
  </si>
  <si>
    <t>Zwingender Beleuchtungsnachweis</t>
  </si>
  <si>
    <t>Beleuchtungsnachweis zwingend, da umfassende Sanierung</t>
  </si>
  <si>
    <t>Freiwilliger Beleuchtungsnachweis</t>
  </si>
  <si>
    <t>Zweckbau ohne Nachweis</t>
  </si>
  <si>
    <r>
      <t>E</t>
    </r>
    <r>
      <rPr>
        <vertAlign val="subscript"/>
        <sz val="10"/>
        <rFont val="Arial"/>
        <family val="2"/>
      </rPr>
      <t>Bel,Standard</t>
    </r>
  </si>
  <si>
    <r>
      <t>E</t>
    </r>
    <r>
      <rPr>
        <vertAlign val="subscript"/>
        <sz val="10"/>
        <rFont val="Arial"/>
        <family val="2"/>
      </rPr>
      <t xml:space="preserve">SIA380/4,ta </t>
    </r>
    <r>
      <rPr>
        <sz val="10"/>
        <rFont val="Arial"/>
        <family val="2"/>
      </rPr>
      <t>(Zielwert)</t>
    </r>
  </si>
  <si>
    <r>
      <t>E</t>
    </r>
    <r>
      <rPr>
        <vertAlign val="subscript"/>
        <sz val="10"/>
        <rFont val="Arial"/>
        <family val="2"/>
      </rPr>
      <t xml:space="preserve">SIA380/4,Bel </t>
    </r>
    <r>
      <rPr>
        <sz val="10"/>
        <rFont val="Arial"/>
        <family val="2"/>
      </rPr>
      <t>(Projektwert)</t>
    </r>
  </si>
  <si>
    <t>Stand.Beleucht.x 1.2</t>
  </si>
  <si>
    <t>EBF Zweckbau</t>
  </si>
  <si>
    <t>Zweckbau (ohne Mieterausbau)</t>
  </si>
  <si>
    <t>Mieterausbau Zweckbauten</t>
  </si>
  <si>
    <t>Allgemeine Gebäudetechnik bei Zweckbauten</t>
  </si>
  <si>
    <t>Minergie-Kennzahl MKZ</t>
  </si>
  <si>
    <r>
      <t>Aufteilung MKZ</t>
    </r>
    <r>
      <rPr>
        <b/>
        <vertAlign val="subscript"/>
        <sz val="10"/>
        <rFont val="Arial"/>
        <family val="2"/>
      </rPr>
      <t>HLK</t>
    </r>
    <r>
      <rPr>
        <b/>
        <sz val="10"/>
        <rFont val="Arial"/>
        <family val="2"/>
      </rPr>
      <t xml:space="preserve"> in Heizung und Lüftung/Klima:</t>
    </r>
  </si>
  <si>
    <r>
      <t>MKZ</t>
    </r>
    <r>
      <rPr>
        <vertAlign val="subscript"/>
        <sz val="9"/>
        <rFont val="Arial"/>
        <family val="2"/>
      </rPr>
      <t>H</t>
    </r>
    <r>
      <rPr>
        <sz val="9"/>
        <rFont val="Arial"/>
        <family val="2"/>
      </rPr>
      <t xml:space="preserve"> = </t>
    </r>
  </si>
  <si>
    <r>
      <t>MKZ</t>
    </r>
    <r>
      <rPr>
        <vertAlign val="subscript"/>
        <sz val="9"/>
        <rFont val="Arial"/>
        <family val="2"/>
      </rPr>
      <t>LK</t>
    </r>
    <r>
      <rPr>
        <sz val="9"/>
        <rFont val="Arial"/>
        <family val="2"/>
      </rPr>
      <t xml:space="preserve"> = </t>
    </r>
  </si>
  <si>
    <t>Lüftung + Klima</t>
  </si>
  <si>
    <t>PV nicht anrechenbar</t>
  </si>
  <si>
    <t>Berechnung des Standard-Bedarfs:</t>
  </si>
  <si>
    <r>
      <t>E</t>
    </r>
    <r>
      <rPr>
        <vertAlign val="subscript"/>
        <sz val="9"/>
        <rFont val="Arial"/>
        <family val="2"/>
      </rPr>
      <t>hlwk,li</t>
    </r>
  </si>
  <si>
    <t>M63</t>
  </si>
  <si>
    <t>M65</t>
  </si>
  <si>
    <t>M56</t>
  </si>
  <si>
    <t>Luftdichtheit der Hüllfläche</t>
  </si>
  <si>
    <t>Etanchéité de la surface de l'enveloppe</t>
  </si>
  <si>
    <t>Ermeticità involucro</t>
  </si>
  <si>
    <t>Le débit d'air neuf thermiquement actif calculé en F45-I45, est à introduire dans le calcul des besoins de chaleur pour le chauffage (SIA 380/1)</t>
  </si>
  <si>
    <t>Installierte Leistung (ohne WKK)  [kWp]</t>
  </si>
  <si>
    <t>Puissance installée (sans CCF) [kWp]</t>
  </si>
  <si>
    <t>Grösse Batterie [kWh]</t>
  </si>
  <si>
    <t>Batterie-verluste [%]:</t>
  </si>
  <si>
    <t>Eigenverbrauchsrate [%]</t>
  </si>
  <si>
    <t>spezifischer Jahresertrag [kWh/kWp]</t>
  </si>
  <si>
    <t>Installations techn. du bâtiment</t>
  </si>
  <si>
    <t>PV autoconsommation</t>
  </si>
  <si>
    <t>PV part injectée</t>
  </si>
  <si>
    <t>ventilation et climatisation</t>
  </si>
  <si>
    <t>M67</t>
  </si>
  <si>
    <t>IM -  Indice Minergie</t>
  </si>
  <si>
    <t>MKZ</t>
  </si>
  <si>
    <t>IM</t>
  </si>
  <si>
    <t>K45</t>
  </si>
  <si>
    <t>H</t>
  </si>
  <si>
    <t>R</t>
  </si>
  <si>
    <t>K47</t>
  </si>
  <si>
    <t>AC</t>
  </si>
  <si>
    <t>VC</t>
  </si>
  <si>
    <t>K49</t>
  </si>
  <si>
    <t>LK</t>
  </si>
  <si>
    <t>el,resid</t>
  </si>
  <si>
    <t>el,wohn.</t>
  </si>
  <si>
    <t>K51</t>
  </si>
  <si>
    <t>K53</t>
  </si>
  <si>
    <t>Bel</t>
  </si>
  <si>
    <t>Ill</t>
  </si>
  <si>
    <t>app</t>
  </si>
  <si>
    <t>AGT</t>
  </si>
  <si>
    <t>Imp</t>
  </si>
  <si>
    <t>EB</t>
  </si>
  <si>
    <t>cp</t>
  </si>
  <si>
    <t>K59</t>
  </si>
  <si>
    <t>K55</t>
  </si>
  <si>
    <t>K57</t>
  </si>
  <si>
    <t>Netz</t>
  </si>
  <si>
    <t>rete</t>
  </si>
  <si>
    <t>K61</t>
  </si>
  <si>
    <t>K45 - K63</t>
  </si>
  <si>
    <t>Piccoli impianti di ventilazione standard</t>
  </si>
  <si>
    <t>Impianti di aerazione e climatizzazione</t>
  </si>
  <si>
    <t>Tipo d'impianto</t>
  </si>
  <si>
    <t>Locali con immissi. d'aria o n. di persone</t>
  </si>
  <si>
    <t>N. di locali con immissione d'aria</t>
  </si>
  <si>
    <t>N. di persone</t>
  </si>
  <si>
    <t>Portata d'aria esterna termicamcamente det.</t>
  </si>
  <si>
    <t>Fabb. elettricità raffreddamento e umidificazione</t>
  </si>
  <si>
    <t>Raffreddamento o umidificazione?</t>
  </si>
  <si>
    <t>È previsto un raffreddamento o un'umidificazione?</t>
  </si>
  <si>
    <t>Portata d'aria esterna termicamente det.</t>
  </si>
  <si>
    <t>Strombedarf Kälteförderung</t>
  </si>
  <si>
    <t>Besoins d'électricité pour le transport du froid</t>
  </si>
  <si>
    <t>Fabb. di elettricità per il trasporto di freddo</t>
  </si>
  <si>
    <t>Justificatif énergétique:
Seules les nouvelles constructions sont considérées dans le justificatif énergétique.
Minergie:
Année de construction (achèvement) à partir de 2000.</t>
  </si>
  <si>
    <t>PdC aria-acqua, solo riscaldamento</t>
  </si>
  <si>
    <t>PdC aria-acqua, solo ACS</t>
  </si>
  <si>
    <t>PdC acqua-acqua, solo riscaldamento</t>
  </si>
  <si>
    <t>PdC acqua-acqua, solo ACS</t>
  </si>
  <si>
    <t>Sommerlicher Wärmeschutz im Minergie-Standard</t>
  </si>
  <si>
    <t>Protection thermique estivale dans le label Minergie</t>
  </si>
  <si>
    <t>Protezione termica estiva secondo lo standard Minergie</t>
  </si>
  <si>
    <t>- pas de puits de lumière ou de fenêtre de toiture avec plus de 0.5 m² de surface vitrée; les surfaces plus grandes peuvent
  être converties en surfaces verticales (voir Aide à l'utilisation)</t>
  </si>
  <si>
    <t>- aussenliegender beweglicher Sonnenschutz mit Rollläden oder Rafflamellenstoren (z.B. Minergie-Module);</t>
  </si>
  <si>
    <t>- protection solaire extérieure mobile avec volet roulant ou store à lamelles (p.ex. Modules Minergie);</t>
  </si>
  <si>
    <t>- schermatura solare esterna mobile tramite tapparella o lamella; (p. es. modulo minergie per protezioni solari)</t>
  </si>
  <si>
    <t>Tapparelle</t>
  </si>
  <si>
    <t>Modul Minergie</t>
  </si>
  <si>
    <t>Module Minergie</t>
  </si>
  <si>
    <t>Minergie-Nachweis</t>
  </si>
  <si>
    <t>justificatif Minergie</t>
  </si>
  <si>
    <t xml:space="preserve">Leuchten: Minergie-Modul/Lichtausbe. &gt;100 lm/W </t>
  </si>
  <si>
    <t>Lichtsteuerung Präsenz-/ Tageslichtsensor</t>
  </si>
  <si>
    <t>Regolazione illuminazione con sensori di presenza e/o luminosità</t>
  </si>
  <si>
    <t>Effiziente Geräte Gebäudebetrieb/Wohnnutzung</t>
  </si>
  <si>
    <t>Beleuchtung: Projektwert SIA 380/4 (ungew.)</t>
  </si>
  <si>
    <t>Beleuchtung: Zielwert SIA 380/4 (ungew.)</t>
  </si>
  <si>
    <t>ZA1: Heizwärmebedarf in kWh/m2</t>
  </si>
  <si>
    <t>Besoins de chaleur en kWh/m²</t>
  </si>
  <si>
    <t>ZA2: Endenergie ohne PV in kWh/m2</t>
  </si>
  <si>
    <t>Energie finale sans photovoltaïque en kWh/m²</t>
  </si>
  <si>
    <t>ZA3: Minergie-Grenzwert Beleuchtung in kWh/m2</t>
  </si>
  <si>
    <t>Valeur limite Minergie pour l'éclairage en kWh/m²</t>
  </si>
  <si>
    <t>Visualisierung Minergie-Kennzahl (MKZ)</t>
  </si>
  <si>
    <t>MKZ berechneter Wert</t>
  </si>
  <si>
    <t>Grenzwert Minergie</t>
  </si>
  <si>
    <t>Valeur limite Minergie</t>
  </si>
  <si>
    <t>MKZ Anforderung</t>
  </si>
  <si>
    <t>Teilkennzahl Minergie-A</t>
  </si>
  <si>
    <t>Indice partiel Minergie-A</t>
  </si>
  <si>
    <t>Indice parziale Minergie-A</t>
  </si>
  <si>
    <t>Minergie-A: Bedarf MKZ (ohne PV)  durch PV gedeckt?</t>
  </si>
  <si>
    <t>Minergie-A: il fabbisogno indice Minergie (senza PV) è coperto da PV?</t>
  </si>
  <si>
    <t>Locataire inconnu</t>
  </si>
  <si>
    <t>Sviluppo spazi da parte del locatario</t>
  </si>
  <si>
    <t>Aerazione + climatizzazione</t>
  </si>
  <si>
    <t>PV non computabile</t>
  </si>
  <si>
    <t>Capacità batterie [kWh]</t>
  </si>
  <si>
    <t>Perdita delle batterie [%]:</t>
  </si>
  <si>
    <t>PV non pris en compte</t>
  </si>
  <si>
    <t>Capacité de la batterie [kWh]</t>
  </si>
  <si>
    <t>Pertes de la batterie [%]:</t>
  </si>
  <si>
    <t>Indice Minergie (MKZ)</t>
  </si>
  <si>
    <t>sélectionné dans la feuille "Entrées". Une fois le justificatif rempli, il doit être téléchargé sur la plateforme Minergie online (MOP).</t>
  </si>
  <si>
    <t>Le présent formulaire sert à la justification des labels Minergie, Minergie-P et Minergie-A. Le label correspondant peut être</t>
  </si>
  <si>
    <t>Après transmission sur MOP, le formulaire de demande est généré automatiquement. La demande signée, le présent formulaire</t>
  </si>
  <si>
    <t>justificatif et tous les éventuels documents notifiés sur la demande doivent être envoyés au format papier à l'office de certification</t>
  </si>
  <si>
    <t>compétent. Observer le code couleur suivant pour remplir le formulaire justificatif:</t>
  </si>
  <si>
    <t>Questo formulario di verifica è necessario per la verifica dello standard Minergie, Minergie-P e Minergie A. Lo standard corrispon-</t>
  </si>
  <si>
    <t>dente può essere selezionato nel foglio "Dati". Il formulario compilato va caricato sulla piattaforma Minergie Online (MOP).</t>
  </si>
  <si>
    <t>nonché altri documenti necessari, devono essere inviati in forma cartacea al centro di certificazione.</t>
  </si>
  <si>
    <t>La richiesta di certificazione è generata automaticamente tramite MOP. La richiesta firmata, il presente formulario di verifica</t>
  </si>
  <si>
    <t>Luminari: modulo Minergie o  luminari efficienti &gt;100 lm/W</t>
  </si>
  <si>
    <t>Abitazioni (mono - e plurifamiliari), locale con 1 facciata o locale ad angolo. Soletta in legno con sottofondo cementizio (min. 6 cm) o anidritico (min. 5 cm):   - percentuale di vetro &lt;40%</t>
  </si>
  <si>
    <t>Habitation (individuelle ou collective), pièce d'angle ou pièce avec 1 façade. Dalle en bois avec chape ciment (min. 6 cm d'épaisseur) ou anhydrite (min. 5 cm d'épaisseur):  - taux de surface vitrée &lt;40%</t>
  </si>
  <si>
    <t>Abitazioni (mono - e plurifamiliari), locale con 1 facciata, soletta in calcestruzzo (libera &gt;80%) o con sottofondo cementizio (min. 6 cm) o anidritico (min. 5 cm), orientato a sud con ombreggiamento tramite balcone di min. 1 m di profondità:  - percentuale di vetro &lt;100%</t>
  </si>
  <si>
    <t>Ufficio singolo, ufficio di gruppo, sala riunioni a locali d’angolo, soletta in calcestruzzo (libera &gt;80%):  - percentuale di vetro &lt; 35% e regolazione automatica della schermatura solare</t>
  </si>
  <si>
    <t>Ufficio singolo, ufficio di gruppo, sala riunioni con 1 facciata, soletta in calcestruzzo (libera &gt;80%):  - percentuale di vetro &lt;50% e regolazione automatica della schermatura solare</t>
  </si>
  <si>
    <t>- non ci sono lucernari o finestre a tetto con una superficie vetrata &gt; 0.5 m2, vetrate più grandi possono essere trasformate in
   superfici verticali -&gt; si rimanda alla guida all'uso</t>
  </si>
  <si>
    <t xml:space="preserve">n. MOP: </t>
  </si>
  <si>
    <t>M33</t>
  </si>
  <si>
    <t>M34</t>
  </si>
  <si>
    <t>M35</t>
  </si>
  <si>
    <t>M36</t>
  </si>
  <si>
    <t>M37</t>
  </si>
  <si>
    <t>M38</t>
  </si>
  <si>
    <t>M40</t>
  </si>
  <si>
    <t>M41</t>
  </si>
  <si>
    <t>M48</t>
  </si>
  <si>
    <t>M66</t>
  </si>
  <si>
    <t>M68</t>
  </si>
  <si>
    <t>M70</t>
  </si>
  <si>
    <t>M71</t>
  </si>
  <si>
    <t>M69</t>
  </si>
  <si>
    <t>S6</t>
  </si>
  <si>
    <t>S18</t>
  </si>
  <si>
    <t>S20</t>
  </si>
  <si>
    <t>S30</t>
  </si>
  <si>
    <t>S35</t>
  </si>
  <si>
    <t>S43</t>
  </si>
  <si>
    <t>S45</t>
  </si>
  <si>
    <t>S47</t>
  </si>
  <si>
    <t>S48</t>
  </si>
  <si>
    <t>S52</t>
  </si>
  <si>
    <t xml:space="preserve">                                          E HWLK,li  +
                             Standardbedarf Elektrizität
  </t>
  </si>
  <si>
    <t xml:space="preserve">                                  E HWLK,li +
                        Besoins standard électricité
  </t>
  </si>
  <si>
    <t xml:space="preserve">                                            E rvcac,li +
                            Fabbisogno elettrico standard
  </t>
  </si>
  <si>
    <t xml:space="preserve">           Valore oggetto
 </t>
  </si>
  <si>
    <t xml:space="preserve">           Objektwert
 </t>
  </si>
  <si>
    <t xml:space="preserve">   Produktion PV</t>
  </si>
  <si>
    <t xml:space="preserve">   Production PV</t>
  </si>
  <si>
    <t xml:space="preserve">   Produzione PV
 </t>
  </si>
  <si>
    <t xml:space="preserve">       Valeur de l'objet
 </t>
  </si>
  <si>
    <t xml:space="preserve">Exigence remplie?    </t>
  </si>
  <si>
    <t xml:space="preserve">Requisito soddisfatto?    </t>
  </si>
  <si>
    <t xml:space="preserve">Anforderung erfüllt?    </t>
  </si>
  <si>
    <t>Concept d'étanchéité annexé?</t>
  </si>
  <si>
    <t>Concetto dell'ermeticità  è stato allegato?</t>
  </si>
  <si>
    <t>Konzept Lufdichtheit beigelegt?</t>
  </si>
  <si>
    <t>Konzept Lufdichtheit und Messkonzept beigelegt?</t>
  </si>
  <si>
    <t>Concept d'étanchéité et de mesure annexé?</t>
  </si>
  <si>
    <t>Concetto dell'ermeticità e di misura è stato allegato?</t>
  </si>
  <si>
    <t>EBF ohne Hall.</t>
  </si>
  <si>
    <t>Wärmeerzeuger</t>
  </si>
  <si>
    <t>Erz. A</t>
  </si>
  <si>
    <t>Erz. B</t>
  </si>
  <si>
    <t>Erz. C</t>
  </si>
  <si>
    <t>Erz. D</t>
  </si>
  <si>
    <t>MOP-Nr.: / Projektname: / Gebäudeadresse:</t>
  </si>
  <si>
    <t xml:space="preserve">Parz.-Nr.:   / Klimastation: / Gebäudestandort: </t>
  </si>
  <si>
    <t>Nutzbare Kapazität (kWh)</t>
  </si>
  <si>
    <t>Energiebezugsfläche EBF (m2)</t>
  </si>
  <si>
    <t>Warmwasser Rechenwert</t>
  </si>
  <si>
    <t>Klimakälte</t>
  </si>
  <si>
    <t>Bedarf Lift</t>
  </si>
  <si>
    <t>Bedarf Heizbänder</t>
  </si>
  <si>
    <t>Reduktion Geschirrspüler</t>
  </si>
  <si>
    <t>Reduktion Kühl- und Gefrierschränke</t>
  </si>
  <si>
    <t>Reduktion Waschmaschine</t>
  </si>
  <si>
    <t>Reduktion Wäschetrockner</t>
  </si>
  <si>
    <t>Reduktion Induktionskochherde</t>
  </si>
  <si>
    <t>Reduktion Wohnungsbeleuchtung</t>
  </si>
  <si>
    <t>Reduktion allgemeine Beleuchtung</t>
  </si>
  <si>
    <t>Reduktion Geräte Gebäudebetrieb</t>
  </si>
  <si>
    <t>Bedarf Beleuchtung Zweckbau Rechenwert</t>
  </si>
  <si>
    <t>Bedarf Geräte Zweckbau Rechenwert</t>
  </si>
  <si>
    <t>Bedarf AGT Zweckbau Rechenwert</t>
  </si>
  <si>
    <t>Bitte den gelben Bereich kopieren und als Inhalt in PVopti einfügen:</t>
  </si>
  <si>
    <t>Übertrag in das Rechentool PVopti</t>
  </si>
  <si>
    <t>Pvopti</t>
  </si>
  <si>
    <t>A1</t>
  </si>
  <si>
    <t>C3</t>
  </si>
  <si>
    <t>A4</t>
  </si>
  <si>
    <t>A5</t>
  </si>
  <si>
    <t>A8</t>
  </si>
  <si>
    <t>A9</t>
  </si>
  <si>
    <t>A10</t>
  </si>
  <si>
    <t>A11</t>
  </si>
  <si>
    <t>A12</t>
  </si>
  <si>
    <t>A14</t>
  </si>
  <si>
    <t>A16</t>
  </si>
  <si>
    <t>A17</t>
  </si>
  <si>
    <t>A18</t>
  </si>
  <si>
    <t>A19</t>
  </si>
  <si>
    <t>A20</t>
  </si>
  <si>
    <t>A21</t>
  </si>
  <si>
    <t>A22</t>
  </si>
  <si>
    <t>A23</t>
  </si>
  <si>
    <t>A24</t>
  </si>
  <si>
    <t>A25</t>
  </si>
  <si>
    <t>A26</t>
  </si>
  <si>
    <t>A27</t>
  </si>
  <si>
    <t>A28</t>
  </si>
  <si>
    <t>A29</t>
  </si>
  <si>
    <t>A30</t>
  </si>
  <si>
    <t>A31</t>
  </si>
  <si>
    <t>A32</t>
  </si>
  <si>
    <t>A33</t>
  </si>
  <si>
    <t>A34</t>
  </si>
  <si>
    <t>A35</t>
  </si>
  <si>
    <t>A36</t>
  </si>
  <si>
    <t>A37</t>
  </si>
  <si>
    <t>Berechnung EVR (Standardwert)</t>
  </si>
  <si>
    <t>Wärmebedarf</t>
  </si>
  <si>
    <t>Wärme 1</t>
  </si>
  <si>
    <t>Wärme 2</t>
  </si>
  <si>
    <t>Wärme 3</t>
  </si>
  <si>
    <t>Wärme 4</t>
  </si>
  <si>
    <t>Wärme 5</t>
  </si>
  <si>
    <t>Wärmepumpe</t>
  </si>
  <si>
    <t>Anteil WP</t>
  </si>
  <si>
    <r>
      <t>MKZ</t>
    </r>
    <r>
      <rPr>
        <vertAlign val="subscript"/>
        <sz val="9"/>
        <rFont val="Arial"/>
        <family val="2"/>
      </rPr>
      <t>L</t>
    </r>
    <r>
      <rPr>
        <sz val="9"/>
        <rFont val="Arial"/>
        <family val="2"/>
      </rPr>
      <t xml:space="preserve"> = </t>
    </r>
  </si>
  <si>
    <r>
      <t>f</t>
    </r>
    <r>
      <rPr>
        <vertAlign val="subscript"/>
        <sz val="9"/>
        <rFont val="Arial"/>
        <family val="2"/>
      </rPr>
      <t>fr,PV</t>
    </r>
  </si>
  <si>
    <r>
      <t>E</t>
    </r>
    <r>
      <rPr>
        <vertAlign val="subscript"/>
        <sz val="9"/>
        <rFont val="Arial"/>
        <family val="2"/>
      </rPr>
      <t>el,b</t>
    </r>
    <r>
      <rPr>
        <sz val="9"/>
        <rFont val="Arial"/>
        <family val="2"/>
      </rPr>
      <t xml:space="preserve"> </t>
    </r>
  </si>
  <si>
    <r>
      <t>E</t>
    </r>
    <r>
      <rPr>
        <vertAlign val="subscript"/>
        <sz val="9"/>
        <rFont val="Arial"/>
        <family val="2"/>
      </rPr>
      <t>PV</t>
    </r>
    <r>
      <rPr>
        <sz val="9"/>
        <rFont val="Arial"/>
        <family val="2"/>
      </rPr>
      <t xml:space="preserve"> </t>
    </r>
  </si>
  <si>
    <r>
      <t>C</t>
    </r>
    <r>
      <rPr>
        <vertAlign val="subscript"/>
        <sz val="9"/>
        <rFont val="Arial"/>
        <family val="2"/>
      </rPr>
      <t>Bat</t>
    </r>
  </si>
  <si>
    <t xml:space="preserve"> - Wärmerückgewinnung Abwasser in %</t>
  </si>
  <si>
    <t>Spez. Jahresertrag ohne WP</t>
  </si>
  <si>
    <t>Spez. Jahresertrag mit WP</t>
  </si>
  <si>
    <t>Spez. Jahresertrag effektiv</t>
  </si>
  <si>
    <t>in Prozent:</t>
  </si>
  <si>
    <r>
      <t>Q</t>
    </r>
    <r>
      <rPr>
        <vertAlign val="subscript"/>
        <sz val="9"/>
        <rFont val="Arial"/>
        <family val="2"/>
      </rPr>
      <t xml:space="preserve">h,eff Neubau </t>
    </r>
    <r>
      <rPr>
        <sz val="9"/>
        <rFont val="Arial"/>
        <family val="2"/>
      </rPr>
      <t xml:space="preserve">= </t>
    </r>
  </si>
  <si>
    <r>
      <t>Q</t>
    </r>
    <r>
      <rPr>
        <vertAlign val="subscript"/>
        <sz val="9"/>
        <rFont val="Arial"/>
        <family val="2"/>
      </rPr>
      <t xml:space="preserve">h,eff nicht erneuer </t>
    </r>
    <r>
      <rPr>
        <sz val="9"/>
        <rFont val="Arial"/>
        <family val="2"/>
      </rPr>
      <t xml:space="preserve">= </t>
    </r>
  </si>
  <si>
    <t>Wohnstrom</t>
  </si>
  <si>
    <t>Electricité d'habitation</t>
  </si>
  <si>
    <t>Elettricità d'abitazione</t>
  </si>
  <si>
    <t xml:space="preserve"> - Récupération de chaleur des eaux usées  [%]</t>
  </si>
  <si>
    <t xml:space="preserve"> - Scambiatore termico d'acque di scarico  [%]</t>
  </si>
  <si>
    <t>v1.31</t>
  </si>
  <si>
    <t>Apport annuel spécifique [kWh/kWp]</t>
  </si>
  <si>
    <t>Apporto annuale specifico [kWh/kWp]</t>
  </si>
  <si>
    <t>Rendimento / CLA</t>
  </si>
  <si>
    <t>MFH/Zweckbau</t>
  </si>
  <si>
    <t>Nur EFH</t>
  </si>
  <si>
    <t>MINERGIE - Systemerneuerung</t>
  </si>
  <si>
    <t>System 1</t>
  </si>
  <si>
    <t>System 2</t>
  </si>
  <si>
    <t>System 3</t>
  </si>
  <si>
    <t>System 4</t>
  </si>
  <si>
    <t>System 5</t>
  </si>
  <si>
    <t>Systemwahl</t>
  </si>
  <si>
    <t>Systemlösung</t>
  </si>
  <si>
    <t xml:space="preserve">Dach / Decke </t>
  </si>
  <si>
    <t>Wand</t>
  </si>
  <si>
    <t>Fenster</t>
  </si>
  <si>
    <t xml:space="preserve">Boden </t>
  </si>
  <si>
    <t>≤ 0.17</t>
  </si>
  <si>
    <t>≤ 0.3</t>
  </si>
  <si>
    <t>≤ 0.25</t>
  </si>
  <si>
    <t>≤ 0.4</t>
  </si>
  <si>
    <t>≤ 0.5</t>
  </si>
  <si>
    <t>≤ 0.7</t>
  </si>
  <si>
    <t>≤ 1.1</t>
  </si>
  <si>
    <t>≤ 1.0</t>
  </si>
  <si>
    <t>≤ 0.8</t>
  </si>
  <si>
    <t>Wärme-Erzeugungssystem und Wärmeabgabe</t>
  </si>
  <si>
    <t>W/m2K</t>
  </si>
  <si>
    <t>Fossil + Solar (2% EBF für Warmwasser)</t>
  </si>
  <si>
    <t>Fernwärme (min. 50% erneuerbare Energien, Abwärme, WKK)</t>
  </si>
  <si>
    <t>Holz + Solar (2% EBF)</t>
  </si>
  <si>
    <t>°C</t>
  </si>
  <si>
    <t>GEAK - Kategorie</t>
  </si>
  <si>
    <t>A</t>
  </si>
  <si>
    <t>B</t>
  </si>
  <si>
    <t>C</t>
  </si>
  <si>
    <t>D</t>
  </si>
  <si>
    <t>E</t>
  </si>
  <si>
    <t>F</t>
  </si>
  <si>
    <t>G</t>
  </si>
  <si>
    <t>Geak</t>
  </si>
  <si>
    <t>E12</t>
  </si>
  <si>
    <t>E20</t>
  </si>
  <si>
    <t>E22</t>
  </si>
  <si>
    <t>E25</t>
  </si>
  <si>
    <t>E26</t>
  </si>
  <si>
    <t>Lüftungs-Typ</t>
  </si>
  <si>
    <t>mit Wärmerückgewinnung</t>
  </si>
  <si>
    <t>ohne Wärmerückgewinnung</t>
  </si>
  <si>
    <t>Neubauten</t>
  </si>
  <si>
    <t>Erneuerungen</t>
  </si>
  <si>
    <t>Geschirrspüler</t>
  </si>
  <si>
    <t>Kühl- und Gefrierschrank</t>
  </si>
  <si>
    <t>Waschmaschine</t>
  </si>
  <si>
    <t>Wäschetrockner</t>
  </si>
  <si>
    <t>Kochherd</t>
  </si>
  <si>
    <t>Induktionsherd [heisst: Neue Küche]</t>
  </si>
  <si>
    <t>Wohnbeleuchtung [fest installiert]</t>
  </si>
  <si>
    <t>Allgemeine Beleuchtung [wie Korridor, Keller ausserhalb WEH]</t>
  </si>
  <si>
    <t>Allgemeinstrom und Geräte [v.a. Umwälzpumpen etc. ausserhalb WEH]</t>
  </si>
  <si>
    <t>Effiziente Geräte für Gebäudebetrieb und Wohnnutzung</t>
  </si>
  <si>
    <t>Max</t>
  </si>
  <si>
    <t>Erfüllt</t>
  </si>
  <si>
    <t>Nicht erfüllt</t>
  </si>
  <si>
    <t>Möglich</t>
  </si>
  <si>
    <t>PV-Anlage</t>
  </si>
  <si>
    <t>Variante 1</t>
  </si>
  <si>
    <t>Variante 2</t>
  </si>
  <si>
    <t>Variante 3</t>
  </si>
  <si>
    <t>Globalbeurteilung von Standardfällen für die Nutzungen Wohnen, Einzelbüro, Gruppenbüro, Sitzungszimmer und Lager (ohne Kühlung)</t>
  </si>
  <si>
    <t>Externer Nachweis der Kriterien gemäss SIA382/1 (ohne Kühlung)</t>
  </si>
  <si>
    <t>Externer Nachweis der Kriterien gemäss SIA382/1 (mit Kühlung)</t>
  </si>
  <si>
    <t>Prüfung nicht alle "n.a."</t>
  </si>
  <si>
    <t>Prüfung nicht Nein</t>
  </si>
  <si>
    <t>Beilagen zu Zertifikat Antrag</t>
  </si>
  <si>
    <t>(sämtl. Beilagen sind einzureichen)</t>
  </si>
  <si>
    <t>U-Wert Dach, Aussenwand, Boden</t>
  </si>
  <si>
    <t>U-Wert Fenster (schriftl. Bestätigung Einhaltung 1.0)</t>
  </si>
  <si>
    <t>Pläne 1:50 mit Bezeichnung der Bauteile</t>
  </si>
  <si>
    <t>Situationsplan</t>
  </si>
  <si>
    <t>Technische Daten Lüftungsgerät</t>
  </si>
  <si>
    <t>Technische Daten Wärmeerzeugung</t>
  </si>
  <si>
    <t>Fotografien Bestand / max. 10 Stück, total max 3 MB</t>
  </si>
  <si>
    <t>Ev. weitere Unterlagen:</t>
  </si>
  <si>
    <t>Dokumentationspflicht</t>
  </si>
  <si>
    <t>Für die Qualitätskontrolle mittels Stichprobe (20% der Gebäude) sind die Unterzeichnenden verpflichtet, den Fortschritt im Rahmen von Fotos, Rechnungskopien und technischen Dokumentationen (z.B. Produktdatenblätter) zu dokumentieren.</t>
  </si>
  <si>
    <t>Ort, Datum</t>
  </si>
  <si>
    <t>Unterschrift</t>
  </si>
  <si>
    <t>Bauherrschaft</t>
  </si>
  <si>
    <t>Antragstellende</t>
  </si>
  <si>
    <t>Fachplanende</t>
  </si>
  <si>
    <t>Die Unterzeichnenden</t>
  </si>
  <si>
    <t>1. erklären, dass sie das aktuelle MINERGIE Nutzungsreglement zur Kenntnis genommen haben.</t>
  </si>
  <si>
    <t>2. anderkennen das MINERGIE-Reglement als integrale Bedingung jeder Nutzung der Marke MINERGIE.</t>
  </si>
  <si>
    <t>3. erklären, dass sie das aktuelle MINERGIE Gebührenreglement zur Kenntnis genommen haben.</t>
  </si>
  <si>
    <t>4. sind sich im klaren darüber, dass der Antragstellende für die bauliche Umsetzung der MINERGIE-Anforderungen gemäss Antrag verantwortlich ist und diese sicherzustellen hat, sofern erforderlich unter Beizug der notwendigen Fachleute.</t>
  </si>
  <si>
    <t>5. sind mit der Veröffentlichung der registrierten Daten (Architekt/in, Planer/in, Gebäudestandort, Bauherrschaft) einverstanden</t>
  </si>
  <si>
    <t>Wärmeschutz</t>
  </si>
  <si>
    <t>Anforderungen MINERGIE erfüllt</t>
  </si>
  <si>
    <t>Anforderungen MINERGIE nicht erfüllt</t>
  </si>
  <si>
    <t>Sommerlicher Wärmeschutz</t>
  </si>
  <si>
    <t>Hülle &amp; Wärmeerzeugung</t>
  </si>
  <si>
    <t>Abluft Wärmepumpe</t>
  </si>
  <si>
    <t>Gebäudeenergieausweis der Kantone</t>
  </si>
  <si>
    <t>Fussbodenheizung</t>
  </si>
  <si>
    <t>Heizkörper</t>
  </si>
  <si>
    <t>Auto. Fensterlüftung</t>
  </si>
  <si>
    <t>Anzahl Zimmer mit Zuluft</t>
  </si>
  <si>
    <r>
      <t>kW</t>
    </r>
    <r>
      <rPr>
        <vertAlign val="subscript"/>
        <sz val="9"/>
        <rFont val="Arial"/>
        <family val="2"/>
      </rPr>
      <t>p</t>
    </r>
  </si>
  <si>
    <t>Anzahl Vorhanden</t>
  </si>
  <si>
    <t>Davon Anforderung erfüllt</t>
  </si>
  <si>
    <t>Elektrizitätsnachweis Option</t>
  </si>
  <si>
    <t>Elektrogeräte</t>
  </si>
  <si>
    <t>Absorberfläche Solarthermie</t>
  </si>
  <si>
    <t>Erreicht</t>
  </si>
  <si>
    <t>Hülle</t>
  </si>
  <si>
    <t>Vorlauftemp</t>
  </si>
  <si>
    <t>Solarfläche</t>
  </si>
  <si>
    <t>Beilagen unvollständig</t>
  </si>
  <si>
    <t>Beilagen vollständig?</t>
  </si>
  <si>
    <t>Abgabe System</t>
  </si>
  <si>
    <t xml:space="preserve">max. Vorlauftemperatur der Wärmeerzeugung:  </t>
  </si>
  <si>
    <t>Neubauteil</t>
  </si>
  <si>
    <t>Energiebezugsfläche EBF Neubauteil</t>
  </si>
  <si>
    <t>Nachweisoption Gebäudehülle</t>
  </si>
  <si>
    <t>GEAK</t>
  </si>
  <si>
    <t>U-Werte</t>
  </si>
  <si>
    <t>≤ 0.15</t>
  </si>
  <si>
    <t>≤ 1</t>
  </si>
  <si>
    <t>Umbau</t>
  </si>
  <si>
    <t>Typ Wärmepumpe</t>
  </si>
  <si>
    <t>Flächenberechnung (in %) der gedämmten Anteile</t>
  </si>
  <si>
    <t>Systeme 2-4</t>
  </si>
  <si>
    <t>Ungültige Systemlösung !</t>
  </si>
  <si>
    <t>Ungültige Wärmeerzeugung !</t>
  </si>
  <si>
    <t>Formular Systemerneuerungen</t>
  </si>
  <si>
    <t>Effizienzklasse A+++ / A++</t>
  </si>
  <si>
    <t>LED Effizienzklasse A++ / A+ [Leuchten austauschen]</t>
  </si>
  <si>
    <t>LED Effizienzklasse A++ / A+ und Regulierung [z.B. PIR, Minuterie]</t>
  </si>
  <si>
    <t>Umbau &amp; Neubau</t>
  </si>
  <si>
    <t>Neubau Anteil zu gross für Nachweis mit Systemerneuerung!</t>
  </si>
  <si>
    <t>Unterzeichneter Ausdruck inkl. Register "Hülle &amp; Elektrizität" und "Sommer &amp; Unterlagen"</t>
  </si>
  <si>
    <t>5 Wp pro m2 EBF</t>
  </si>
  <si>
    <t>Vorhanden &lt; erfüllt</t>
  </si>
  <si>
    <t>E27</t>
  </si>
  <si>
    <t>E28</t>
  </si>
  <si>
    <t>E29</t>
  </si>
  <si>
    <t>E30</t>
  </si>
  <si>
    <t>E33</t>
  </si>
  <si>
    <t>E34</t>
  </si>
  <si>
    <t>E35</t>
  </si>
  <si>
    <t>E36</t>
  </si>
  <si>
    <t>E43</t>
  </si>
  <si>
    <t>E44</t>
  </si>
  <si>
    <t>E45</t>
  </si>
  <si>
    <t>E49</t>
  </si>
  <si>
    <t>E50</t>
  </si>
  <si>
    <t>S19</t>
  </si>
  <si>
    <t>S36</t>
  </si>
  <si>
    <t>S38</t>
  </si>
  <si>
    <t>Aussenluft-Wärmepumpe bis 35°C VL Temperatur</t>
  </si>
  <si>
    <t xml:space="preserve">Wärmepumpe Sole/Wasser bis 50°C VL Temperatur  </t>
  </si>
  <si>
    <t>Energiebezugsfläche EBF bestehend</t>
  </si>
  <si>
    <t>EBF Erweiterung</t>
  </si>
  <si>
    <t>EBF total</t>
  </si>
  <si>
    <t>Neubauteile müssen den gesetzlichen Anforderungen entsprechen</t>
  </si>
  <si>
    <t>Zuluft-Volumenstrom &gt; 1000 m3/h Wärmerückgewinnung zwingend</t>
  </si>
  <si>
    <t>Vorlauftemperatur zu hoch</t>
  </si>
  <si>
    <t>Wärmerückgewinnung erforderlich</t>
  </si>
  <si>
    <t>Anforderunng:</t>
  </si>
  <si>
    <t>Absorberfläche zu klein</t>
  </si>
  <si>
    <t>Version 2019</t>
  </si>
  <si>
    <t>&lt;-- auf 0 ändern, wenn Variante 2 nur noch mit 2xJa wahr sein soll, sonst 1</t>
  </si>
  <si>
    <t>Bis auf weiteres zulässig</t>
  </si>
  <si>
    <t>Externer Nachweis der Kriterien gemäss SIA382/1 und SIA 180 (ohne Kühlung)</t>
  </si>
  <si>
    <t>Wohnen (EFH, MFH), Räume mit bis zu 2 Fassaden, Betondecke (&gt;80% frei)</t>
  </si>
  <si>
    <t>- Maximale Glasflächenzahl:</t>
  </si>
  <si>
    <t>Wohnen (EFH, MFH), Räume mit bis zu 2 Fassaden, Holzdecke und Zementunterlagsboden mit min. 6 cm oder Anhydrit min. 5 cm Stärke</t>
  </si>
  <si>
    <t>Wohnen (EFH, MFH), Räume mit 1 Fassade, Betondecke (&gt;80% frei) SSE-SSW-Orientierung und Verschattung durch Balkon mit 1 Meter Tiefe</t>
  </si>
  <si>
    <t>Einzelbüro, Gruppenbüro, Räume mit bis zu 2 Fassaden, Betondecke (&gt; 40% frei) und automat. Steuerung des Sonnenschutzes. G-Wert Glas ≤ 30%</t>
  </si>
  <si>
    <t>Wohnen (EFH,MFH), Räume mit bis zu 2 Fassaden, Betondecke (&gt;80% frei)</t>
  </si>
  <si>
    <t>Wohnen (EFH,MFH), Räume mit bis zu 2 Fassaden, Holzdecke und Zementunterlagsboden mit min. 6 cm oder Anhydrit min. 5 cm Stärke</t>
  </si>
  <si>
    <t>Wohnen (EFH,MFH), Räume mit 1 Fassade, Betondecke (&gt;80% frei) SSE-SSW Orientierung und Verschattung durch Balkon mit 1 m Tiefe</t>
  </si>
  <si>
    <t>Einzelbüro, Gruppenbüro, Räume mit bus zu 2 Fassaden, Betondecke (&gt; 40% frei) und automat. Steuerung des Sonnenschutzes, G-Wert Glas &lt;= 30%</t>
  </si>
  <si>
    <t>Maximale Glasflächenzahl bezogen auf Raumkriterien</t>
  </si>
  <si>
    <t>Klimagruppen, aufgeteilt nach Klimastation für den Geäbudestandort (SIA-M 2028)</t>
  </si>
  <si>
    <t>Adelboden</t>
  </si>
  <si>
    <t>Aigle</t>
  </si>
  <si>
    <t>Altdorf</t>
  </si>
  <si>
    <t>Basel-Binningen</t>
  </si>
  <si>
    <t>Bern  Liebefeld</t>
  </si>
  <si>
    <t>Buchs Aarau</t>
  </si>
  <si>
    <t>Chur</t>
  </si>
  <si>
    <t>Davos</t>
  </si>
  <si>
    <t>Disentis</t>
  </si>
  <si>
    <t>Engelberg</t>
  </si>
  <si>
    <t>Gr. St. Bernhard</t>
  </si>
  <si>
    <t>Güttingen</t>
  </si>
  <si>
    <t>Interlaken</t>
  </si>
  <si>
    <t>La Chaux-de-Fonds</t>
  </si>
  <si>
    <t>La Frêtaz</t>
  </si>
  <si>
    <t>Locarno-Monti</t>
  </si>
  <si>
    <t>Lugano</t>
  </si>
  <si>
    <t>Magadino</t>
  </si>
  <si>
    <t>Montana</t>
  </si>
  <si>
    <t>Payerne</t>
  </si>
  <si>
    <t>Piotta</t>
  </si>
  <si>
    <t>Pully</t>
  </si>
  <si>
    <t>Robbia</t>
  </si>
  <si>
    <t>Rünenberg</t>
  </si>
  <si>
    <t>Samedan</t>
  </si>
  <si>
    <t>San Bernardino</t>
  </si>
  <si>
    <t>Schuls</t>
  </si>
  <si>
    <t>Sion</t>
  </si>
  <si>
    <t>Ulrichen</t>
  </si>
  <si>
    <t>Vaduz</t>
  </si>
  <si>
    <t>Wynau</t>
  </si>
  <si>
    <t>Zermatt</t>
  </si>
  <si>
    <t>Zürich-Kloten</t>
  </si>
  <si>
    <t>Zürich SMA</t>
  </si>
  <si>
    <t>Klima:</t>
  </si>
  <si>
    <t>Station</t>
  </si>
  <si>
    <t>Kt.</t>
  </si>
  <si>
    <t>Klima-</t>
  </si>
  <si>
    <t>Klimazuschlag</t>
  </si>
  <si>
    <t>Höhe</t>
  </si>
  <si>
    <t>Temp.</t>
  </si>
  <si>
    <t>zone</t>
  </si>
  <si>
    <t>kWh/m2a</t>
  </si>
  <si>
    <t>Jahresmittel</t>
  </si>
  <si>
    <t>Klima nach SIA 2028</t>
  </si>
  <si>
    <t>BE</t>
  </si>
  <si>
    <t>VD</t>
  </si>
  <si>
    <t>UR</t>
  </si>
  <si>
    <t>BL</t>
  </si>
  <si>
    <t>AG</t>
  </si>
  <si>
    <t>GR</t>
  </si>
  <si>
    <t>OW</t>
  </si>
  <si>
    <t>GE</t>
  </si>
  <si>
    <t>GL</t>
  </si>
  <si>
    <t>VS</t>
  </si>
  <si>
    <t>TG</t>
  </si>
  <si>
    <t>NE</t>
  </si>
  <si>
    <t>TI</t>
  </si>
  <si>
    <t>LU</t>
  </si>
  <si>
    <t>SG</t>
  </si>
  <si>
    <t>SH</t>
  </si>
  <si>
    <t>BS</t>
  </si>
  <si>
    <t>FL</t>
  </si>
  <si>
    <t>ZH</t>
  </si>
  <si>
    <t>Auswahl Kanton:</t>
  </si>
  <si>
    <t>Gebäude E/NE</t>
  </si>
  <si>
    <t>Modèles de rénovation MINERGIE</t>
  </si>
  <si>
    <t>MINERGIE - Ammodernamento di sistema</t>
  </si>
  <si>
    <t>Système 1</t>
  </si>
  <si>
    <t>Sistema 1</t>
  </si>
  <si>
    <t>Système 2</t>
  </si>
  <si>
    <t>Sistema 2</t>
  </si>
  <si>
    <t>Système 3</t>
  </si>
  <si>
    <t>Sistema 3</t>
  </si>
  <si>
    <t>Système 4</t>
  </si>
  <si>
    <t>Sistema 4</t>
  </si>
  <si>
    <t>Système 5</t>
  </si>
  <si>
    <t>Sistema 5</t>
  </si>
  <si>
    <t>Solution standard</t>
  </si>
  <si>
    <t>Soluzione di sistema</t>
  </si>
  <si>
    <t xml:space="preserve">Toit / plafond </t>
  </si>
  <si>
    <t>tetto / soffitto</t>
  </si>
  <si>
    <t>Mur</t>
  </si>
  <si>
    <t>pareti</t>
  </si>
  <si>
    <t>Fenêtres</t>
  </si>
  <si>
    <t>finestre</t>
  </si>
  <si>
    <t xml:space="preserve">Sol </t>
  </si>
  <si>
    <t>pavimento</t>
  </si>
  <si>
    <t>Système de production de chaleur et émission de chaleur</t>
  </si>
  <si>
    <t>Sistema di generazione e distribuzione del calore</t>
  </si>
  <si>
    <t>Fossile + solaire (2% SRE pour l'eau chaude)</t>
  </si>
  <si>
    <t>Fossile + Solatre termico  (2% AE per ACS)</t>
  </si>
  <si>
    <t xml:space="preserve">Pompe à chaleur saumure/eau jusqu'à 50°C pour température de départ  </t>
  </si>
  <si>
    <t>Pompa di calore con sonde geotermiche fino a 50° C di temperatura di mandata</t>
  </si>
  <si>
    <t>Chaleur à distance (min. 50% énergies renouvelables, rejets de chaleur, CCF)</t>
  </si>
  <si>
    <t>Teleriscaldamento ( min. 50% di energia rinnovabile o recupero di calore)</t>
  </si>
  <si>
    <t>Bois + solaire (2% SRE)</t>
  </si>
  <si>
    <t>Legna + Solatre termico (2% AE)</t>
  </si>
  <si>
    <t>Pompe à chaleur air extérieur jusqu'à 35°C pour température de départ</t>
  </si>
  <si>
    <t>Pompa di calore aria acqua fino a 35° C di temperatura di mandata</t>
  </si>
  <si>
    <t xml:space="preserve">Température de départ max. de l'installation de production de chaleur:  </t>
  </si>
  <si>
    <t xml:space="preserve">Temperatura massima di mandata del produttore di calore:  </t>
  </si>
  <si>
    <t>CECB - Catégorie</t>
  </si>
  <si>
    <t>Categoria CECE</t>
  </si>
  <si>
    <t>Type de ventilation</t>
  </si>
  <si>
    <t>ventilazione tipo</t>
  </si>
  <si>
    <t>Avec récupération de chaleur</t>
  </si>
  <si>
    <t>con recupero di calore</t>
  </si>
  <si>
    <t>Sans récupération de chaleur</t>
  </si>
  <si>
    <t>senza recupero di calore</t>
  </si>
  <si>
    <t>Lave-vaisselle</t>
  </si>
  <si>
    <t>lavastoviglia</t>
  </si>
  <si>
    <t>Réfrigérateur et congélateur</t>
  </si>
  <si>
    <t>frigorifero e congelatore</t>
  </si>
  <si>
    <t>Lave-linge</t>
  </si>
  <si>
    <t>lavatrice</t>
  </si>
  <si>
    <t>Sèche-linge</t>
  </si>
  <si>
    <t>asciugatrice</t>
  </si>
  <si>
    <t>Cuisinière</t>
  </si>
  <si>
    <t>piano di cottra</t>
  </si>
  <si>
    <t>Éclairage résidentiel [fixe]</t>
  </si>
  <si>
    <t>Illuminazione abitazione  [fissa]</t>
  </si>
  <si>
    <t>Éclairage général [comme les couloirs, les caves à l'exception des unités d'habitation]</t>
  </si>
  <si>
    <t>Illuminazione parti comuni  [come corridoi, cantine che non appartengono all’UA]</t>
  </si>
  <si>
    <t>Electricité générale et appareils [not. pompes de circulation, etc. à l'exception des unités d'habitation]</t>
  </si>
  <si>
    <t>Elettricità comune  [per es. pompe di circolazione ecc. che non appartengono all’UA]</t>
  </si>
  <si>
    <t>Classe d'efficacité énergétique A+++ / A++</t>
  </si>
  <si>
    <t>Classe di efficienza A+++ / A++</t>
  </si>
  <si>
    <t>Cuisinière à induction [c.-à-d.: nouvelle cuisine]</t>
  </si>
  <si>
    <t>Piano ad induzione  [significa: nuova cucina]</t>
  </si>
  <si>
    <t>LED classe d'efficacité A++ / A+ [changer les lumières]</t>
  </si>
  <si>
    <t>LED classe d'efficienza A++/A+  [nuova illuminazione]</t>
  </si>
  <si>
    <t>LED classe d'efficacité A++ / A+ et régulation [p.ex. détecteur de mouvement, minuterie]</t>
  </si>
  <si>
    <t>LED classe d'efficienza A++/A+ con regolazione  [es. Sensore luminosita o minuteria]</t>
  </si>
  <si>
    <t>Appareils efficaces pour l'exploitation des bâtiments et les bâtiments à usage d'habitation</t>
  </si>
  <si>
    <t>Apparecchi efficienti per il funzionamento dell’edificio e per l’uso domestico</t>
  </si>
  <si>
    <t>Max.</t>
  </si>
  <si>
    <t>Massimo</t>
  </si>
  <si>
    <t>Nouvelles constructions</t>
  </si>
  <si>
    <t>Nuovo edifico</t>
  </si>
  <si>
    <t>Rénovations</t>
  </si>
  <si>
    <t>Ammodernamento</t>
  </si>
  <si>
    <t>Energia elettrica</t>
  </si>
  <si>
    <t>Nombre disponible</t>
  </si>
  <si>
    <t>Qunatità disponibile</t>
  </si>
  <si>
    <t>Requisiti</t>
  </si>
  <si>
    <t>Dont exigence respectée</t>
  </si>
  <si>
    <t>che rispettano i requisiti</t>
  </si>
  <si>
    <t>Respectée</t>
  </si>
  <si>
    <t>Soddisfato</t>
  </si>
  <si>
    <t>Non respectée</t>
  </si>
  <si>
    <t>Non soddisfatto</t>
  </si>
  <si>
    <t>Installation PV</t>
  </si>
  <si>
    <t>Impianto PV</t>
  </si>
  <si>
    <t>Variante 1</t>
  </si>
  <si>
    <t>Evaluation globale de cas standards pour les affectations suivantes: habitation, bureau individuel ou paysager, salle de réunion et dépôt (sans refroidissement)</t>
  </si>
  <si>
    <t>Valutazione globale dei casi standard per uso residenziale, ufficio individuale, ufficio di gruppo, sala riunioni e magazzino (senza raffreddamento)</t>
  </si>
  <si>
    <t>Variante 2</t>
  </si>
  <si>
    <t>Justification externe des critères selon SIA 382/1 (sans refroidissement)</t>
  </si>
  <si>
    <t>Verifica esterna dei criteri secondo SIA382/1 (senza raffreddamento)</t>
  </si>
  <si>
    <t>Variante 3</t>
  </si>
  <si>
    <t>Justification externe des critères selon SIA 382/1 (avec refroidissement)</t>
  </si>
  <si>
    <t>Verifica esterna dei criteri secondo SIA382/1 con raffreddamento)</t>
  </si>
  <si>
    <t>Pièces relatives à la demande de certification</t>
  </si>
  <si>
    <t>Allegati per la richiesta di certificazione</t>
  </si>
  <si>
    <t>(toutes les pièces doivent être annexées à la demande)</t>
  </si>
  <si>
    <t>(alcuni allegati sono obbligatori)</t>
  </si>
  <si>
    <t>Valeur U du toit, des murs extérieurs, du sol</t>
  </si>
  <si>
    <t>Valore U tetto, pareti esterne, pavimento</t>
  </si>
  <si>
    <t>Valeur U des fenêtres (confirmation écrite du respect 1.0)</t>
  </si>
  <si>
    <t xml:space="preserve">Valore U finestra (conferma scritta rispetto 1.0) </t>
  </si>
  <si>
    <t>Plans à l'échelle 1:50 avec désignation des éléments de construction</t>
  </si>
  <si>
    <t>Disegni 1:50 con descrizione dei componenti</t>
  </si>
  <si>
    <t>Plan de situation</t>
  </si>
  <si>
    <t>Piano di situazione</t>
  </si>
  <si>
    <t>Version imprimée signée comprenant également les onglets « Enveloppe et électricité » et « Eté et documents »</t>
  </si>
  <si>
    <t>Stampa firmata con i fogli involucoro&amp;elettricità e estate&amp;allegati</t>
  </si>
  <si>
    <t>Caractéristiques techniques de l'appareil de ventilation</t>
  </si>
  <si>
    <t>Scheda tecnica app. di ventilazione</t>
  </si>
  <si>
    <t>Caractéristiques techniques de l'installation de production de chaleur</t>
  </si>
  <si>
    <t>Scheda tecnica del produttore di calore</t>
  </si>
  <si>
    <t>Photos de l'ouvrage / max. 10, taille max. 3 MB</t>
  </si>
  <si>
    <t>Fotografie attuali max. 10 pezzi, totale max. 3 MB</t>
  </si>
  <si>
    <t>Autres documents (facultatif):</t>
  </si>
  <si>
    <t>Ev altri documenti, se necessario:</t>
  </si>
  <si>
    <t>Obligation de documenter</t>
  </si>
  <si>
    <t>Documentazione obbligatoria</t>
  </si>
  <si>
    <t>Pour le contrôle qualité effectué sur la base de contrôles aléatoires (20% des bâtiments), les signataires sont tenus de documenter l'avancement du projet par des photos, des copies de factures et de la documentation technique (p.ex. fiches de données du produit).</t>
  </si>
  <si>
    <t>Per il controllo di qualità, mediante un campione (20% degli edifici) i firmatari sono tenuti a documentare i progressi compiuti sotto forma di foto, copie delle fatture e documentazione tecnica (ad es. schede tecniche del prodotto).</t>
  </si>
  <si>
    <t>Lieu, date</t>
  </si>
  <si>
    <t>Luogo, data</t>
  </si>
  <si>
    <t>Sottoscrizione</t>
  </si>
  <si>
    <t>Requérant</t>
  </si>
  <si>
    <t>Richiedente</t>
  </si>
  <si>
    <t>Progettista/consulente</t>
  </si>
  <si>
    <t>Maître d'ouvrage</t>
  </si>
  <si>
    <t>Committenza</t>
  </si>
  <si>
    <t>Les signataires</t>
  </si>
  <si>
    <t>Il firmatario</t>
  </si>
  <si>
    <t>1. déclarent avoir pris connaissance de l'actuel règlement d'utilisation MINERGIE.</t>
  </si>
  <si>
    <t>1. dichiara di aver preso conoscenza delle attuali condizioni d' uso MINERGIE.</t>
  </si>
  <si>
    <t>2. reconnaissent le règlement MINERGIE comme condition intégrale de chacune des utilisations de la marque MINERGIE.</t>
  </si>
  <si>
    <t>2. riconosce i regolamenti MINERGIE come condizione essenziale per qualsiasi uso del marchio MINERGIE.</t>
  </si>
  <si>
    <t>3. déclarent avoir pris connaissance de l'actuel règlement sur les émoluments de MINERGIE.</t>
  </si>
  <si>
    <t>3. dichiara di aver preso conoscenza dell' attuale regolamento MINERGIE in materia di emolumenti.</t>
  </si>
  <si>
    <t>4. sont conscients du fait que le requérant est responsable de la mise en œuvre physique des exigences MINERGIE conformément à la demande et qu'il doit garantir ces dernières en consultant si nécessaire le spécialiste requis.</t>
  </si>
  <si>
    <t xml:space="preserve">4) di essere consapevole del fatto che il richiedente è responsabile dell' attuazione  dei requisiti MINERGIE, conformemente alla domanda, e di garantire che essi siano rispettati, se necessario con l' assistenza degli esperti necessari.
</t>
  </si>
  <si>
    <t>5. ne sont pas opposés à la publication des données enregistrées (architecte, planificateur, emplacement du bâtiment, maître d'ouvrage).</t>
  </si>
  <si>
    <t>5. acconsente alla pubblicazione dei dati registrati (architetto, progettista, sede, committente)</t>
  </si>
  <si>
    <t>Protection thermique</t>
  </si>
  <si>
    <t>Protezione termica</t>
  </si>
  <si>
    <t>Exigences MINERGIE respectées</t>
  </si>
  <si>
    <t>I requisti MINERGIE sono rispettati</t>
  </si>
  <si>
    <t>Exigences MINERGIE non respectées</t>
  </si>
  <si>
    <t>I requisti MINERGIE non sono rispettati</t>
  </si>
  <si>
    <t>Involucro &amp; produzione di calore</t>
  </si>
  <si>
    <t>Protection thermique estivale</t>
  </si>
  <si>
    <t>Protezione termica estica</t>
  </si>
  <si>
    <t>Pompes à chaleur sur air sortant</t>
  </si>
  <si>
    <t>Pompa di calore sull'aria d'estrazione</t>
  </si>
  <si>
    <t>Aération autom. par les fenêtres</t>
  </si>
  <si>
    <t>apertura automatica delle finestre</t>
  </si>
  <si>
    <t>Certificat énergétique cantonal des bâtiments</t>
  </si>
  <si>
    <t>Certificato energetico cantonale degli edifici</t>
  </si>
  <si>
    <t>Système de distribution</t>
  </si>
  <si>
    <t>Sistema di emeissione</t>
  </si>
  <si>
    <t>Chauffage par le sol</t>
  </si>
  <si>
    <t>Serpentine</t>
  </si>
  <si>
    <t>Corps de chauffe</t>
  </si>
  <si>
    <t>Radiatori</t>
  </si>
  <si>
    <t>Nombre de pièce(s) avec entrée d'air</t>
  </si>
  <si>
    <t>Numero di locali con immisione</t>
  </si>
  <si>
    <t>Justificatif pour l'électricité Option</t>
  </si>
  <si>
    <t>verifica dell'energia elettrica - opzione</t>
  </si>
  <si>
    <t>Appareils électriques</t>
  </si>
  <si>
    <t>Elettrodomestici</t>
  </si>
  <si>
    <t>Surface de capteurs solaires thermiques</t>
  </si>
  <si>
    <t>Superficie di assorbimento dei collettori solari</t>
  </si>
  <si>
    <t>Pièces annexes incomplètes</t>
  </si>
  <si>
    <t>Dati incompleti</t>
  </si>
  <si>
    <t>Nouvelle partie de construction</t>
  </si>
  <si>
    <t>Quota parte nuova costruzione</t>
  </si>
  <si>
    <t>Surface de référence énergétique SRE Nouvelle partie de construction</t>
  </si>
  <si>
    <t>Area di riferimento energetico AE nuova costruzione</t>
  </si>
  <si>
    <t>Option justificatif Enveloppe du bâtiment</t>
  </si>
  <si>
    <t>Verifica involucro termico - opzionale</t>
  </si>
  <si>
    <t>Valeurs U</t>
  </si>
  <si>
    <t>Valore U</t>
  </si>
  <si>
    <t>CECB</t>
  </si>
  <si>
    <t>CECE</t>
  </si>
  <si>
    <t>Transformation</t>
  </si>
  <si>
    <t xml:space="preserve">Ammodernamento </t>
  </si>
  <si>
    <t>Nuova costruzione</t>
  </si>
  <si>
    <t>Extension SRE</t>
  </si>
  <si>
    <t>AE ampliamento</t>
  </si>
  <si>
    <t>Type de pompe à chaleur</t>
  </si>
  <si>
    <t>Tipo di pompa di calore</t>
  </si>
  <si>
    <t>Calcul de la surface (en %) des parties isolées</t>
  </si>
  <si>
    <t>Calcolo delle superfici della parte isolata (in %)</t>
  </si>
  <si>
    <t>Systèmes 2-4</t>
  </si>
  <si>
    <t>Sistema 2-4</t>
  </si>
  <si>
    <t>Solution standard non valide!</t>
  </si>
  <si>
    <t>Soluzione di sistema non valida!</t>
  </si>
  <si>
    <t>Système de production de chaleur non valide!</t>
  </si>
  <si>
    <t>Produzione di calore non valida!</t>
  </si>
  <si>
    <t>Formulaire pour les modèles de rénovation</t>
  </si>
  <si>
    <t>Formulario ammodernamento di sistema</t>
  </si>
  <si>
    <t>Transformations &amp; nouvelles constructions</t>
  </si>
  <si>
    <t>Ammodernamento &amp; nuova costruzione</t>
  </si>
  <si>
    <t>Part de la nouvelle construction trop élevée pour le justificatif du modèle de rénovation!</t>
  </si>
  <si>
    <t>Parte nuova troppo grande per la verifica tramite ammodernamento di sistema!</t>
  </si>
  <si>
    <t>5 Wp par m2 SRE</t>
  </si>
  <si>
    <t>5 Wp per m2 AE</t>
  </si>
  <si>
    <t>Existant &lt; respecté</t>
  </si>
  <si>
    <t>previsto &lt; rispettato</t>
  </si>
  <si>
    <t>Surface de référence énergétique SRE existante</t>
  </si>
  <si>
    <t>Area di riferimento energetico AE esistente</t>
  </si>
  <si>
    <t>Les nouvelles parties de construction doivent correspondre aux exigences légales</t>
  </si>
  <si>
    <t>I nuovi elementi della costruzione devono rispettare i requisiti di legge</t>
  </si>
  <si>
    <t>Débit d'air fourni &gt; 1000 m3/h récupération de chaleur obligatoire</t>
  </si>
  <si>
    <t>Portata portata aria di mandata &gt; 1000 m3/h Recupero di calore obbligatorio</t>
  </si>
  <si>
    <t>Température de départ trop élevée</t>
  </si>
  <si>
    <t>Temperatura di mandata troppo alta</t>
  </si>
  <si>
    <t>Récupération de chaleur nécessaire</t>
  </si>
  <si>
    <t>Recupero di calore obbligatorio</t>
  </si>
  <si>
    <t>Exigence:</t>
  </si>
  <si>
    <t>Surface de capteurs trop petite</t>
  </si>
  <si>
    <t>Superfici assorbitore troppo piccola</t>
  </si>
  <si>
    <t>S42</t>
  </si>
  <si>
    <t>S44</t>
  </si>
  <si>
    <t>S46</t>
  </si>
  <si>
    <t>S49</t>
  </si>
  <si>
    <t>S50</t>
  </si>
  <si>
    <t>S51</t>
  </si>
  <si>
    <t>E38</t>
  </si>
  <si>
    <t>E41</t>
  </si>
  <si>
    <t>E47</t>
  </si>
  <si>
    <t>E51</t>
  </si>
  <si>
    <t>E53</t>
  </si>
  <si>
    <t>#NV Fehler in Anzeige wenn Blatt leer behoben</t>
  </si>
  <si>
    <t>ML</t>
  </si>
  <si>
    <t>Sommerlicher Wärmeschutz Variante 2</t>
  </si>
  <si>
    <t>Analog zu Minergie Nachweisformular</t>
  </si>
  <si>
    <t>Sommerlicher Wärmeschutz Variante 1 mit maximaler Glasflächenzahl abhängig von Klimastation</t>
  </si>
  <si>
    <t>Eingabe Kanton und Klimastation im Blatt "Hülle &amp; Elektrizität" ergänzt</t>
  </si>
  <si>
    <t>Anforderungen an den baulichen sommerlichen Wärmeschutz gemäss Nachweis Sommerlicher Wärmeschutz Variante 2 erfüllt?</t>
  </si>
  <si>
    <t>Anforderungen an Komfortkriterien gemäss Nachweis Sommerlicher Wärmeschutz erfüllt?</t>
  </si>
  <si>
    <t>Aenderungen im Formular Systemerneuerung</t>
  </si>
  <si>
    <t>- Keine Oblichter</t>
  </si>
  <si>
    <t>- Aussen liegender beweglicher Sonnenschutz mit Rolläden oder Rafflamellenstoren (g-Wert-total max 0.1)</t>
  </si>
  <si>
    <t>- Eine Nachtauskühlung mit Fensterlüftung ist möglich (Hinweis: Der Einbruchschutz wird im Rahmen der Minergie-Zertifizierung generell nicht gefrüft).</t>
  </si>
  <si>
    <t>- Interne Wärmelasten nicht höher als die Standardwerte im Merkblatt SIA 2024</t>
  </si>
  <si>
    <t>- Windfestigkeit des aussenliegenden beweglichen Sonnenschutzes mindestens Windwiderstandsklasse 5</t>
  </si>
  <si>
    <t>v 2019.1</t>
  </si>
  <si>
    <t>Exigences des critères de confort selon le justificatif pour la protection thermique estivale remplies?</t>
  </si>
  <si>
    <t>Sono soddisfatti i requisiti per i criteri di comfort secondo la verifica della protezione termica estiva?</t>
  </si>
  <si>
    <t>Admissible jusqu'à nouvel ordre</t>
  </si>
  <si>
    <t>Permesso fino a nuovo avviso</t>
  </si>
  <si>
    <t>- Résistance au vent des protections solaires extérieures mobiles d'au moins classe 5</t>
  </si>
  <si>
    <t>- Resistenza al vento della protezione solare mobile esterna almeno classe 5 di resistenza al vento</t>
  </si>
  <si>
    <t>Justificatif externe des critères selon SIA 382/1 et SIA 180 (sans refroidissement)</t>
  </si>
  <si>
    <t>Verifica esterna dei criteri secondo SIA382/1 e SIA 180 (senza raffreddamento)</t>
  </si>
  <si>
    <t>Habitat (individuel, collectif), pièce jusqu'à 2 façades, plafond en béton apparent (&gt;80% libre)</t>
  </si>
  <si>
    <t>Abitazione (mono- e plurifamiliare), locale con 2 facciate vetrate soffitto in calcestruzzo (libero &gt; 80%)</t>
  </si>
  <si>
    <t>- Indice de vitrage maximal</t>
  </si>
  <si>
    <t>- superficie vetrata massima:</t>
  </si>
  <si>
    <t>Habitat (individuel, collectif), pièce jusqu'à 2 façades, plafond en bois et chape ciment min. 6 cm ou anhydrite min. 5 cm d'épais</t>
  </si>
  <si>
    <t>Abitazione (mono- e plurifamiliare), locale con 1 o 2 facciate vetrate soffitto in legno con betoncino min 6 cm o betoncino anidridico 5 cm</t>
  </si>
  <si>
    <t>Habitat (ind., coll.), pièce avec 1 façade, plafond en béton apparent (&gt;80% libre), orientation SSE-SSO et ombrage par balcon de min. 1 m de profondeur</t>
  </si>
  <si>
    <t>Abiatazione (mono- e plurifamiliare), locale con 1 facciata vetrata soffitto in calcestruzzo (libero &gt; 80%) orientata a SSE-SSO  con ombreggiamento tramite balcone con profondità di 1 metro</t>
  </si>
  <si>
    <t>Plafond en béton apparent (&gt;40% libre) et commande automatique de la protection solaire. Valeur g vitrage ≤ 30%</t>
  </si>
  <si>
    <t>Ufficio individuale, ufficio di gruppo, locale con 1 o 2 facciate vetrate, soffitto in cemento (libero &gt; 40% ) e automatismo della protezione solare. Valore G vetro ≤ 30%.</t>
  </si>
  <si>
    <t>Exigences constructives de la protection thermique estivale selon le justificatif pour la protection thermique estivale, Variante 2, remplies?</t>
  </si>
  <si>
    <t>Sono soddisfatti i requisiti costruttivi secondo la verifica della protezione termica estiva , variante 2?</t>
  </si>
  <si>
    <t>- Pas d'ouverture zénithale</t>
  </si>
  <si>
    <t>- nessun lucernario</t>
  </si>
  <si>
    <t>- Protection solaire extérieure mobile avec stores à rouleau ou à lamellles (valeur g-total max. 0.1)</t>
  </si>
  <si>
    <t>- Protezione solare mobile esterna con tapparelle o veneziane (g-valore-totale max 0,1)</t>
  </si>
  <si>
    <t>- Rafraîchis. nocturne par les fen. possible (précision : la protect. contre l'effraction n'est en général pas contrôlée dans le cadre de la certif. Minergie)</t>
  </si>
  <si>
    <t>- Il raffrescamento notturno tramite le finestre é possibile (Nota: la protezione antieffrazione non viene generalmente verificata nell'ambito della certificazione Minergie);</t>
  </si>
  <si>
    <t>- Les charges internes ne sont pas plus élevées que la valeur standart du cahier technique SIA 2024</t>
  </si>
  <si>
    <t>- I carichi termici interni non sono superiori ai valori standard del quaderno tecnico SIA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</si>
</sst>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64" formatCode="#,##0_ ;[Red]\-#,##0\ "/>
    <numFmt numFmtId="165" formatCode="#,##0.00_ ;[Red]\-#,##0.00\ "/>
    <numFmt numFmtId="166" formatCode="0.0"/>
    <numFmt numFmtId="167" formatCode="#,##0.0_ ;[Red]\-#,##0.0\ "/>
    <numFmt numFmtId="168" formatCode="#,##0.0000_ ;[Red]\-#,##0.0000\ "/>
    <numFmt numFmtId="169" formatCode="0.0%"/>
    <numFmt numFmtId="170" formatCode="#,##0.0"/>
    <numFmt numFmtId="171" formatCode="_ * #,##0_ ;_ * \-#,##0_ ;_ * &quot;-&quot;??_ ;_ @_ "/>
    <numFmt numFmtId="172" formatCode="#,##0.0_ ;\-#,##0.0\ "/>
    <numFmt numFmtId="173" formatCode="0;;;@"/>
    <numFmt numFmtId="174" formatCode="0.000"/>
    <numFmt numFmtId="175" formatCode="0.0000"/>
  </numFmts>
  <fonts count="82">
    <font>
      <sz val="10"/>
      <name val="Arial"/>
    </font>
    <font>
      <b/>
      <sz val="10"/>
      <name val="Arial"/>
      <family val="2"/>
    </font>
    <font>
      <sz val="10"/>
      <name val="Arial"/>
      <family val="2"/>
    </font>
    <font>
      <sz val="10"/>
      <name val="Arial"/>
      <family val="2"/>
    </font>
    <font>
      <b/>
      <sz val="12"/>
      <name val="Arial"/>
      <family val="2"/>
    </font>
    <font>
      <sz val="8"/>
      <name val="Arial"/>
      <family val="2"/>
    </font>
    <font>
      <sz val="8"/>
      <name val="Arial"/>
      <family val="2"/>
    </font>
    <font>
      <sz val="9"/>
      <name val="Arial"/>
      <family val="2"/>
    </font>
    <font>
      <b/>
      <sz val="9"/>
      <name val="Arial"/>
      <family val="2"/>
    </font>
    <font>
      <vertAlign val="subscript"/>
      <sz val="9"/>
      <name val="Arial"/>
      <family val="2"/>
    </font>
    <font>
      <sz val="9"/>
      <name val="Arial"/>
      <family val="2"/>
    </font>
    <font>
      <b/>
      <sz val="9"/>
      <name val="Arial"/>
      <family val="2"/>
    </font>
    <font>
      <b/>
      <sz val="11"/>
      <name val="Arial"/>
      <family val="2"/>
    </font>
    <font>
      <sz val="6"/>
      <name val="Arial"/>
      <family val="2"/>
    </font>
    <font>
      <b/>
      <sz val="10"/>
      <name val="Arial"/>
      <family val="2"/>
    </font>
    <font>
      <sz val="9"/>
      <color indexed="8"/>
      <name val="Arial"/>
      <family val="2"/>
    </font>
    <font>
      <sz val="9"/>
      <color indexed="9"/>
      <name val="Arial"/>
      <family val="2"/>
    </font>
    <font>
      <b/>
      <sz val="8"/>
      <name val="Arial"/>
      <family val="2"/>
    </font>
    <font>
      <sz val="9"/>
      <color indexed="10"/>
      <name val="Arial"/>
      <family val="2"/>
    </font>
    <font>
      <b/>
      <sz val="9"/>
      <color indexed="9"/>
      <name val="Arial"/>
      <family val="2"/>
    </font>
    <font>
      <b/>
      <i/>
      <sz val="8"/>
      <name val="Arial"/>
      <family val="2"/>
    </font>
    <font>
      <vertAlign val="subscript"/>
      <sz val="8"/>
      <name val="Arial"/>
      <family val="2"/>
    </font>
    <font>
      <i/>
      <sz val="8"/>
      <name val="Arial"/>
      <family val="2"/>
    </font>
    <font>
      <sz val="8"/>
      <color indexed="81"/>
      <name val="Tahoma"/>
      <family val="2"/>
    </font>
    <font>
      <sz val="6"/>
      <color indexed="10"/>
      <name val="Arial"/>
      <family val="2"/>
    </font>
    <font>
      <b/>
      <sz val="6"/>
      <color indexed="10"/>
      <name val="Arial"/>
      <family val="2"/>
    </font>
    <font>
      <sz val="10"/>
      <color indexed="10"/>
      <name val="Arial"/>
      <family val="2"/>
    </font>
    <font>
      <b/>
      <sz val="9"/>
      <color indexed="10"/>
      <name val="Arial"/>
      <family val="2"/>
    </font>
    <font>
      <b/>
      <sz val="8"/>
      <color indexed="10"/>
      <name val="Arial"/>
      <family val="2"/>
    </font>
    <font>
      <b/>
      <sz val="10"/>
      <color indexed="10"/>
      <name val="Arial"/>
      <family val="2"/>
    </font>
    <font>
      <sz val="7"/>
      <name val="Arial"/>
      <family val="2"/>
    </font>
    <font>
      <b/>
      <u/>
      <sz val="18"/>
      <name val="Arial"/>
      <family val="2"/>
    </font>
    <font>
      <b/>
      <i/>
      <u/>
      <sz val="12"/>
      <name val="Arial"/>
      <family val="2"/>
    </font>
    <font>
      <b/>
      <u/>
      <sz val="12"/>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10"/>
      <name val="Arial"/>
      <family val="2"/>
    </font>
    <font>
      <b/>
      <sz val="14"/>
      <name val="Arial"/>
      <family val="2"/>
    </font>
    <font>
      <b/>
      <sz val="16"/>
      <name val="Arial"/>
      <family val="2"/>
    </font>
    <font>
      <sz val="11"/>
      <name val="Arial"/>
      <family val="2"/>
    </font>
    <font>
      <sz val="9"/>
      <color theme="1"/>
      <name val="Arial"/>
      <family val="2"/>
    </font>
    <font>
      <sz val="9"/>
      <color theme="0"/>
      <name val="Arial"/>
      <family val="2"/>
    </font>
    <font>
      <sz val="8"/>
      <color theme="1"/>
      <name val="Arial"/>
      <family val="2"/>
    </font>
    <font>
      <sz val="7"/>
      <color rgb="FFFF0000"/>
      <name val="Arial"/>
      <family val="2"/>
    </font>
    <font>
      <sz val="8"/>
      <color rgb="FFFF0000"/>
      <name val="Arial"/>
      <family val="2"/>
    </font>
    <font>
      <sz val="10"/>
      <color theme="0"/>
      <name val="Arial"/>
      <family val="2"/>
    </font>
    <font>
      <sz val="8"/>
      <color theme="0"/>
      <name val="Arial"/>
      <family val="2"/>
    </font>
    <font>
      <sz val="10"/>
      <name val="Arial"/>
      <family val="2"/>
    </font>
    <font>
      <b/>
      <sz val="9"/>
      <color rgb="FFFF0000"/>
      <name val="Arial"/>
      <family val="2"/>
    </font>
    <font>
      <sz val="9"/>
      <color indexed="81"/>
      <name val="Tahoma"/>
      <family val="2"/>
    </font>
    <font>
      <vertAlign val="subscript"/>
      <sz val="9"/>
      <color theme="1"/>
      <name val="Arial"/>
      <family val="2"/>
    </font>
    <font>
      <vertAlign val="subscript"/>
      <sz val="10"/>
      <name val="Arial"/>
      <family val="2"/>
    </font>
    <font>
      <b/>
      <i/>
      <sz val="9"/>
      <name val="Arial"/>
      <family val="2"/>
    </font>
    <font>
      <b/>
      <i/>
      <sz val="10"/>
      <color theme="1"/>
      <name val="Arial"/>
      <family val="2"/>
    </font>
    <font>
      <sz val="11"/>
      <color theme="1"/>
      <name val="Liberation Sans"/>
    </font>
    <font>
      <b/>
      <i/>
      <sz val="16"/>
      <color theme="1"/>
      <name val="Liberation Sans"/>
    </font>
    <font>
      <b/>
      <i/>
      <u/>
      <sz val="11"/>
      <color theme="1"/>
      <name val="Liberation Sans"/>
    </font>
    <font>
      <b/>
      <i/>
      <sz val="9"/>
      <color theme="1"/>
      <name val="Arial"/>
      <family val="2"/>
    </font>
    <font>
      <b/>
      <vertAlign val="subscript"/>
      <sz val="10"/>
      <name val="Arial"/>
      <family val="2"/>
    </font>
    <font>
      <sz val="9"/>
      <color indexed="81"/>
      <name val="Segoe UI"/>
      <family val="2"/>
    </font>
    <font>
      <b/>
      <sz val="10"/>
      <color rgb="FFFF0000"/>
      <name val="Arial"/>
      <family val="2"/>
    </font>
    <font>
      <b/>
      <sz val="10"/>
      <color indexed="9"/>
      <name val="Arial"/>
      <family val="2"/>
    </font>
    <font>
      <sz val="10"/>
      <color indexed="9"/>
      <name val="Arial"/>
      <family val="2"/>
    </font>
    <font>
      <b/>
      <u/>
      <sz val="12"/>
      <color indexed="10"/>
      <name val="Arial"/>
      <family val="2"/>
    </font>
    <font>
      <sz val="10"/>
      <color indexed="8"/>
      <name val="Arial"/>
      <family val="2"/>
    </font>
    <font>
      <i/>
      <sz val="9"/>
      <color indexed="8"/>
      <name val="Arial"/>
      <family val="2"/>
    </font>
    <font>
      <b/>
      <sz val="9"/>
      <color indexed="81"/>
      <name val="Segoe UI"/>
      <family val="2"/>
    </font>
  </fonts>
  <fills count="4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43"/>
        <bgColor indexed="64"/>
      </patternFill>
    </fill>
    <fill>
      <patternFill patternType="solid">
        <fgColor indexed="9"/>
        <bgColor indexed="64"/>
      </patternFill>
    </fill>
    <fill>
      <patternFill patternType="gray0625">
        <fgColor indexed="9"/>
        <bgColor indexed="9"/>
      </patternFill>
    </fill>
    <fill>
      <patternFill patternType="solid">
        <fgColor indexed="13"/>
        <bgColor indexed="64"/>
      </patternFill>
    </fill>
    <fill>
      <patternFill patternType="solid">
        <fgColor indexed="47"/>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rgb="FFCC99FF"/>
        <bgColor indexed="64"/>
      </patternFill>
    </fill>
    <fill>
      <patternFill patternType="solid">
        <fgColor rgb="FFCCFF66"/>
        <bgColor indexed="64"/>
      </patternFill>
    </fill>
    <fill>
      <patternFill patternType="solid">
        <fgColor rgb="FFEEFFDD"/>
        <bgColor indexed="64"/>
      </patternFill>
    </fill>
    <fill>
      <patternFill patternType="solid">
        <fgColor indexed="44"/>
        <bgColor indexed="64"/>
      </patternFill>
    </fill>
    <fill>
      <patternFill patternType="solid">
        <fgColor indexed="29"/>
        <bgColor indexed="64"/>
      </patternFill>
    </fill>
    <fill>
      <patternFill patternType="gray0625">
        <fgColor indexed="9"/>
        <bgColor theme="0"/>
      </patternFill>
    </fill>
    <fill>
      <patternFill patternType="solid">
        <fgColor rgb="FF92D050"/>
        <bgColor indexed="64"/>
      </patternFill>
    </fill>
    <fill>
      <patternFill patternType="solid">
        <fgColor indexed="48"/>
        <bgColor indexed="64"/>
      </patternFill>
    </fill>
    <fill>
      <patternFill patternType="solid">
        <fgColor indexed="56"/>
        <bgColor indexed="64"/>
      </patternFill>
    </fill>
    <fill>
      <patternFill patternType="solid">
        <fgColor indexed="46"/>
        <bgColor indexed="64"/>
      </patternFill>
    </fill>
    <fill>
      <patternFill patternType="solid">
        <fgColor theme="7" tint="0.39997558519241921"/>
        <bgColor indexed="64"/>
      </patternFill>
    </fill>
  </fills>
  <borders count="9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top style="hair">
        <color indexed="64"/>
      </top>
      <bottom/>
      <diagonal/>
    </border>
    <border>
      <left/>
      <right/>
      <top style="thin">
        <color auto="1"/>
      </top>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auto="1"/>
      </top>
      <bottom/>
      <diagonal/>
    </border>
    <border>
      <left style="thin">
        <color auto="1"/>
      </left>
      <right style="thin">
        <color indexed="64"/>
      </right>
      <top style="thin">
        <color auto="1"/>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medium">
        <color rgb="FFFF0000"/>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s>
  <cellStyleXfs count="56">
    <xf numFmtId="0" fontId="0" fillId="0" borderId="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6" borderId="0" applyNumberFormat="0" applyBorder="0" applyAlignment="0" applyProtection="0"/>
    <xf numFmtId="0" fontId="34" fillId="5"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12" borderId="0" applyNumberFormat="0" applyBorder="0" applyAlignment="0" applyProtection="0"/>
    <xf numFmtId="0" fontId="34" fillId="10" borderId="0" applyNumberFormat="0" applyBorder="0" applyAlignment="0" applyProtection="0"/>
    <xf numFmtId="0" fontId="34" fillId="2" borderId="0" applyNumberFormat="0" applyBorder="0" applyAlignment="0" applyProtection="0"/>
    <xf numFmtId="0" fontId="34" fillId="13" borderId="0" applyNumberFormat="0" applyBorder="0" applyAlignment="0" applyProtection="0"/>
    <xf numFmtId="0" fontId="35" fillId="15" borderId="0" applyNumberFormat="0" applyBorder="0" applyAlignment="0" applyProtection="0"/>
    <xf numFmtId="0" fontId="35" fillId="3" borderId="0" applyNumberFormat="0" applyBorder="0" applyAlignment="0" applyProtection="0"/>
    <xf numFmtId="0" fontId="35" fillId="12"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6" fillId="20" borderId="2" applyNumberFormat="0" applyAlignment="0" applyProtection="0"/>
    <xf numFmtId="0" fontId="37" fillId="0" borderId="3" applyNumberFormat="0" applyFill="0" applyAlignment="0" applyProtection="0"/>
    <xf numFmtId="0" fontId="38" fillId="21" borderId="4" applyNumberFormat="0" applyAlignment="0" applyProtection="0"/>
    <xf numFmtId="0" fontId="35" fillId="22" borderId="0" applyNumberFormat="0" applyBorder="0" applyAlignment="0" applyProtection="0"/>
    <xf numFmtId="0" fontId="35" fillId="19" borderId="0" applyNumberFormat="0" applyBorder="0" applyAlignment="0" applyProtection="0"/>
    <xf numFmtId="0" fontId="35" fillId="23"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4" borderId="0" applyNumberFormat="0" applyBorder="0" applyAlignment="0" applyProtection="0"/>
    <xf numFmtId="0" fontId="39" fillId="5" borderId="2" applyNumberFormat="0" applyAlignment="0" applyProtection="0"/>
    <xf numFmtId="0" fontId="40" fillId="11" borderId="0" applyNumberFormat="0" applyBorder="0" applyAlignment="0" applyProtection="0"/>
    <xf numFmtId="0" fontId="2" fillId="4" borderId="5" applyNumberFormat="0" applyFont="0" applyAlignment="0" applyProtection="0"/>
    <xf numFmtId="0" fontId="41" fillId="20" borderId="1" applyNumberFormat="0" applyAlignment="0" applyProtection="0"/>
    <xf numFmtId="9" fontId="2" fillId="0" borderId="0" applyFont="0" applyFill="0" applyBorder="0" applyAlignment="0" applyProtection="0"/>
    <xf numFmtId="0" fontId="2" fillId="0" borderId="0"/>
    <xf numFmtId="0" fontId="42"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6" applyNumberFormat="0" applyFill="0" applyAlignment="0" applyProtection="0"/>
    <xf numFmtId="0" fontId="46" fillId="0" borderId="7" applyNumberFormat="0" applyFill="0" applyAlignment="0" applyProtection="0"/>
    <xf numFmtId="0" fontId="47" fillId="0" borderId="8" applyNumberFormat="0" applyFill="0" applyAlignment="0" applyProtection="0"/>
    <xf numFmtId="0" fontId="47" fillId="0" borderId="0" applyNumberFormat="0" applyFill="0" applyBorder="0" applyAlignment="0" applyProtection="0"/>
    <xf numFmtId="0" fontId="48" fillId="0" borderId="9" applyNumberFormat="0" applyFill="0" applyAlignment="0" applyProtection="0"/>
    <xf numFmtId="0" fontId="49" fillId="8" borderId="0" applyNumberFormat="0" applyBorder="0" applyAlignment="0" applyProtection="0"/>
    <xf numFmtId="0" fontId="50" fillId="9" borderId="0" applyNumberFormat="0" applyBorder="0" applyAlignment="0" applyProtection="0"/>
    <xf numFmtId="43" fontId="62" fillId="0" borderId="0" applyFont="0" applyFill="0" applyBorder="0" applyAlignment="0" applyProtection="0"/>
    <xf numFmtId="0" fontId="69" fillId="0" borderId="0"/>
    <xf numFmtId="0" fontId="70" fillId="0" borderId="0">
      <alignment horizontal="center"/>
    </xf>
    <xf numFmtId="0" fontId="70" fillId="0" borderId="0">
      <alignment horizontal="center" textRotation="90"/>
    </xf>
    <xf numFmtId="0" fontId="71" fillId="0" borderId="0"/>
    <xf numFmtId="0" fontId="71" fillId="0" borderId="0"/>
    <xf numFmtId="0" fontId="36" fillId="20" borderId="89" applyNumberFormat="0" applyAlignment="0" applyProtection="0"/>
    <xf numFmtId="0" fontId="39" fillId="5" borderId="89" applyNumberFormat="0" applyAlignment="0" applyProtection="0"/>
    <xf numFmtId="0" fontId="2" fillId="4" borderId="90" applyNumberFormat="0" applyFont="0" applyAlignment="0" applyProtection="0"/>
    <xf numFmtId="0" fontId="41" fillId="20" borderId="88" applyNumberFormat="0" applyAlignment="0" applyProtection="0"/>
    <xf numFmtId="0" fontId="48" fillId="0" borderId="91" applyNumberFormat="0" applyFill="0" applyAlignment="0" applyProtection="0"/>
    <xf numFmtId="43" fontId="2" fillId="0" borderId="0" applyFont="0" applyFill="0" applyBorder="0" applyAlignment="0" applyProtection="0"/>
  </cellStyleXfs>
  <cellXfs count="1117">
    <xf numFmtId="0" fontId="0" fillId="0" borderId="0" xfId="0"/>
    <xf numFmtId="0" fontId="3" fillId="0" borderId="0" xfId="0" applyFont="1"/>
    <xf numFmtId="0" fontId="0" fillId="0" borderId="0" xfId="0" applyFill="1" applyBorder="1"/>
    <xf numFmtId="0" fontId="7" fillId="25" borderId="0" xfId="0" applyFont="1" applyFill="1" applyAlignment="1" applyProtection="1">
      <alignment vertical="center"/>
    </xf>
    <xf numFmtId="164" fontId="7" fillId="25" borderId="0" xfId="0" applyNumberFormat="1" applyFont="1" applyFill="1" applyAlignment="1" applyProtection="1">
      <alignment horizontal="right" vertical="center"/>
    </xf>
    <xf numFmtId="0" fontId="7" fillId="25" borderId="0" xfId="0" applyFont="1" applyFill="1" applyProtection="1"/>
    <xf numFmtId="0" fontId="12" fillId="25" borderId="0" xfId="0" applyFont="1" applyFill="1" applyAlignment="1" applyProtection="1">
      <alignment vertical="center"/>
    </xf>
    <xf numFmtId="0" fontId="13" fillId="25" borderId="0" xfId="0" quotePrefix="1" applyFont="1" applyFill="1" applyAlignment="1" applyProtection="1">
      <alignment horizontal="right" vertical="center"/>
    </xf>
    <xf numFmtId="0" fontId="7" fillId="25" borderId="0" xfId="0" applyFont="1" applyFill="1" applyBorder="1" applyAlignment="1" applyProtection="1">
      <alignment horizontal="left" vertical="center"/>
    </xf>
    <xf numFmtId="0" fontId="7" fillId="25" borderId="0" xfId="0" applyFont="1" applyFill="1" applyBorder="1" applyAlignment="1" applyProtection="1">
      <alignment vertical="center"/>
    </xf>
    <xf numFmtId="0" fontId="5" fillId="25" borderId="17" xfId="0" applyFont="1" applyFill="1" applyBorder="1" applyAlignment="1" applyProtection="1">
      <alignment vertical="center"/>
    </xf>
    <xf numFmtId="0" fontId="7" fillId="25" borderId="18" xfId="0" applyFont="1" applyFill="1" applyBorder="1" applyAlignment="1" applyProtection="1">
      <alignment vertical="center"/>
    </xf>
    <xf numFmtId="0" fontId="10" fillId="25" borderId="18" xfId="0" applyFont="1" applyFill="1" applyBorder="1" applyAlignment="1" applyProtection="1">
      <alignment vertical="center"/>
    </xf>
    <xf numFmtId="0" fontId="5" fillId="25" borderId="18" xfId="0" applyFont="1" applyFill="1" applyBorder="1" applyAlignment="1" applyProtection="1">
      <alignment horizontal="right" vertical="center"/>
    </xf>
    <xf numFmtId="0" fontId="5" fillId="25" borderId="18" xfId="0" applyFont="1" applyFill="1" applyBorder="1" applyAlignment="1" applyProtection="1">
      <alignment horizontal="center" vertical="center"/>
    </xf>
    <xf numFmtId="0" fontId="5" fillId="25" borderId="18" xfId="0" applyFont="1" applyFill="1" applyBorder="1" applyAlignment="1" applyProtection="1">
      <alignment vertical="center"/>
    </xf>
    <xf numFmtId="0" fontId="5" fillId="25" borderId="19" xfId="0" applyFont="1" applyFill="1" applyBorder="1" applyAlignment="1" applyProtection="1">
      <alignment vertical="center"/>
    </xf>
    <xf numFmtId="0" fontId="0" fillId="25" borderId="0" xfId="0" applyFill="1"/>
    <xf numFmtId="0" fontId="0" fillId="25" borderId="0" xfId="0" applyFill="1" applyBorder="1"/>
    <xf numFmtId="0" fontId="0" fillId="25" borderId="18" xfId="0" applyFill="1" applyBorder="1"/>
    <xf numFmtId="0" fontId="5" fillId="25" borderId="0" xfId="0" applyFont="1" applyFill="1" applyBorder="1" applyAlignment="1" applyProtection="1">
      <alignment horizontal="right" vertical="center"/>
    </xf>
    <xf numFmtId="166" fontId="7" fillId="25" borderId="26" xfId="0" applyNumberFormat="1" applyFont="1" applyFill="1" applyBorder="1" applyAlignment="1">
      <alignment horizontal="center"/>
    </xf>
    <xf numFmtId="0" fontId="10" fillId="25" borderId="0" xfId="0" applyFont="1" applyFill="1" applyBorder="1" applyAlignment="1" applyProtection="1">
      <alignment horizontal="center" vertical="center"/>
    </xf>
    <xf numFmtId="0" fontId="0" fillId="25" borderId="25" xfId="0" applyFill="1" applyBorder="1"/>
    <xf numFmtId="0" fontId="18" fillId="25" borderId="0" xfId="0" applyFont="1" applyFill="1" applyProtection="1"/>
    <xf numFmtId="0" fontId="0" fillId="25" borderId="29" xfId="0" applyFill="1" applyBorder="1"/>
    <xf numFmtId="0" fontId="7" fillId="25" borderId="0" xfId="0" applyFont="1" applyFill="1" applyBorder="1" applyProtection="1"/>
    <xf numFmtId="0" fontId="7" fillId="25" borderId="18" xfId="0" applyFont="1" applyFill="1" applyBorder="1" applyProtection="1"/>
    <xf numFmtId="0" fontId="19" fillId="25" borderId="0" xfId="0" applyFont="1" applyFill="1" applyProtection="1"/>
    <xf numFmtId="0" fontId="0" fillId="25" borderId="0" xfId="0" applyFill="1" applyAlignment="1">
      <alignment horizontal="center"/>
    </xf>
    <xf numFmtId="0" fontId="5" fillId="25" borderId="0" xfId="0" applyFont="1" applyFill="1" applyBorder="1" applyAlignment="1" applyProtection="1">
      <alignment horizontal="center" vertical="center"/>
    </xf>
    <xf numFmtId="0" fontId="16" fillId="25" borderId="0" xfId="0" applyFont="1" applyFill="1" applyAlignment="1" applyProtection="1">
      <alignment horizontal="right" vertical="center"/>
    </xf>
    <xf numFmtId="167" fontId="7" fillId="25" borderId="0" xfId="0" applyNumberFormat="1" applyFont="1" applyFill="1" applyBorder="1" applyAlignment="1" applyProtection="1">
      <alignment horizontal="center" vertical="center"/>
    </xf>
    <xf numFmtId="164" fontId="5" fillId="25" borderId="30" xfId="0" applyNumberFormat="1" applyFont="1" applyFill="1" applyBorder="1" applyAlignment="1" applyProtection="1">
      <alignment horizontal="center" vertical="center"/>
    </xf>
    <xf numFmtId="0" fontId="5" fillId="25" borderId="13" xfId="0" applyFont="1" applyFill="1" applyBorder="1" applyAlignment="1" applyProtection="1">
      <alignment horizontal="center" vertical="center"/>
    </xf>
    <xf numFmtId="0" fontId="5" fillId="25" borderId="13" xfId="0" applyFont="1" applyFill="1" applyBorder="1" applyAlignment="1" applyProtection="1">
      <alignment vertical="center"/>
    </xf>
    <xf numFmtId="0" fontId="5" fillId="25" borderId="54" xfId="0" applyFont="1" applyFill="1" applyBorder="1" applyAlignment="1" applyProtection="1">
      <alignment horizontal="center" vertical="center"/>
    </xf>
    <xf numFmtId="0" fontId="5" fillId="25" borderId="41" xfId="0" applyFont="1" applyFill="1" applyBorder="1" applyAlignment="1" applyProtection="1">
      <alignment horizontal="center" vertical="center"/>
    </xf>
    <xf numFmtId="0" fontId="6" fillId="25" borderId="13" xfId="0" applyFont="1" applyFill="1" applyBorder="1" applyAlignment="1" applyProtection="1">
      <alignment horizontal="center" vertical="center"/>
    </xf>
    <xf numFmtId="0" fontId="5" fillId="25" borderId="13" xfId="0" applyFont="1" applyFill="1" applyBorder="1" applyAlignment="1" applyProtection="1">
      <alignment horizontal="left" vertical="center"/>
    </xf>
    <xf numFmtId="0" fontId="5" fillId="25" borderId="55" xfId="0" applyFont="1" applyFill="1" applyBorder="1" applyAlignment="1" applyProtection="1">
      <alignment vertical="center"/>
    </xf>
    <xf numFmtId="0" fontId="5" fillId="25" borderId="58" xfId="0" applyFont="1" applyFill="1" applyBorder="1" applyAlignment="1" applyProtection="1">
      <alignment vertical="center"/>
    </xf>
    <xf numFmtId="0" fontId="8" fillId="25" borderId="0" xfId="0" applyFont="1" applyFill="1" applyProtection="1"/>
    <xf numFmtId="0" fontId="8" fillId="25" borderId="0" xfId="0" applyFont="1" applyFill="1" applyAlignment="1" applyProtection="1">
      <alignment horizontal="center"/>
    </xf>
    <xf numFmtId="0" fontId="14" fillId="25" borderId="0" xfId="0" applyFont="1" applyFill="1"/>
    <xf numFmtId="0" fontId="14" fillId="0" borderId="0" xfId="0" applyFont="1"/>
    <xf numFmtId="0" fontId="0" fillId="25" borderId="22" xfId="0" applyFill="1" applyBorder="1"/>
    <xf numFmtId="0" fontId="15" fillId="25" borderId="0" xfId="0" applyFont="1" applyFill="1" applyAlignment="1" applyProtection="1">
      <alignment vertical="center"/>
    </xf>
    <xf numFmtId="0" fontId="12" fillId="25" borderId="20" xfId="0" applyFont="1" applyFill="1" applyBorder="1" applyAlignment="1" applyProtection="1">
      <alignment horizontal="left" vertical="center"/>
    </xf>
    <xf numFmtId="9" fontId="7" fillId="25" borderId="14" xfId="32" applyFont="1" applyFill="1" applyBorder="1" applyAlignment="1" applyProtection="1">
      <alignment horizontal="center" vertical="center"/>
    </xf>
    <xf numFmtId="0" fontId="5" fillId="25" borderId="14" xfId="0" applyFont="1" applyFill="1" applyBorder="1" applyAlignment="1" applyProtection="1">
      <alignment horizontal="left" vertical="center"/>
    </xf>
    <xf numFmtId="0" fontId="0" fillId="0" borderId="0" xfId="0" applyFill="1"/>
    <xf numFmtId="14" fontId="0" fillId="0" borderId="0" xfId="0" applyNumberFormat="1" applyFill="1"/>
    <xf numFmtId="0" fontId="0" fillId="0" borderId="0" xfId="0" applyFill="1" applyAlignment="1">
      <alignment horizontal="center"/>
    </xf>
    <xf numFmtId="0" fontId="7" fillId="25" borderId="11" xfId="0" applyFont="1" applyFill="1" applyBorder="1" applyAlignment="1" applyProtection="1">
      <alignment horizontal="center"/>
    </xf>
    <xf numFmtId="0" fontId="20" fillId="25" borderId="55" xfId="0" applyFont="1" applyFill="1" applyBorder="1" applyAlignment="1">
      <alignment horizontal="center" wrapText="1"/>
    </xf>
    <xf numFmtId="0" fontId="31" fillId="28" borderId="13" xfId="0" applyFont="1" applyFill="1" applyBorder="1" applyAlignment="1">
      <alignment wrapText="1"/>
    </xf>
    <xf numFmtId="0" fontId="8" fillId="29" borderId="13" xfId="0" applyFont="1" applyFill="1" applyBorder="1" applyAlignment="1">
      <alignment wrapText="1"/>
    </xf>
    <xf numFmtId="0" fontId="8" fillId="0" borderId="0" xfId="0" applyFont="1" applyAlignment="1">
      <alignment wrapText="1"/>
    </xf>
    <xf numFmtId="0" fontId="32" fillId="25" borderId="13" xfId="0" applyFont="1" applyFill="1" applyBorder="1" applyAlignment="1">
      <alignment horizontal="center" wrapText="1"/>
    </xf>
    <xf numFmtId="0" fontId="33" fillId="28" borderId="13" xfId="0" applyFont="1" applyFill="1" applyBorder="1" applyAlignment="1">
      <alignment wrapText="1"/>
    </xf>
    <xf numFmtId="0" fontId="33" fillId="29" borderId="13" xfId="0" applyFont="1" applyFill="1" applyBorder="1" applyAlignment="1">
      <alignment wrapText="1"/>
    </xf>
    <xf numFmtId="0" fontId="33" fillId="0" borderId="0" xfId="0" applyFont="1" applyAlignment="1">
      <alignment wrapText="1"/>
    </xf>
    <xf numFmtId="0" fontId="22" fillId="25" borderId="13" xfId="0" applyFont="1" applyFill="1" applyBorder="1" applyAlignment="1">
      <alignment horizontal="center" wrapText="1"/>
    </xf>
    <xf numFmtId="0" fontId="7" fillId="28" borderId="13" xfId="0" applyFont="1" applyFill="1" applyBorder="1" applyAlignment="1">
      <alignment wrapText="1"/>
    </xf>
    <xf numFmtId="0" fontId="7" fillId="29" borderId="13" xfId="0" applyFont="1" applyFill="1" applyBorder="1" applyAlignment="1">
      <alignment wrapText="1"/>
    </xf>
    <xf numFmtId="0" fontId="7" fillId="0" borderId="0" xfId="0" applyFont="1" applyAlignment="1">
      <alignment wrapText="1"/>
    </xf>
    <xf numFmtId="0" fontId="6" fillId="25" borderId="54" xfId="0" applyFont="1" applyFill="1" applyBorder="1" applyAlignment="1" applyProtection="1">
      <alignment horizontal="center" vertical="center"/>
    </xf>
    <xf numFmtId="165" fontId="5" fillId="25" borderId="50" xfId="0" applyNumberFormat="1" applyFont="1" applyFill="1" applyBorder="1" applyAlignment="1" applyProtection="1">
      <alignment horizontal="center" vertical="center"/>
    </xf>
    <xf numFmtId="0" fontId="10" fillId="25" borderId="14" xfId="0" applyFont="1" applyFill="1" applyBorder="1" applyAlignment="1" applyProtection="1">
      <alignment vertical="center"/>
    </xf>
    <xf numFmtId="0" fontId="11" fillId="25" borderId="22" xfId="0" applyFont="1" applyFill="1" applyBorder="1" applyAlignment="1" applyProtection="1">
      <alignment horizontal="center" vertical="center"/>
    </xf>
    <xf numFmtId="0" fontId="10" fillId="25" borderId="61" xfId="0" applyFont="1" applyFill="1" applyBorder="1" applyAlignment="1" applyProtection="1">
      <alignment horizontal="center" vertical="center"/>
    </xf>
    <xf numFmtId="0" fontId="18" fillId="25" borderId="14" xfId="0" applyFont="1" applyFill="1" applyBorder="1" applyProtection="1"/>
    <xf numFmtId="0" fontId="7" fillId="28" borderId="13" xfId="0" quotePrefix="1" applyFont="1" applyFill="1" applyBorder="1" applyAlignment="1">
      <alignment wrapText="1"/>
    </xf>
    <xf numFmtId="0" fontId="27" fillId="25" borderId="0" xfId="0" applyFont="1" applyFill="1" applyProtection="1"/>
    <xf numFmtId="0" fontId="22" fillId="25" borderId="55" xfId="0" applyFont="1" applyFill="1" applyBorder="1" applyAlignment="1">
      <alignment horizontal="center" wrapText="1"/>
    </xf>
    <xf numFmtId="0" fontId="7" fillId="28" borderId="55" xfId="0" applyFont="1" applyFill="1" applyBorder="1" applyAlignment="1">
      <alignment wrapText="1"/>
    </xf>
    <xf numFmtId="0" fontId="7" fillId="29" borderId="55" xfId="0" applyFont="1" applyFill="1" applyBorder="1" applyAlignment="1">
      <alignment wrapText="1"/>
    </xf>
    <xf numFmtId="2" fontId="18" fillId="25" borderId="0" xfId="0" applyNumberFormat="1" applyFont="1" applyFill="1" applyProtection="1"/>
    <xf numFmtId="0" fontId="0" fillId="25" borderId="0" xfId="0" applyFill="1" applyProtection="1"/>
    <xf numFmtId="0" fontId="2" fillId="25" borderId="29" xfId="0" applyFont="1" applyFill="1" applyBorder="1"/>
    <xf numFmtId="0" fontId="2" fillId="0" borderId="0" xfId="0" applyFont="1" applyFill="1"/>
    <xf numFmtId="0" fontId="0" fillId="31" borderId="0" xfId="0" applyFill="1"/>
    <xf numFmtId="0" fontId="3" fillId="31" borderId="0" xfId="0" applyFont="1" applyFill="1"/>
    <xf numFmtId="0" fontId="14" fillId="31" borderId="0" xfId="0" applyFont="1" applyFill="1"/>
    <xf numFmtId="0" fontId="7" fillId="25" borderId="19" xfId="0" applyFont="1" applyFill="1" applyBorder="1" applyProtection="1"/>
    <xf numFmtId="0" fontId="7" fillId="25" borderId="14" xfId="0" applyFont="1" applyFill="1" applyBorder="1" applyProtection="1"/>
    <xf numFmtId="0" fontId="7" fillId="25" borderId="20" xfId="0" applyFont="1" applyFill="1" applyBorder="1" applyAlignment="1" applyProtection="1">
      <alignment horizontal="center"/>
    </xf>
    <xf numFmtId="0" fontId="7" fillId="25" borderId="20" xfId="0" applyFont="1" applyFill="1" applyBorder="1" applyProtection="1"/>
    <xf numFmtId="0" fontId="20" fillId="25" borderId="18" xfId="0" applyFont="1" applyFill="1" applyBorder="1" applyAlignment="1" applyProtection="1">
      <alignment horizontal="left" vertical="center"/>
    </xf>
    <xf numFmtId="0" fontId="12" fillId="25" borderId="14" xfId="0" applyFont="1" applyFill="1" applyBorder="1" applyAlignment="1" applyProtection="1">
      <alignment horizontal="left" vertical="center"/>
    </xf>
    <xf numFmtId="0" fontId="7" fillId="31" borderId="63" xfId="33" applyNumberFormat="1" applyFont="1" applyFill="1" applyBorder="1" applyAlignment="1" applyProtection="1">
      <alignment horizontal="left"/>
    </xf>
    <xf numFmtId="0" fontId="7" fillId="31" borderId="17" xfId="33" applyNumberFormat="1" applyFont="1" applyFill="1" applyBorder="1" applyAlignment="1" applyProtection="1">
      <alignment horizontal="left"/>
    </xf>
    <xf numFmtId="0" fontId="13" fillId="25" borderId="0" xfId="0" applyFont="1" applyFill="1" applyAlignment="1" applyProtection="1">
      <alignment horizontal="right"/>
    </xf>
    <xf numFmtId="0" fontId="7" fillId="25" borderId="14" xfId="0" applyFont="1" applyFill="1" applyBorder="1" applyAlignment="1" applyProtection="1">
      <alignment horizontal="center"/>
    </xf>
    <xf numFmtId="0" fontId="56" fillId="25" borderId="0" xfId="0" applyFont="1" applyFill="1" applyProtection="1"/>
    <xf numFmtId="0" fontId="0" fillId="31" borderId="25" xfId="0" applyFill="1" applyBorder="1" applyAlignment="1">
      <alignment horizontal="center"/>
    </xf>
    <xf numFmtId="0" fontId="0" fillId="31" borderId="29" xfId="0" applyFill="1" applyBorder="1" applyAlignment="1">
      <alignment horizontal="center"/>
    </xf>
    <xf numFmtId="0" fontId="0" fillId="25" borderId="70" xfId="0" applyFill="1" applyBorder="1"/>
    <xf numFmtId="166" fontId="0" fillId="31" borderId="27" xfId="0" applyNumberFormat="1" applyFill="1" applyBorder="1" applyAlignment="1">
      <alignment horizontal="center"/>
    </xf>
    <xf numFmtId="166" fontId="0" fillId="31" borderId="0" xfId="0" applyNumberFormat="1" applyFill="1" applyBorder="1" applyAlignment="1">
      <alignment horizontal="center"/>
    </xf>
    <xf numFmtId="0" fontId="0" fillId="31" borderId="15" xfId="0" applyFill="1" applyBorder="1" applyAlignment="1">
      <alignment horizontal="center"/>
    </xf>
    <xf numFmtId="0" fontId="0" fillId="31" borderId="70" xfId="0" applyFill="1" applyBorder="1" applyAlignment="1">
      <alignment horizontal="center"/>
    </xf>
    <xf numFmtId="0" fontId="25" fillId="25" borderId="36" xfId="0" applyFont="1" applyFill="1" applyBorder="1" applyAlignment="1" applyProtection="1">
      <alignment horizontal="center" vertical="center" wrapText="1"/>
    </xf>
    <xf numFmtId="0" fontId="7" fillId="31" borderId="57" xfId="0" applyFont="1" applyFill="1" applyBorder="1" applyAlignment="1" applyProtection="1">
      <alignment horizontal="right"/>
    </xf>
    <xf numFmtId="0" fontId="0" fillId="25" borderId="0" xfId="0" applyFill="1" applyAlignment="1" applyProtection="1"/>
    <xf numFmtId="0" fontId="7" fillId="25" borderId="22" xfId="0" applyFont="1" applyFill="1" applyBorder="1" applyProtection="1"/>
    <xf numFmtId="0" fontId="7" fillId="25" borderId="17" xfId="0" applyFont="1" applyFill="1" applyBorder="1" applyProtection="1"/>
    <xf numFmtId="0" fontId="0" fillId="25" borderId="18" xfId="0" applyFill="1" applyBorder="1" applyProtection="1"/>
    <xf numFmtId="0" fontId="20" fillId="33" borderId="55" xfId="0" applyFont="1" applyFill="1" applyBorder="1" applyAlignment="1">
      <alignment horizontal="center" wrapText="1"/>
    </xf>
    <xf numFmtId="0" fontId="7" fillId="0" borderId="0" xfId="0" applyFont="1" applyAlignment="1">
      <alignment horizontal="left" wrapText="1"/>
    </xf>
    <xf numFmtId="0" fontId="22" fillId="25" borderId="13" xfId="0" applyFont="1" applyFill="1" applyBorder="1" applyAlignment="1">
      <alignment horizontal="left" wrapText="1"/>
    </xf>
    <xf numFmtId="0" fontId="22" fillId="25" borderId="55" xfId="0" applyFont="1" applyFill="1" applyBorder="1" applyAlignment="1">
      <alignment horizontal="left" wrapText="1"/>
    </xf>
    <xf numFmtId="0" fontId="22" fillId="31" borderId="55" xfId="0" applyFont="1" applyFill="1" applyBorder="1" applyAlignment="1">
      <alignment horizontal="center" wrapText="1"/>
    </xf>
    <xf numFmtId="0" fontId="8" fillId="32" borderId="13" xfId="0" applyFont="1" applyFill="1" applyBorder="1" applyAlignment="1">
      <alignment wrapText="1"/>
    </xf>
    <xf numFmtId="0" fontId="7" fillId="32" borderId="13" xfId="0" applyFont="1" applyFill="1" applyBorder="1" applyAlignment="1">
      <alignment wrapText="1"/>
    </xf>
    <xf numFmtId="0" fontId="33" fillId="32" borderId="13" xfId="0" applyFont="1" applyFill="1" applyBorder="1" applyAlignment="1">
      <alignment wrapText="1"/>
    </xf>
    <xf numFmtId="0" fontId="7" fillId="32" borderId="55" xfId="0" applyFont="1" applyFill="1" applyBorder="1" applyAlignment="1">
      <alignment wrapText="1"/>
    </xf>
    <xf numFmtId="166" fontId="7" fillId="28" borderId="13" xfId="0" applyNumberFormat="1" applyFont="1" applyFill="1" applyBorder="1" applyAlignment="1">
      <alignment wrapText="1"/>
    </xf>
    <xf numFmtId="166" fontId="7" fillId="32" borderId="13" xfId="0" applyNumberFormat="1" applyFont="1" applyFill="1" applyBorder="1" applyAlignment="1">
      <alignment wrapText="1"/>
    </xf>
    <xf numFmtId="171" fontId="7" fillId="28" borderId="13" xfId="44" applyNumberFormat="1" applyFont="1" applyFill="1" applyBorder="1" applyAlignment="1">
      <alignment wrapText="1"/>
    </xf>
    <xf numFmtId="171" fontId="7" fillId="32" borderId="13" xfId="44" applyNumberFormat="1" applyFont="1" applyFill="1" applyBorder="1" applyAlignment="1">
      <alignment wrapText="1"/>
    </xf>
    <xf numFmtId="171" fontId="7" fillId="29" borderId="13" xfId="44" applyNumberFormat="1" applyFont="1" applyFill="1" applyBorder="1" applyAlignment="1">
      <alignment wrapText="1"/>
    </xf>
    <xf numFmtId="171" fontId="7" fillId="0" borderId="0" xfId="44" applyNumberFormat="1" applyFont="1" applyAlignment="1">
      <alignment wrapText="1"/>
    </xf>
    <xf numFmtId="0" fontId="7" fillId="28" borderId="55" xfId="0" quotePrefix="1" applyFont="1" applyFill="1" applyBorder="1" applyAlignment="1">
      <alignment wrapText="1"/>
    </xf>
    <xf numFmtId="0" fontId="22" fillId="25" borderId="54" xfId="0" applyFont="1" applyFill="1" applyBorder="1" applyAlignment="1">
      <alignment horizontal="center" wrapText="1"/>
    </xf>
    <xf numFmtId="0" fontId="22" fillId="25" borderId="54" xfId="0" applyFont="1" applyFill="1" applyBorder="1" applyAlignment="1">
      <alignment horizontal="left" wrapText="1"/>
    </xf>
    <xf numFmtId="0" fontId="7" fillId="28" borderId="54" xfId="0" applyFont="1" applyFill="1" applyBorder="1" applyAlignment="1">
      <alignment wrapText="1"/>
    </xf>
    <xf numFmtId="0" fontId="7" fillId="32" borderId="54" xfId="0" applyFont="1" applyFill="1" applyBorder="1" applyAlignment="1">
      <alignment wrapText="1"/>
    </xf>
    <xf numFmtId="0" fontId="7" fillId="29" borderId="54" xfId="0" applyFont="1" applyFill="1" applyBorder="1" applyAlignment="1">
      <alignment wrapText="1"/>
    </xf>
    <xf numFmtId="0" fontId="7" fillId="0" borderId="0" xfId="0" applyFont="1" applyBorder="1" applyAlignment="1">
      <alignment wrapText="1"/>
    </xf>
    <xf numFmtId="0" fontId="5" fillId="25" borderId="14" xfId="0" applyFont="1" applyFill="1" applyBorder="1" applyAlignment="1" applyProtection="1">
      <alignment vertical="center"/>
    </xf>
    <xf numFmtId="0" fontId="22" fillId="25" borderId="16" xfId="0" applyFont="1" applyFill="1" applyBorder="1" applyAlignment="1">
      <alignment horizontal="center" wrapText="1"/>
    </xf>
    <xf numFmtId="0" fontId="22" fillId="25" borderId="16" xfId="0" applyFont="1" applyFill="1" applyBorder="1" applyAlignment="1">
      <alignment horizontal="left" wrapText="1"/>
    </xf>
    <xf numFmtId="0" fontId="7" fillId="28" borderId="16" xfId="0" applyFont="1" applyFill="1" applyBorder="1" applyAlignment="1">
      <alignment wrapText="1"/>
    </xf>
    <xf numFmtId="0" fontId="7" fillId="32" borderId="16" xfId="0" applyFont="1" applyFill="1" applyBorder="1" applyAlignment="1">
      <alignment wrapText="1"/>
    </xf>
    <xf numFmtId="0" fontId="7" fillId="29" borderId="16" xfId="0" applyFont="1" applyFill="1" applyBorder="1" applyAlignment="1">
      <alignment wrapText="1"/>
    </xf>
    <xf numFmtId="0" fontId="22" fillId="25" borderId="39" xfId="0" applyFont="1" applyFill="1" applyBorder="1" applyAlignment="1">
      <alignment horizontal="center" wrapText="1"/>
    </xf>
    <xf numFmtId="0" fontId="20" fillId="31" borderId="55" xfId="0" applyFont="1" applyFill="1" applyBorder="1" applyAlignment="1">
      <alignment horizontal="center" wrapText="1"/>
    </xf>
    <xf numFmtId="0" fontId="22" fillId="31" borderId="13" xfId="0" applyFont="1" applyFill="1" applyBorder="1" applyAlignment="1">
      <alignment horizontal="center" wrapText="1"/>
    </xf>
    <xf numFmtId="0" fontId="32" fillId="31" borderId="13" xfId="0" applyFont="1" applyFill="1" applyBorder="1" applyAlignment="1">
      <alignment horizontal="center" wrapText="1"/>
    </xf>
    <xf numFmtId="0" fontId="22" fillId="31" borderId="54" xfId="0" applyFont="1" applyFill="1" applyBorder="1" applyAlignment="1">
      <alignment horizontal="center" wrapText="1"/>
    </xf>
    <xf numFmtId="0" fontId="22" fillId="31" borderId="16" xfId="0" applyFont="1" applyFill="1" applyBorder="1" applyAlignment="1">
      <alignment horizontal="center" wrapText="1"/>
    </xf>
    <xf numFmtId="0" fontId="8" fillId="34" borderId="0" xfId="0" applyFont="1" applyFill="1" applyAlignment="1" applyProtection="1">
      <alignment horizontal="left" wrapText="1"/>
      <protection locked="0"/>
    </xf>
    <xf numFmtId="14" fontId="0" fillId="0" borderId="0" xfId="0" applyNumberFormat="1" applyFill="1" applyBorder="1"/>
    <xf numFmtId="0" fontId="0" fillId="0" borderId="0" xfId="0" applyFill="1" applyBorder="1" applyAlignment="1">
      <alignment horizontal="center"/>
    </xf>
    <xf numFmtId="14" fontId="0" fillId="0" borderId="0" xfId="0" applyNumberFormat="1" applyBorder="1"/>
    <xf numFmtId="0" fontId="0" fillId="0" borderId="0" xfId="0" applyBorder="1" applyAlignment="1">
      <alignment horizontal="center"/>
    </xf>
    <xf numFmtId="0" fontId="0" fillId="0" borderId="0" xfId="0" applyFont="1" applyFill="1" applyBorder="1"/>
    <xf numFmtId="0" fontId="2" fillId="0" borderId="0" xfId="0" applyFont="1" applyFill="1" applyBorder="1"/>
    <xf numFmtId="14" fontId="2" fillId="0" borderId="0" xfId="0" applyNumberFormat="1" applyFont="1" applyFill="1" applyBorder="1"/>
    <xf numFmtId="0" fontId="52" fillId="0" borderId="0" xfId="0" applyFont="1" applyFill="1"/>
    <xf numFmtId="0" fontId="14" fillId="0" borderId="0" xfId="0" applyFont="1" applyFill="1" applyAlignment="1">
      <alignment wrapText="1"/>
    </xf>
    <xf numFmtId="0" fontId="14" fillId="0" borderId="0" xfId="0" applyFont="1" applyFill="1" applyBorder="1" applyAlignment="1">
      <alignment horizontal="center" wrapText="1"/>
    </xf>
    <xf numFmtId="0" fontId="0" fillId="0" borderId="0" xfId="0" applyFont="1" applyFill="1" applyBorder="1" applyAlignment="1">
      <alignment horizontal="center"/>
    </xf>
    <xf numFmtId="0" fontId="2" fillId="0" borderId="0" xfId="0" applyFont="1" applyFill="1" applyAlignment="1">
      <alignment horizontal="center"/>
    </xf>
    <xf numFmtId="0" fontId="1" fillId="0" borderId="0" xfId="0" applyFont="1" applyFill="1" applyAlignment="1">
      <alignment wrapText="1"/>
    </xf>
    <xf numFmtId="0" fontId="13" fillId="25" borderId="0" xfId="0" applyFont="1" applyFill="1" applyAlignment="1" applyProtection="1">
      <alignment vertical="center"/>
    </xf>
    <xf numFmtId="0" fontId="7" fillId="25" borderId="25" xfId="0" applyFont="1" applyFill="1" applyBorder="1" applyAlignment="1" applyProtection="1">
      <alignment horizontal="center"/>
    </xf>
    <xf numFmtId="0" fontId="7" fillId="25" borderId="29" xfId="0" applyFont="1" applyFill="1" applyBorder="1" applyAlignment="1" applyProtection="1">
      <alignment horizontal="center"/>
    </xf>
    <xf numFmtId="0" fontId="0" fillId="25" borderId="20" xfId="0" applyFill="1" applyBorder="1" applyAlignment="1">
      <alignment horizontal="center"/>
    </xf>
    <xf numFmtId="0" fontId="0" fillId="25" borderId="14" xfId="0" applyFill="1" applyBorder="1" applyAlignment="1">
      <alignment horizontal="center"/>
    </xf>
    <xf numFmtId="0" fontId="7" fillId="31" borderId="56" xfId="0" applyFont="1" applyFill="1" applyBorder="1" applyAlignment="1" applyProtection="1">
      <alignment horizontal="right"/>
    </xf>
    <xf numFmtId="0" fontId="0" fillId="0" borderId="0" xfId="0" quotePrefix="1" applyFill="1" applyBorder="1" applyAlignment="1">
      <alignment horizontal="center"/>
    </xf>
    <xf numFmtId="0" fontId="7" fillId="25" borderId="64" xfId="0" applyFont="1" applyFill="1" applyBorder="1" applyAlignment="1" applyProtection="1">
      <alignment vertical="center"/>
    </xf>
    <xf numFmtId="0" fontId="7" fillId="25" borderId="44" xfId="0" applyFont="1" applyFill="1" applyBorder="1" applyAlignment="1" applyProtection="1">
      <alignment vertical="center"/>
    </xf>
    <xf numFmtId="0" fontId="20" fillId="25" borderId="20" xfId="0" applyFont="1" applyFill="1" applyBorder="1" applyAlignment="1" applyProtection="1">
      <alignment horizontal="left" vertical="center"/>
    </xf>
    <xf numFmtId="0" fontId="5" fillId="31" borderId="57" xfId="0" applyFont="1" applyFill="1" applyBorder="1" applyAlignment="1" applyProtection="1">
      <alignment horizontal="center"/>
      <protection locked="0"/>
    </xf>
    <xf numFmtId="164" fontId="5" fillId="25" borderId="51" xfId="0" applyNumberFormat="1" applyFont="1" applyFill="1" applyBorder="1" applyAlignment="1" applyProtection="1">
      <alignment horizontal="center" vertical="center"/>
    </xf>
    <xf numFmtId="0" fontId="2" fillId="0" borderId="0" xfId="0" quotePrefix="1" applyFont="1" applyFill="1" applyBorder="1" applyAlignment="1">
      <alignment horizontal="center"/>
    </xf>
    <xf numFmtId="0" fontId="5" fillId="25" borderId="22" xfId="0" applyFont="1" applyFill="1" applyBorder="1" applyAlignment="1" applyProtection="1">
      <alignment vertical="center"/>
    </xf>
    <xf numFmtId="0" fontId="7" fillId="25" borderId="70" xfId="0" applyFont="1" applyFill="1" applyBorder="1" applyProtection="1"/>
    <xf numFmtId="0" fontId="7" fillId="25" borderId="57" xfId="0" applyFont="1" applyFill="1" applyBorder="1" applyAlignment="1">
      <alignment vertical="center"/>
    </xf>
    <xf numFmtId="0" fontId="29" fillId="25" borderId="0" xfId="0" applyFont="1" applyFill="1" applyAlignment="1">
      <alignment vertical="top"/>
    </xf>
    <xf numFmtId="0" fontId="2" fillId="25" borderId="0" xfId="0" applyFont="1" applyFill="1" applyAlignment="1">
      <alignment vertical="top"/>
    </xf>
    <xf numFmtId="0" fontId="26" fillId="25" borderId="0" xfId="0" applyFont="1" applyFill="1" applyAlignment="1">
      <alignment horizontal="right" vertical="top"/>
    </xf>
    <xf numFmtId="0" fontId="13" fillId="25" borderId="0" xfId="33" applyNumberFormat="1" applyFont="1" applyFill="1" applyAlignment="1">
      <alignment horizontal="right"/>
    </xf>
    <xf numFmtId="0" fontId="4" fillId="25" borderId="0" xfId="0" applyFont="1" applyFill="1" applyAlignment="1">
      <alignment vertical="top"/>
    </xf>
    <xf numFmtId="0" fontId="2" fillId="25" borderId="0" xfId="33" applyNumberFormat="1" applyFont="1" applyFill="1"/>
    <xf numFmtId="0" fontId="7" fillId="25" borderId="0" xfId="0" applyFont="1" applyFill="1" applyAlignment="1">
      <alignment vertical="top"/>
    </xf>
    <xf numFmtId="0" fontId="7" fillId="25" borderId="0" xfId="0" applyFont="1" applyFill="1" applyAlignment="1">
      <alignment horizontal="left" vertical="top" wrapText="1"/>
    </xf>
    <xf numFmtId="0" fontId="7" fillId="25" borderId="26" xfId="0" applyFont="1" applyFill="1" applyBorder="1" applyAlignment="1">
      <alignment horizontal="left" vertical="top" wrapText="1"/>
    </xf>
    <xf numFmtId="0" fontId="7" fillId="25" borderId="11" xfId="0" applyFont="1" applyFill="1" applyBorder="1" applyAlignment="1">
      <alignment vertical="top"/>
    </xf>
    <xf numFmtId="0" fontId="7" fillId="25" borderId="26" xfId="0" applyFont="1" applyFill="1" applyBorder="1" applyAlignment="1">
      <alignment horizontal="left" vertical="top"/>
    </xf>
    <xf numFmtId="0" fontId="7" fillId="25" borderId="0" xfId="0" applyFont="1" applyFill="1" applyBorder="1" applyAlignment="1">
      <alignment horizontal="left" vertical="top"/>
    </xf>
    <xf numFmtId="0" fontId="2" fillId="25" borderId="0" xfId="0" applyFont="1" applyFill="1" applyBorder="1" applyAlignment="1">
      <alignment horizontal="left" vertical="top"/>
    </xf>
    <xf numFmtId="0" fontId="7" fillId="25" borderId="25" xfId="0" applyFont="1" applyFill="1" applyBorder="1" applyAlignment="1">
      <alignment horizontal="left" vertical="top" wrapText="1"/>
    </xf>
    <xf numFmtId="0" fontId="7" fillId="25" borderId="28" xfId="0" applyFont="1" applyFill="1" applyBorder="1" applyAlignment="1">
      <alignment vertical="top"/>
    </xf>
    <xf numFmtId="0" fontId="7" fillId="25" borderId="25" xfId="0" applyFont="1" applyFill="1" applyBorder="1" applyAlignment="1">
      <alignment vertical="top"/>
    </xf>
    <xf numFmtId="0" fontId="7" fillId="25" borderId="19" xfId="0" applyFont="1" applyFill="1" applyBorder="1" applyAlignment="1">
      <alignment vertical="top"/>
    </xf>
    <xf numFmtId="0" fontId="7" fillId="25" borderId="29" xfId="0" applyFont="1" applyFill="1" applyBorder="1" applyAlignment="1">
      <alignment vertical="top"/>
    </xf>
    <xf numFmtId="0" fontId="7" fillId="25" borderId="71" xfId="0" applyFont="1" applyFill="1" applyBorder="1" applyAlignment="1">
      <alignment horizontal="left" vertical="top" wrapText="1"/>
    </xf>
    <xf numFmtId="0" fontId="7" fillId="36" borderId="15" xfId="0" applyFont="1" applyFill="1" applyBorder="1" applyAlignment="1">
      <alignment vertical="top"/>
    </xf>
    <xf numFmtId="0" fontId="7" fillId="36" borderId="70" xfId="0" applyFont="1" applyFill="1" applyBorder="1" applyAlignment="1">
      <alignment vertical="top"/>
    </xf>
    <xf numFmtId="0" fontId="7" fillId="36" borderId="11" xfId="0" applyFont="1" applyFill="1" applyBorder="1" applyAlignment="1">
      <alignment vertical="top"/>
    </xf>
    <xf numFmtId="0" fontId="7" fillId="25" borderId="20" xfId="0" applyFont="1" applyFill="1" applyBorder="1" applyAlignment="1" applyProtection="1">
      <alignment vertical="center"/>
    </xf>
    <xf numFmtId="0" fontId="7" fillId="25" borderId="14" xfId="0" applyFont="1" applyFill="1" applyBorder="1" applyAlignment="1">
      <alignment vertical="center"/>
    </xf>
    <xf numFmtId="0" fontId="7" fillId="25" borderId="59" xfId="0" applyFont="1" applyFill="1" applyBorder="1" applyAlignment="1" applyProtection="1">
      <alignment horizontal="right" vertical="center"/>
    </xf>
    <xf numFmtId="0" fontId="8" fillId="25" borderId="21" xfId="0" applyFont="1" applyFill="1" applyBorder="1" applyAlignment="1">
      <alignment horizontal="center" vertical="center"/>
    </xf>
    <xf numFmtId="0" fontId="8" fillId="25" borderId="72" xfId="0" applyFont="1" applyFill="1" applyBorder="1" applyAlignment="1">
      <alignment horizontal="center" vertical="center"/>
    </xf>
    <xf numFmtId="0" fontId="7" fillId="25" borderId="73" xfId="0" applyFont="1" applyFill="1" applyBorder="1" applyAlignment="1">
      <alignment horizontal="left" vertical="top" wrapText="1"/>
    </xf>
    <xf numFmtId="0" fontId="7" fillId="25" borderId="59" xfId="0" applyFont="1" applyFill="1" applyBorder="1" applyAlignment="1">
      <alignment horizontal="center" vertical="top"/>
    </xf>
    <xf numFmtId="0" fontId="7" fillId="25" borderId="21" xfId="0" applyFont="1" applyFill="1" applyBorder="1" applyAlignment="1">
      <alignment horizontal="center" vertical="top"/>
    </xf>
    <xf numFmtId="0" fontId="7" fillId="25" borderId="72" xfId="0" applyFont="1" applyFill="1" applyBorder="1" applyAlignment="1">
      <alignment horizontal="center" vertical="top"/>
    </xf>
    <xf numFmtId="0" fontId="7" fillId="36" borderId="67" xfId="0" applyFont="1" applyFill="1" applyBorder="1" applyAlignment="1">
      <alignment horizontal="center" vertical="top"/>
    </xf>
    <xf numFmtId="0" fontId="7" fillId="36" borderId="21" xfId="0" applyFont="1" applyFill="1" applyBorder="1" applyAlignment="1">
      <alignment horizontal="center" vertical="top"/>
    </xf>
    <xf numFmtId="0" fontId="7" fillId="36" borderId="72" xfId="0" applyFont="1" applyFill="1" applyBorder="1" applyAlignment="1">
      <alignment horizontal="center" vertical="top"/>
    </xf>
    <xf numFmtId="0" fontId="17" fillId="25" borderId="63" xfId="0" applyFont="1" applyFill="1" applyBorder="1" applyAlignment="1">
      <alignment vertical="center"/>
    </xf>
    <xf numFmtId="0" fontId="7" fillId="25" borderId="32" xfId="0" applyFont="1" applyFill="1" applyBorder="1" applyAlignment="1">
      <alignment horizontal="center" vertical="top"/>
    </xf>
    <xf numFmtId="0" fontId="7" fillId="25" borderId="74" xfId="0" applyFont="1" applyFill="1" applyBorder="1" applyAlignment="1">
      <alignment horizontal="center" vertical="top"/>
    </xf>
    <xf numFmtId="0" fontId="7" fillId="25" borderId="0" xfId="0" applyFont="1" applyFill="1" applyBorder="1" applyAlignment="1">
      <alignment horizontal="center" vertical="top"/>
    </xf>
    <xf numFmtId="0" fontId="7" fillId="25" borderId="28" xfId="0" applyFont="1" applyFill="1" applyBorder="1" applyAlignment="1">
      <alignment horizontal="center" vertical="top"/>
    </xf>
    <xf numFmtId="0" fontId="7" fillId="25" borderId="66" xfId="0" applyFont="1" applyFill="1" applyBorder="1" applyAlignment="1">
      <alignment vertical="top"/>
    </xf>
    <xf numFmtId="0" fontId="7" fillId="25" borderId="41" xfId="0" applyFont="1" applyFill="1" applyBorder="1" applyAlignment="1">
      <alignment vertical="top"/>
    </xf>
    <xf numFmtId="0" fontId="7" fillId="25" borderId="75" xfId="0" applyFont="1" applyFill="1" applyBorder="1" applyAlignment="1">
      <alignment vertical="top"/>
    </xf>
    <xf numFmtId="0" fontId="7" fillId="25" borderId="78" xfId="0" applyFont="1" applyFill="1" applyBorder="1" applyAlignment="1">
      <alignment horizontal="left" vertical="top" wrapText="1"/>
    </xf>
    <xf numFmtId="0" fontId="7" fillId="25" borderId="27" xfId="0" applyFont="1" applyFill="1" applyBorder="1" applyAlignment="1">
      <alignment vertical="top"/>
    </xf>
    <xf numFmtId="0" fontId="7" fillId="25" borderId="0" xfId="0" applyFont="1" applyFill="1" applyBorder="1" applyAlignment="1">
      <alignment vertical="top"/>
    </xf>
    <xf numFmtId="0" fontId="7" fillId="25" borderId="68" xfId="0" applyFont="1" applyFill="1" applyBorder="1" applyAlignment="1">
      <alignment vertical="top"/>
    </xf>
    <xf numFmtId="0" fontId="7" fillId="25" borderId="34" xfId="0" applyFont="1" applyFill="1" applyBorder="1" applyAlignment="1">
      <alignment vertical="top"/>
    </xf>
    <xf numFmtId="0" fontId="7" fillId="25" borderId="79" xfId="0" applyFont="1" applyFill="1" applyBorder="1" applyAlignment="1">
      <alignment vertical="top"/>
    </xf>
    <xf numFmtId="0" fontId="5" fillId="25" borderId="62" xfId="0" applyFont="1" applyFill="1" applyBorder="1" applyAlignment="1">
      <alignment horizontal="left" vertical="center" wrapText="1"/>
    </xf>
    <xf numFmtId="0" fontId="7" fillId="25" borderId="55" xfId="0" applyFont="1" applyFill="1" applyBorder="1" applyAlignment="1" applyProtection="1">
      <alignment horizontal="center" vertical="center"/>
      <protection locked="0"/>
    </xf>
    <xf numFmtId="0" fontId="7" fillId="25" borderId="80" xfId="0" applyFont="1" applyFill="1" applyBorder="1" applyAlignment="1" applyProtection="1">
      <alignment horizontal="center" vertical="center"/>
      <protection locked="0"/>
    </xf>
    <xf numFmtId="0" fontId="7" fillId="25" borderId="13" xfId="0" applyFont="1" applyFill="1" applyBorder="1" applyAlignment="1" applyProtection="1">
      <alignment horizontal="center" vertical="center"/>
      <protection locked="0"/>
    </xf>
    <xf numFmtId="0" fontId="7" fillId="25" borderId="81" xfId="0" applyFont="1" applyFill="1" applyBorder="1" applyAlignment="1" applyProtection="1">
      <alignment horizontal="center" vertical="center"/>
      <protection locked="0"/>
    </xf>
    <xf numFmtId="0" fontId="7" fillId="25" borderId="29" xfId="0" applyFont="1" applyFill="1" applyBorder="1" applyAlignment="1">
      <alignment horizontal="left" vertical="top" wrapText="1"/>
    </xf>
    <xf numFmtId="0" fontId="7" fillId="25" borderId="20" xfId="0" applyFont="1" applyFill="1" applyBorder="1" applyAlignment="1">
      <alignment vertical="top"/>
    </xf>
    <xf numFmtId="0" fontId="7" fillId="25" borderId="14" xfId="0" applyFont="1" applyFill="1" applyBorder="1" applyAlignment="1">
      <alignment vertical="top"/>
    </xf>
    <xf numFmtId="0" fontId="7" fillId="25" borderId="22" xfId="0" applyFont="1" applyFill="1" applyBorder="1" applyAlignment="1">
      <alignment vertical="top"/>
    </xf>
    <xf numFmtId="0" fontId="7" fillId="0" borderId="67" xfId="0" applyFont="1" applyBorder="1" applyAlignment="1">
      <alignment vertical="top"/>
    </xf>
    <xf numFmtId="0" fontId="7" fillId="0" borderId="21" xfId="0" applyFont="1" applyBorder="1" applyAlignment="1">
      <alignment vertical="top"/>
    </xf>
    <xf numFmtId="0" fontId="7" fillId="25" borderId="0" xfId="0" applyFont="1" applyFill="1" applyAlignment="1">
      <alignment horizontal="left" vertical="top"/>
    </xf>
    <xf numFmtId="0" fontId="8" fillId="25" borderId="0" xfId="0" applyFont="1" applyFill="1" applyAlignment="1">
      <alignment vertical="top"/>
    </xf>
    <xf numFmtId="0" fontId="7" fillId="25" borderId="26" xfId="0" applyFont="1" applyFill="1" applyBorder="1" applyAlignment="1">
      <alignment vertical="top"/>
    </xf>
    <xf numFmtId="0" fontId="5" fillId="25" borderId="67" xfId="0" applyFont="1" applyFill="1" applyBorder="1" applyAlignment="1">
      <alignment horizontal="center" vertical="center" wrapText="1"/>
    </xf>
    <xf numFmtId="0" fontId="7" fillId="25" borderId="47" xfId="0" applyFont="1" applyFill="1" applyBorder="1" applyAlignment="1">
      <alignment horizontal="center" vertical="top"/>
    </xf>
    <xf numFmtId="0" fontId="7" fillId="25" borderId="41" xfId="0" applyFont="1" applyFill="1" applyBorder="1" applyAlignment="1">
      <alignment horizontal="center" vertical="top"/>
    </xf>
    <xf numFmtId="0" fontId="7" fillId="25" borderId="75" xfId="0" applyFont="1" applyFill="1" applyBorder="1" applyAlignment="1">
      <alignment horizontal="center" vertical="top"/>
    </xf>
    <xf numFmtId="0" fontId="7" fillId="25" borderId="24" xfId="0" quotePrefix="1" applyFont="1" applyFill="1" applyBorder="1" applyAlignment="1">
      <alignment horizontal="center" vertical="center"/>
    </xf>
    <xf numFmtId="0" fontId="7" fillId="25" borderId="73" xfId="0" applyFont="1" applyFill="1" applyBorder="1" applyAlignment="1">
      <alignment vertical="top"/>
    </xf>
    <xf numFmtId="0" fontId="7" fillId="25" borderId="15" xfId="0" applyFont="1" applyFill="1" applyBorder="1" applyAlignment="1">
      <alignment vertical="top"/>
    </xf>
    <xf numFmtId="0" fontId="7" fillId="25" borderId="70" xfId="0" applyFont="1" applyFill="1" applyBorder="1" applyAlignment="1">
      <alignment vertical="top"/>
    </xf>
    <xf numFmtId="0" fontId="7" fillId="25" borderId="23" xfId="0" quotePrefix="1" applyFont="1" applyFill="1" applyBorder="1" applyAlignment="1">
      <alignment horizontal="center" vertical="center"/>
    </xf>
    <xf numFmtId="0" fontId="7" fillId="25" borderId="23" xfId="0" quotePrefix="1" applyFont="1" applyFill="1" applyBorder="1" applyAlignment="1">
      <alignment horizontal="center" vertical="top"/>
    </xf>
    <xf numFmtId="0" fontId="7" fillId="25" borderId="17" xfId="0" applyFont="1" applyFill="1" applyBorder="1" applyAlignment="1">
      <alignment vertical="top"/>
    </xf>
    <xf numFmtId="0" fontId="7" fillId="25" borderId="18" xfId="0" applyFont="1" applyFill="1" applyBorder="1" applyAlignment="1">
      <alignment vertical="top"/>
    </xf>
    <xf numFmtId="0" fontId="5" fillId="25" borderId="27" xfId="0" applyFont="1" applyFill="1" applyBorder="1" applyAlignment="1">
      <alignment horizontal="left" vertical="center"/>
    </xf>
    <xf numFmtId="0" fontId="7" fillId="25" borderId="0" xfId="0" applyFont="1" applyFill="1" applyBorder="1" applyAlignment="1">
      <alignment vertical="center"/>
    </xf>
    <xf numFmtId="0" fontId="7" fillId="25" borderId="82" xfId="0" applyFont="1" applyFill="1" applyBorder="1" applyAlignment="1">
      <alignment vertical="top"/>
    </xf>
    <xf numFmtId="0" fontId="7" fillId="25" borderId="66" xfId="0" applyFont="1" applyFill="1" applyBorder="1" applyAlignment="1">
      <alignment horizontal="center" vertical="top"/>
    </xf>
    <xf numFmtId="0" fontId="7" fillId="25" borderId="16" xfId="0" applyFont="1" applyFill="1" applyBorder="1" applyAlignment="1" applyProtection="1">
      <alignment horizontal="center" vertical="center"/>
      <protection locked="0"/>
    </xf>
    <xf numFmtId="0" fontId="7" fillId="25" borderId="83" xfId="0" applyFont="1" applyFill="1" applyBorder="1" applyAlignment="1" applyProtection="1">
      <alignment horizontal="center" vertical="center"/>
      <protection locked="0"/>
    </xf>
    <xf numFmtId="0" fontId="7" fillId="25" borderId="84" xfId="0" applyFont="1" applyFill="1" applyBorder="1" applyAlignment="1">
      <alignment vertical="top"/>
    </xf>
    <xf numFmtId="0" fontId="2" fillId="25" borderId="22" xfId="0" applyFont="1" applyFill="1" applyBorder="1" applyAlignment="1">
      <alignment horizontal="center" vertical="top"/>
    </xf>
    <xf numFmtId="0" fontId="8" fillId="37" borderId="21" xfId="0" applyFont="1" applyFill="1" applyBorder="1" applyAlignment="1">
      <alignment horizontal="center" vertical="center"/>
    </xf>
    <xf numFmtId="0" fontId="8" fillId="37" borderId="72" xfId="0" applyFont="1" applyFill="1" applyBorder="1" applyAlignment="1">
      <alignment horizontal="center" vertical="center"/>
    </xf>
    <xf numFmtId="0" fontId="7" fillId="25" borderId="12" xfId="0" applyFont="1" applyFill="1" applyBorder="1" applyAlignment="1">
      <alignment vertical="top"/>
    </xf>
    <xf numFmtId="0" fontId="2" fillId="25" borderId="12" xfId="0" applyFont="1" applyFill="1" applyBorder="1" applyAlignment="1">
      <alignment horizontal="center" vertical="top"/>
    </xf>
    <xf numFmtId="0" fontId="5" fillId="25" borderId="0" xfId="0" applyFont="1" applyFill="1" applyAlignment="1">
      <alignment vertical="top"/>
    </xf>
    <xf numFmtId="0" fontId="7" fillId="25" borderId="27" xfId="0" applyFont="1" applyFill="1" applyBorder="1" applyProtection="1"/>
    <xf numFmtId="0" fontId="7" fillId="25" borderId="17" xfId="0" applyFont="1" applyFill="1" applyBorder="1" applyAlignment="1" applyProtection="1">
      <alignment vertical="center"/>
    </xf>
    <xf numFmtId="0" fontId="20" fillId="25" borderId="15" xfId="0" applyFont="1" applyFill="1" applyBorder="1" applyAlignment="1" applyProtection="1">
      <alignment horizontal="left" vertical="center"/>
    </xf>
    <xf numFmtId="0" fontId="20" fillId="25" borderId="70" xfId="0" applyFont="1" applyFill="1" applyBorder="1" applyAlignment="1" applyProtection="1">
      <alignment horizontal="left" vertical="center"/>
    </xf>
    <xf numFmtId="0" fontId="20" fillId="25" borderId="0" xfId="0" applyFont="1" applyFill="1" applyBorder="1" applyAlignment="1" applyProtection="1">
      <alignment horizontal="left" vertical="center"/>
    </xf>
    <xf numFmtId="0" fontId="5" fillId="25" borderId="0" xfId="0" applyFont="1" applyFill="1" applyBorder="1" applyAlignment="1" applyProtection="1">
      <alignment vertical="center"/>
    </xf>
    <xf numFmtId="0" fontId="18" fillId="25" borderId="0" xfId="0" applyFont="1" applyFill="1" applyBorder="1" applyProtection="1"/>
    <xf numFmtId="0" fontId="11" fillId="25" borderId="28" xfId="0" applyFont="1" applyFill="1" applyBorder="1" applyAlignment="1" applyProtection="1">
      <alignment horizontal="center" vertical="center"/>
    </xf>
    <xf numFmtId="0" fontId="6" fillId="25" borderId="0" xfId="0" applyFont="1" applyFill="1" applyBorder="1" applyAlignment="1" applyProtection="1">
      <alignment horizontal="center" vertical="center"/>
    </xf>
    <xf numFmtId="0" fontId="61" fillId="31" borderId="0" xfId="0" applyFont="1" applyFill="1" applyBorder="1" applyAlignment="1" applyProtection="1">
      <alignment horizontal="center" vertical="center"/>
      <protection locked="0"/>
    </xf>
    <xf numFmtId="165" fontId="5" fillId="25" borderId="0" xfId="0" applyNumberFormat="1" applyFont="1" applyFill="1" applyBorder="1" applyAlignment="1" applyProtection="1">
      <alignment horizontal="center" vertical="center"/>
    </xf>
    <xf numFmtId="164" fontId="5" fillId="25" borderId="28" xfId="0" applyNumberFormat="1" applyFont="1" applyFill="1" applyBorder="1" applyAlignment="1" applyProtection="1">
      <alignment horizontal="center" vertical="center"/>
    </xf>
    <xf numFmtId="0" fontId="7" fillId="25" borderId="69" xfId="0" applyFont="1" applyFill="1" applyBorder="1" applyAlignment="1" applyProtection="1">
      <alignment vertical="center"/>
    </xf>
    <xf numFmtId="0" fontId="7" fillId="25" borderId="76" xfId="0" applyFont="1" applyFill="1" applyBorder="1" applyAlignment="1" applyProtection="1">
      <alignment vertical="center"/>
    </xf>
    <xf numFmtId="0" fontId="7" fillId="25" borderId="12" xfId="0" applyFont="1" applyFill="1" applyBorder="1" applyAlignment="1" applyProtection="1">
      <alignment horizontal="center"/>
    </xf>
    <xf numFmtId="169" fontId="7" fillId="25" borderId="12" xfId="32" applyNumberFormat="1" applyFont="1" applyFill="1" applyBorder="1" applyAlignment="1" applyProtection="1">
      <alignment horizontal="center"/>
    </xf>
    <xf numFmtId="169" fontId="7" fillId="25" borderId="0" xfId="32" applyNumberFormat="1" applyFont="1" applyFill="1" applyBorder="1" applyAlignment="1" applyProtection="1">
      <alignment horizontal="center"/>
    </xf>
    <xf numFmtId="0" fontId="7" fillId="25" borderId="22" xfId="0" applyFont="1" applyFill="1" applyBorder="1" applyAlignment="1" applyProtection="1">
      <alignment horizontal="center"/>
    </xf>
    <xf numFmtId="169" fontId="7" fillId="25" borderId="27" xfId="32" applyNumberFormat="1" applyFont="1" applyFill="1" applyBorder="1" applyAlignment="1" applyProtection="1">
      <alignment horizontal="center"/>
    </xf>
    <xf numFmtId="169" fontId="7" fillId="25" borderId="17" xfId="32" applyNumberFormat="1" applyFont="1" applyFill="1" applyBorder="1" applyAlignment="1" applyProtection="1">
      <alignment horizontal="center"/>
    </xf>
    <xf numFmtId="0" fontId="7" fillId="25" borderId="26" xfId="0" applyFont="1" applyFill="1" applyBorder="1" applyAlignment="1" applyProtection="1">
      <alignment horizontal="center"/>
    </xf>
    <xf numFmtId="2" fontId="7" fillId="25" borderId="14" xfId="0" applyNumberFormat="1" applyFont="1" applyFill="1" applyBorder="1" applyAlignment="1" applyProtection="1">
      <alignment horizontal="center"/>
    </xf>
    <xf numFmtId="0" fontId="7" fillId="25" borderId="15" xfId="0" applyFont="1" applyFill="1" applyBorder="1" applyProtection="1"/>
    <xf numFmtId="0" fontId="7" fillId="25" borderId="70" xfId="0" applyFont="1" applyFill="1" applyBorder="1" applyAlignment="1" applyProtection="1">
      <alignment horizontal="center"/>
    </xf>
    <xf numFmtId="0" fontId="7" fillId="25" borderId="11" xfId="0" applyFont="1" applyFill="1" applyBorder="1" applyProtection="1"/>
    <xf numFmtId="0" fontId="7" fillId="25" borderId="28" xfId="0" applyFont="1" applyFill="1" applyBorder="1" applyProtection="1"/>
    <xf numFmtId="166" fontId="7" fillId="25" borderId="19" xfId="0" applyNumberFormat="1" applyFont="1" applyFill="1" applyBorder="1" applyAlignment="1" applyProtection="1">
      <alignment horizontal="center"/>
    </xf>
    <xf numFmtId="2" fontId="7" fillId="25" borderId="20" xfId="0" applyNumberFormat="1" applyFont="1" applyFill="1" applyBorder="1" applyAlignment="1" applyProtection="1">
      <alignment horizontal="center"/>
    </xf>
    <xf numFmtId="2" fontId="7" fillId="25" borderId="22" xfId="0" applyNumberFormat="1" applyFont="1" applyFill="1" applyBorder="1" applyAlignment="1" applyProtection="1">
      <alignment horizontal="center"/>
    </xf>
    <xf numFmtId="0" fontId="7" fillId="25" borderId="15" xfId="0" applyFont="1" applyFill="1" applyBorder="1" applyAlignment="1" applyProtection="1">
      <alignment horizontal="center"/>
    </xf>
    <xf numFmtId="0" fontId="7" fillId="25" borderId="18" xfId="0" applyFont="1" applyFill="1" applyBorder="1" applyAlignment="1" applyProtection="1">
      <alignment horizontal="center"/>
    </xf>
    <xf numFmtId="169" fontId="7" fillId="25" borderId="28" xfId="32" applyNumberFormat="1" applyFont="1" applyFill="1" applyBorder="1" applyAlignment="1" applyProtection="1">
      <alignment horizontal="center"/>
    </xf>
    <xf numFmtId="169" fontId="7" fillId="25" borderId="18" xfId="32" applyNumberFormat="1" applyFont="1" applyFill="1" applyBorder="1" applyAlignment="1" applyProtection="1">
      <alignment horizontal="center"/>
    </xf>
    <xf numFmtId="169" fontId="7" fillId="25" borderId="19" xfId="32" applyNumberFormat="1" applyFont="1" applyFill="1" applyBorder="1" applyAlignment="1" applyProtection="1">
      <alignment horizontal="center"/>
    </xf>
    <xf numFmtId="169" fontId="7" fillId="25" borderId="14" xfId="0" applyNumberFormat="1" applyFont="1" applyFill="1" applyBorder="1" applyAlignment="1" applyProtection="1">
      <alignment horizontal="center"/>
    </xf>
    <xf numFmtId="164" fontId="56" fillId="31" borderId="0" xfId="0" applyNumberFormat="1" applyFont="1" applyFill="1" applyBorder="1" applyAlignment="1" applyProtection="1">
      <alignment horizontal="center" vertical="center"/>
      <protection locked="0"/>
    </xf>
    <xf numFmtId="0" fontId="13" fillId="25" borderId="22" xfId="0" applyFont="1" applyFill="1" applyBorder="1" applyAlignment="1" applyProtection="1">
      <alignment horizontal="center" wrapText="1"/>
    </xf>
    <xf numFmtId="2" fontId="7" fillId="25" borderId="12" xfId="0" applyNumberFormat="1" applyFont="1" applyFill="1" applyBorder="1" applyAlignment="1" applyProtection="1">
      <alignment horizontal="center"/>
    </xf>
    <xf numFmtId="166" fontId="7" fillId="25" borderId="14" xfId="0" applyNumberFormat="1" applyFont="1" applyFill="1" applyBorder="1" applyAlignment="1" applyProtection="1">
      <alignment horizontal="center"/>
    </xf>
    <xf numFmtId="0" fontId="7" fillId="25" borderId="26" xfId="0" applyFont="1" applyFill="1" applyBorder="1" applyProtection="1"/>
    <xf numFmtId="0" fontId="7" fillId="25" borderId="25" xfId="0" applyFont="1" applyFill="1" applyBorder="1" applyProtection="1"/>
    <xf numFmtId="0" fontId="7" fillId="25" borderId="29" xfId="0" applyFont="1" applyFill="1" applyBorder="1" applyProtection="1"/>
    <xf numFmtId="169" fontId="7" fillId="25" borderId="70" xfId="32" applyNumberFormat="1" applyFont="1" applyFill="1" applyBorder="1" applyAlignment="1" applyProtection="1">
      <alignment horizontal="center"/>
    </xf>
    <xf numFmtId="0" fontId="7" fillId="32" borderId="20" xfId="0" applyFont="1" applyFill="1" applyBorder="1" applyProtection="1"/>
    <xf numFmtId="0" fontId="7" fillId="32" borderId="17" xfId="0" applyFont="1" applyFill="1" applyBorder="1" applyProtection="1"/>
    <xf numFmtId="166" fontId="7" fillId="32" borderId="19" xfId="0" applyNumberFormat="1" applyFont="1" applyFill="1" applyBorder="1" applyAlignment="1" applyProtection="1">
      <alignment horizontal="center"/>
    </xf>
    <xf numFmtId="166" fontId="7" fillId="32" borderId="22" xfId="0" applyNumberFormat="1" applyFont="1" applyFill="1" applyBorder="1" applyAlignment="1" applyProtection="1">
      <alignment horizontal="center"/>
    </xf>
    <xf numFmtId="0" fontId="7" fillId="32" borderId="12" xfId="0" applyFont="1" applyFill="1" applyBorder="1" applyProtection="1"/>
    <xf numFmtId="166" fontId="7" fillId="32" borderId="12" xfId="0" applyNumberFormat="1" applyFont="1" applyFill="1" applyBorder="1" applyAlignment="1" applyProtection="1">
      <alignment horizontal="center"/>
    </xf>
    <xf numFmtId="168" fontId="7" fillId="32" borderId="20" xfId="0" applyNumberFormat="1" applyFont="1" applyFill="1" applyBorder="1" applyProtection="1"/>
    <xf numFmtId="0" fontId="7" fillId="32" borderId="14" xfId="0" applyFont="1" applyFill="1" applyBorder="1" applyProtection="1"/>
    <xf numFmtId="0" fontId="7" fillId="32" borderId="22" xfId="0" applyFont="1" applyFill="1" applyBorder="1" applyProtection="1"/>
    <xf numFmtId="0" fontId="56" fillId="31" borderId="55" xfId="0" applyFont="1" applyFill="1" applyBorder="1" applyAlignment="1" applyProtection="1">
      <alignment horizontal="center" vertical="center"/>
      <protection locked="0"/>
    </xf>
    <xf numFmtId="166" fontId="7" fillId="25" borderId="17" xfId="0" applyNumberFormat="1" applyFont="1" applyFill="1" applyBorder="1" applyAlignment="1" applyProtection="1">
      <alignment horizontal="center"/>
    </xf>
    <xf numFmtId="166" fontId="7" fillId="25" borderId="18" xfId="0" applyNumberFormat="1" applyFont="1" applyFill="1" applyBorder="1" applyAlignment="1" applyProtection="1">
      <alignment horizontal="center"/>
    </xf>
    <xf numFmtId="0" fontId="55" fillId="32" borderId="20" xfId="0" applyFont="1" applyFill="1" applyBorder="1" applyProtection="1"/>
    <xf numFmtId="0" fontId="55" fillId="32" borderId="14" xfId="0" applyFont="1" applyFill="1" applyBorder="1" applyProtection="1"/>
    <xf numFmtId="0" fontId="55" fillId="25" borderId="14" xfId="0" applyFont="1" applyFill="1" applyBorder="1" applyProtection="1"/>
    <xf numFmtId="0" fontId="55" fillId="25" borderId="22" xfId="0" applyFont="1" applyFill="1" applyBorder="1" applyProtection="1"/>
    <xf numFmtId="166" fontId="55" fillId="25" borderId="14" xfId="0" applyNumberFormat="1" applyFont="1" applyFill="1" applyBorder="1" applyAlignment="1" applyProtection="1">
      <alignment horizontal="center"/>
    </xf>
    <xf numFmtId="166" fontId="55" fillId="25" borderId="22" xfId="0" applyNumberFormat="1" applyFont="1" applyFill="1" applyBorder="1" applyAlignment="1" applyProtection="1">
      <alignment horizontal="center"/>
    </xf>
    <xf numFmtId="166" fontId="55" fillId="25" borderId="20" xfId="0" applyNumberFormat="1" applyFont="1" applyFill="1" applyBorder="1" applyAlignment="1" applyProtection="1">
      <alignment horizontal="center"/>
    </xf>
    <xf numFmtId="166" fontId="55" fillId="32" borderId="22" xfId="0" applyNumberFormat="1" applyFont="1" applyFill="1" applyBorder="1" applyAlignment="1" applyProtection="1">
      <alignment horizontal="center"/>
    </xf>
    <xf numFmtId="0" fontId="55" fillId="32" borderId="70" xfId="0" applyFont="1" applyFill="1" applyBorder="1" applyProtection="1"/>
    <xf numFmtId="0" fontId="55" fillId="25" borderId="70" xfId="0" applyFont="1" applyFill="1" applyBorder="1" applyProtection="1"/>
    <xf numFmtId="0" fontId="2" fillId="25" borderId="26" xfId="0" applyFont="1" applyFill="1" applyBorder="1"/>
    <xf numFmtId="172" fontId="7" fillId="25" borderId="29" xfId="44" applyNumberFormat="1" applyFont="1" applyFill="1" applyBorder="1" applyAlignment="1">
      <alignment horizontal="center"/>
    </xf>
    <xf numFmtId="0" fontId="0" fillId="31" borderId="14" xfId="0" applyFill="1" applyBorder="1"/>
    <xf numFmtId="0" fontId="0" fillId="31" borderId="20" xfId="0" applyFill="1" applyBorder="1"/>
    <xf numFmtId="0" fontId="0" fillId="31" borderId="22" xfId="0" applyFill="1" applyBorder="1"/>
    <xf numFmtId="0" fontId="2" fillId="32" borderId="20" xfId="0" applyFont="1" applyFill="1" applyBorder="1"/>
    <xf numFmtId="166" fontId="7" fillId="32" borderId="22" xfId="0" applyNumberFormat="1" applyFont="1" applyFill="1" applyBorder="1" applyAlignment="1">
      <alignment horizontal="center"/>
    </xf>
    <xf numFmtId="0" fontId="7" fillId="25" borderId="64" xfId="0" applyFont="1" applyFill="1" applyBorder="1" applyAlignment="1" applyProtection="1">
      <alignment vertical="center"/>
    </xf>
    <xf numFmtId="0" fontId="7" fillId="25" borderId="44" xfId="0" applyFont="1" applyFill="1" applyBorder="1" applyAlignment="1" applyProtection="1">
      <alignment vertical="center"/>
    </xf>
    <xf numFmtId="166" fontId="7" fillId="25" borderId="0" xfId="0" applyNumberFormat="1" applyFont="1" applyFill="1" applyBorder="1" applyAlignment="1" applyProtection="1">
      <alignment horizontal="center"/>
    </xf>
    <xf numFmtId="166" fontId="7" fillId="25" borderId="15" xfId="0" applyNumberFormat="1" applyFont="1" applyFill="1" applyBorder="1" applyAlignment="1" applyProtection="1">
      <alignment horizontal="center"/>
    </xf>
    <xf numFmtId="166" fontId="7" fillId="25" borderId="70" xfId="0" applyNumberFormat="1" applyFont="1" applyFill="1" applyBorder="1" applyAlignment="1" applyProtection="1">
      <alignment horizontal="center"/>
    </xf>
    <xf numFmtId="0" fontId="5" fillId="25" borderId="54" xfId="0" applyFont="1" applyFill="1" applyBorder="1" applyAlignment="1" applyProtection="1">
      <alignment horizontal="right" vertical="center"/>
    </xf>
    <xf numFmtId="166" fontId="7" fillId="25" borderId="27" xfId="0" applyNumberFormat="1" applyFont="1" applyFill="1" applyBorder="1" applyAlignment="1" applyProtection="1">
      <alignment horizontal="center"/>
    </xf>
    <xf numFmtId="166" fontId="7" fillId="25" borderId="26" xfId="0" applyNumberFormat="1" applyFont="1" applyFill="1" applyBorder="1" applyAlignment="1" applyProtection="1">
      <alignment horizontal="center"/>
    </xf>
    <xf numFmtId="166" fontId="7" fillId="25" borderId="26" xfId="0" applyNumberFormat="1" applyFont="1" applyFill="1" applyBorder="1" applyAlignment="1" applyProtection="1">
      <alignment horizontal="left"/>
    </xf>
    <xf numFmtId="0" fontId="7" fillId="25" borderId="25" xfId="0" applyFont="1" applyFill="1" applyBorder="1" applyAlignment="1" applyProtection="1">
      <alignment horizontal="left"/>
    </xf>
    <xf numFmtId="0" fontId="2" fillId="0" borderId="0" xfId="0" applyFont="1" applyFill="1" applyBorder="1" applyAlignment="1">
      <alignment horizontal="center"/>
    </xf>
    <xf numFmtId="0" fontId="7" fillId="25" borderId="70" xfId="0" applyFont="1" applyFill="1" applyBorder="1" applyAlignment="1" applyProtection="1">
      <alignment vertical="center"/>
    </xf>
    <xf numFmtId="0" fontId="7" fillId="25" borderId="14" xfId="0" applyFont="1" applyFill="1" applyBorder="1" applyAlignment="1" applyProtection="1">
      <alignment horizontal="left" vertical="center"/>
    </xf>
    <xf numFmtId="0" fontId="7" fillId="25" borderId="14" xfId="0" applyFont="1" applyFill="1" applyBorder="1" applyAlignment="1" applyProtection="1">
      <alignment vertical="center"/>
    </xf>
    <xf numFmtId="0" fontId="0" fillId="25" borderId="15" xfId="0" applyFill="1" applyBorder="1" applyProtection="1"/>
    <xf numFmtId="0" fontId="0" fillId="25" borderId="70" xfId="0" applyFill="1" applyBorder="1" applyProtection="1"/>
    <xf numFmtId="0" fontId="0" fillId="25" borderId="11" xfId="0" applyFill="1" applyBorder="1" applyProtection="1"/>
    <xf numFmtId="0" fontId="0" fillId="25" borderId="27" xfId="0" applyFill="1" applyBorder="1" applyProtection="1"/>
    <xf numFmtId="0" fontId="0" fillId="25" borderId="0" xfId="0" applyFill="1" applyBorder="1" applyProtection="1"/>
    <xf numFmtId="0" fontId="0" fillId="25" borderId="28" xfId="0" applyFill="1" applyBorder="1" applyProtection="1"/>
    <xf numFmtId="0" fontId="0" fillId="25" borderId="17" xfId="0" applyFill="1" applyBorder="1" applyProtection="1"/>
    <xf numFmtId="0" fontId="0" fillId="25" borderId="19" xfId="0" applyFill="1" applyBorder="1" applyProtection="1"/>
    <xf numFmtId="9" fontId="0" fillId="25" borderId="18" xfId="0" applyNumberFormat="1" applyFill="1" applyBorder="1" applyAlignment="1">
      <alignment horizontal="center"/>
    </xf>
    <xf numFmtId="0" fontId="13" fillId="25" borderId="12" xfId="0" applyFont="1" applyFill="1" applyBorder="1" applyAlignment="1" applyProtection="1">
      <alignment horizontal="center" wrapText="1"/>
    </xf>
    <xf numFmtId="166" fontId="7" fillId="25" borderId="28" xfId="0" applyNumberFormat="1" applyFont="1" applyFill="1" applyBorder="1" applyAlignment="1" applyProtection="1">
      <alignment horizontal="center"/>
    </xf>
    <xf numFmtId="9" fontId="0" fillId="25" borderId="17" xfId="0" applyNumberFormat="1" applyFill="1" applyBorder="1" applyAlignment="1">
      <alignment horizontal="center"/>
    </xf>
    <xf numFmtId="9" fontId="0" fillId="25" borderId="19" xfId="0" applyNumberFormat="1" applyFill="1" applyBorder="1" applyAlignment="1">
      <alignment horizontal="center"/>
    </xf>
    <xf numFmtId="0" fontId="13" fillId="25" borderId="26" xfId="0" applyFont="1" applyFill="1" applyBorder="1" applyAlignment="1" applyProtection="1">
      <alignment horizontal="center" wrapText="1"/>
    </xf>
    <xf numFmtId="166" fontId="7" fillId="25" borderId="29" xfId="0" applyNumberFormat="1" applyFont="1" applyFill="1" applyBorder="1" applyAlignment="1" applyProtection="1">
      <alignment horizontal="center"/>
    </xf>
    <xf numFmtId="0" fontId="7" fillId="32" borderId="29" xfId="0" applyFont="1" applyFill="1" applyBorder="1" applyProtection="1"/>
    <xf numFmtId="167" fontId="7" fillId="25" borderId="31" xfId="0" applyNumberFormat="1" applyFont="1" applyFill="1" applyBorder="1" applyAlignment="1" applyProtection="1">
      <alignment horizontal="center" vertical="center" wrapText="1"/>
    </xf>
    <xf numFmtId="22" fontId="13" fillId="25" borderId="0" xfId="0" applyNumberFormat="1" applyFont="1" applyFill="1" applyAlignment="1" applyProtection="1">
      <alignment horizontal="left"/>
    </xf>
    <xf numFmtId="0" fontId="2" fillId="31" borderId="0" xfId="0" applyFont="1" applyFill="1"/>
    <xf numFmtId="0" fontId="56" fillId="25" borderId="0" xfId="0" applyFont="1" applyFill="1" applyBorder="1" applyProtection="1"/>
    <xf numFmtId="9" fontId="56" fillId="26" borderId="13" xfId="32" applyFont="1" applyFill="1" applyBorder="1" applyAlignment="1" applyProtection="1">
      <alignment horizontal="center" vertical="center"/>
      <protection locked="0"/>
    </xf>
    <xf numFmtId="0" fontId="0" fillId="31" borderId="0" xfId="0" applyFill="1" applyBorder="1" applyAlignment="1">
      <alignment horizontal="center"/>
    </xf>
    <xf numFmtId="0" fontId="0" fillId="31" borderId="18" xfId="0" applyFill="1" applyBorder="1"/>
    <xf numFmtId="166" fontId="0" fillId="31" borderId="0" xfId="0" applyNumberFormat="1" applyFill="1"/>
    <xf numFmtId="0" fontId="2" fillId="31" borderId="26" xfId="0" applyFont="1" applyFill="1" applyBorder="1"/>
    <xf numFmtId="0" fontId="2" fillId="31" borderId="25" xfId="0" applyFont="1" applyFill="1" applyBorder="1"/>
    <xf numFmtId="0" fontId="0" fillId="31" borderId="26" xfId="0" applyFill="1" applyBorder="1" applyAlignment="1">
      <alignment horizontal="center"/>
    </xf>
    <xf numFmtId="166" fontId="0" fillId="31" borderId="25" xfId="0" applyNumberFormat="1" applyFill="1" applyBorder="1" applyAlignment="1">
      <alignment horizontal="center"/>
    </xf>
    <xf numFmtId="0" fontId="2" fillId="32" borderId="29" xfId="0" applyFont="1" applyFill="1" applyBorder="1"/>
    <xf numFmtId="0" fontId="0" fillId="32" borderId="29" xfId="0" applyFill="1" applyBorder="1"/>
    <xf numFmtId="9" fontId="5" fillId="25" borderId="14" xfId="32" applyFont="1" applyFill="1" applyBorder="1" applyAlignment="1" applyProtection="1">
      <alignment horizontal="left" vertical="center"/>
    </xf>
    <xf numFmtId="9" fontId="56" fillId="26" borderId="39" xfId="32" applyFont="1" applyFill="1" applyBorder="1" applyAlignment="1" applyProtection="1">
      <alignment horizontal="center" vertical="center"/>
      <protection locked="0"/>
    </xf>
    <xf numFmtId="9" fontId="56" fillId="38" borderId="13" xfId="32" applyFont="1" applyFill="1" applyBorder="1" applyAlignment="1" applyProtection="1">
      <alignment horizontal="center" vertical="center"/>
      <protection locked="0"/>
    </xf>
    <xf numFmtId="9" fontId="56" fillId="38" borderId="42" xfId="32" applyFont="1" applyFill="1" applyBorder="1" applyAlignment="1" applyProtection="1">
      <alignment horizontal="center" vertical="center"/>
      <protection locked="0"/>
    </xf>
    <xf numFmtId="0" fontId="2" fillId="25" borderId="0" xfId="0" applyFont="1" applyFill="1" applyAlignment="1">
      <alignment horizontal="left" vertical="top"/>
    </xf>
    <xf numFmtId="0" fontId="7" fillId="25" borderId="85" xfId="0" applyFont="1" applyFill="1" applyBorder="1" applyProtection="1"/>
    <xf numFmtId="170" fontId="59" fillId="31" borderId="21" xfId="0" applyNumberFormat="1" applyFont="1" applyFill="1" applyBorder="1" applyAlignment="1">
      <alignment horizontal="center" vertical="center" wrapText="1"/>
    </xf>
    <xf numFmtId="0" fontId="7" fillId="25" borderId="21" xfId="0" applyFont="1" applyFill="1" applyBorder="1" applyAlignment="1" applyProtection="1">
      <alignment horizontal="right" vertical="center"/>
    </xf>
    <xf numFmtId="166" fontId="7" fillId="25" borderId="22" xfId="0" applyNumberFormat="1" applyFont="1" applyFill="1" applyBorder="1" applyAlignment="1" applyProtection="1">
      <alignment horizontal="center"/>
    </xf>
    <xf numFmtId="0" fontId="55" fillId="31" borderId="42" xfId="0" applyFont="1" applyFill="1" applyBorder="1" applyAlignment="1">
      <alignment horizontal="center" wrapText="1"/>
    </xf>
    <xf numFmtId="0" fontId="20" fillId="31" borderId="13" xfId="0" applyFont="1" applyFill="1" applyBorder="1" applyAlignment="1">
      <alignment horizontal="center" wrapText="1"/>
    </xf>
    <xf numFmtId="0" fontId="51" fillId="25" borderId="13" xfId="0" applyFont="1" applyFill="1" applyBorder="1" applyAlignment="1">
      <alignment horizontal="left" wrapText="1"/>
    </xf>
    <xf numFmtId="0" fontId="2" fillId="30" borderId="13" xfId="0" applyFont="1" applyFill="1" applyBorder="1" applyAlignment="1">
      <alignment horizontal="center" wrapText="1"/>
    </xf>
    <xf numFmtId="0" fontId="51" fillId="30" borderId="13" xfId="0" applyFont="1" applyFill="1" applyBorder="1" applyAlignment="1">
      <alignment horizontal="center" wrapText="1"/>
    </xf>
    <xf numFmtId="0" fontId="55" fillId="31" borderId="70" xfId="0" applyFont="1" applyFill="1" applyBorder="1" applyAlignment="1">
      <alignment wrapText="1"/>
    </xf>
    <xf numFmtId="0" fontId="7" fillId="25" borderId="0" xfId="0" applyFont="1" applyFill="1" applyAlignment="1" applyProtection="1">
      <alignment horizontal="right"/>
    </xf>
    <xf numFmtId="169" fontId="7" fillId="25" borderId="15" xfId="32" applyNumberFormat="1" applyFont="1" applyFill="1" applyBorder="1" applyAlignment="1" applyProtection="1">
      <alignment horizontal="center"/>
    </xf>
    <xf numFmtId="169" fontId="7" fillId="25" borderId="85" xfId="32" applyNumberFormat="1" applyFont="1" applyFill="1" applyBorder="1" applyAlignment="1" applyProtection="1">
      <alignment horizontal="center"/>
    </xf>
    <xf numFmtId="2" fontId="7" fillId="25" borderId="17" xfId="0" applyNumberFormat="1" applyFont="1" applyFill="1" applyBorder="1" applyAlignment="1" applyProtection="1">
      <alignment horizontal="center"/>
    </xf>
    <xf numFmtId="2" fontId="7" fillId="25" borderId="18" xfId="0" applyNumberFormat="1" applyFont="1" applyFill="1" applyBorder="1" applyAlignment="1" applyProtection="1">
      <alignment horizontal="center"/>
    </xf>
    <xf numFmtId="2" fontId="7" fillId="25" borderId="19" xfId="0" applyNumberFormat="1" applyFont="1" applyFill="1" applyBorder="1" applyAlignment="1" applyProtection="1">
      <alignment horizontal="center"/>
    </xf>
    <xf numFmtId="0" fontId="55" fillId="31" borderId="32" xfId="0" applyFont="1" applyFill="1" applyBorder="1" applyAlignment="1">
      <alignment horizontal="center" wrapText="1"/>
    </xf>
    <xf numFmtId="0" fontId="72" fillId="31" borderId="15" xfId="0" applyFont="1" applyFill="1" applyBorder="1" applyAlignment="1">
      <alignment wrapText="1"/>
    </xf>
    <xf numFmtId="166" fontId="55" fillId="25" borderId="61" xfId="0" applyNumberFormat="1" applyFont="1" applyFill="1" applyBorder="1" applyAlignment="1" applyProtection="1">
      <alignment horizontal="center"/>
    </xf>
    <xf numFmtId="166" fontId="55" fillId="25" borderId="42" xfId="0" applyNumberFormat="1" applyFont="1" applyFill="1" applyBorder="1" applyAlignment="1" applyProtection="1">
      <alignment horizontal="center"/>
    </xf>
    <xf numFmtId="170" fontId="57" fillId="31" borderId="32" xfId="0" applyNumberFormat="1" applyFont="1" applyFill="1" applyBorder="1" applyAlignment="1">
      <alignment horizontal="center" wrapText="1"/>
    </xf>
    <xf numFmtId="0" fontId="57" fillId="31" borderId="32" xfId="0" applyFont="1" applyFill="1" applyBorder="1" applyAlignment="1">
      <alignment horizontal="center" wrapText="1"/>
    </xf>
    <xf numFmtId="170" fontId="58" fillId="31" borderId="57" xfId="0" applyNumberFormat="1" applyFont="1" applyFill="1" applyBorder="1" applyAlignment="1">
      <alignment horizontal="center" wrapText="1"/>
    </xf>
    <xf numFmtId="170" fontId="58" fillId="31" borderId="38" xfId="0" applyNumberFormat="1" applyFont="1" applyFill="1" applyBorder="1" applyAlignment="1">
      <alignment horizontal="center" wrapText="1"/>
    </xf>
    <xf numFmtId="0" fontId="7" fillId="29" borderId="13" xfId="0" quotePrefix="1" applyFont="1" applyFill="1" applyBorder="1" applyAlignment="1">
      <alignment wrapText="1"/>
    </xf>
    <xf numFmtId="0" fontId="7" fillId="32" borderId="13" xfId="0" quotePrefix="1" applyFont="1" applyFill="1" applyBorder="1" applyAlignment="1">
      <alignment wrapText="1"/>
    </xf>
    <xf numFmtId="9" fontId="7" fillId="25" borderId="0" xfId="0" applyNumberFormat="1" applyFont="1" applyFill="1" applyProtection="1"/>
    <xf numFmtId="2" fontId="7" fillId="25" borderId="0" xfId="0" applyNumberFormat="1" applyFont="1" applyFill="1" applyBorder="1" applyAlignment="1" applyProtection="1">
      <alignment horizontal="center"/>
    </xf>
    <xf numFmtId="2" fontId="7" fillId="32" borderId="19" xfId="0" applyNumberFormat="1" applyFont="1" applyFill="1" applyBorder="1" applyAlignment="1" applyProtection="1">
      <alignment horizontal="center"/>
    </xf>
    <xf numFmtId="2" fontId="7" fillId="32" borderId="12" xfId="0" applyNumberFormat="1" applyFont="1" applyFill="1" applyBorder="1" applyAlignment="1" applyProtection="1">
      <alignment horizontal="center"/>
    </xf>
    <xf numFmtId="0" fontId="7" fillId="31" borderId="85" xfId="0" applyFont="1" applyFill="1" applyBorder="1" applyAlignment="1" applyProtection="1">
      <alignment horizontal="center"/>
    </xf>
    <xf numFmtId="0" fontId="7" fillId="31" borderId="28" xfId="0" applyFont="1" applyFill="1" applyBorder="1" applyAlignment="1" applyProtection="1">
      <alignment horizontal="center"/>
    </xf>
    <xf numFmtId="0" fontId="7" fillId="31" borderId="28" xfId="0" applyFont="1" applyFill="1" applyBorder="1" applyProtection="1"/>
    <xf numFmtId="0" fontId="7" fillId="31" borderId="25" xfId="0" applyFont="1" applyFill="1" applyBorder="1" applyProtection="1"/>
    <xf numFmtId="2" fontId="7" fillId="31" borderId="29" xfId="0" applyNumberFormat="1" applyFont="1" applyFill="1" applyBorder="1" applyAlignment="1" applyProtection="1">
      <alignment horizontal="center"/>
    </xf>
    <xf numFmtId="2" fontId="7" fillId="31" borderId="28" xfId="0" applyNumberFormat="1" applyFont="1" applyFill="1" applyBorder="1" applyAlignment="1" applyProtection="1">
      <alignment horizontal="center"/>
    </xf>
    <xf numFmtId="2" fontId="7" fillId="31" borderId="19" xfId="0" applyNumberFormat="1" applyFont="1" applyFill="1" applyBorder="1" applyAlignment="1" applyProtection="1">
      <alignment horizontal="center"/>
    </xf>
    <xf numFmtId="2" fontId="7" fillId="25" borderId="27" xfId="0" applyNumberFormat="1" applyFont="1" applyFill="1" applyBorder="1" applyAlignment="1" applyProtection="1">
      <alignment horizontal="center"/>
    </xf>
    <xf numFmtId="2" fontId="7" fillId="25" borderId="28" xfId="0" applyNumberFormat="1" applyFont="1" applyFill="1" applyBorder="1" applyAlignment="1" applyProtection="1">
      <alignment horizontal="center"/>
    </xf>
    <xf numFmtId="2" fontId="7" fillId="32" borderId="22" xfId="0" applyNumberFormat="1" applyFont="1" applyFill="1" applyBorder="1" applyAlignment="1" applyProtection="1">
      <alignment horizontal="center"/>
    </xf>
    <xf numFmtId="0" fontId="7" fillId="31" borderId="15" xfId="0" applyFont="1" applyFill="1" applyBorder="1" applyProtection="1"/>
    <xf numFmtId="0" fontId="7" fillId="31" borderId="27" xfId="0" applyFont="1" applyFill="1" applyBorder="1" applyProtection="1"/>
    <xf numFmtId="0" fontId="7" fillId="31" borderId="26" xfId="0" applyFont="1" applyFill="1" applyBorder="1" applyProtection="1"/>
    <xf numFmtId="0" fontId="7" fillId="31" borderId="29" xfId="0" applyFont="1" applyFill="1" applyBorder="1" applyProtection="1"/>
    <xf numFmtId="0" fontId="7" fillId="32" borderId="28" xfId="0" applyFont="1" applyFill="1" applyBorder="1" applyAlignment="1" applyProtection="1">
      <alignment horizontal="center"/>
    </xf>
    <xf numFmtId="0" fontId="7" fillId="32" borderId="25" xfId="0" applyFont="1" applyFill="1" applyBorder="1" applyProtection="1"/>
    <xf numFmtId="0" fontId="7" fillId="31" borderId="17" xfId="0" applyFont="1" applyFill="1" applyBorder="1" applyProtection="1"/>
    <xf numFmtId="169" fontId="7" fillId="25" borderId="25" xfId="32" applyNumberFormat="1" applyFont="1" applyFill="1" applyBorder="1" applyAlignment="1" applyProtection="1">
      <alignment horizontal="center"/>
    </xf>
    <xf numFmtId="0" fontId="56" fillId="31" borderId="54" xfId="0" applyFont="1" applyFill="1" applyBorder="1" applyAlignment="1" applyProtection="1">
      <alignment horizontal="center" vertical="center"/>
      <protection locked="0"/>
    </xf>
    <xf numFmtId="2" fontId="7" fillId="31" borderId="26" xfId="0" applyNumberFormat="1" applyFont="1" applyFill="1" applyBorder="1" applyAlignment="1" applyProtection="1">
      <alignment horizontal="center"/>
    </xf>
    <xf numFmtId="2" fontId="7" fillId="25" borderId="15" xfId="0" applyNumberFormat="1" applyFont="1" applyFill="1" applyBorder="1" applyAlignment="1" applyProtection="1">
      <alignment horizontal="center"/>
    </xf>
    <xf numFmtId="2" fontId="7" fillId="25" borderId="70" xfId="0" applyNumberFormat="1" applyFont="1" applyFill="1" applyBorder="1" applyAlignment="1" applyProtection="1">
      <alignment horizontal="center"/>
    </xf>
    <xf numFmtId="0" fontId="7" fillId="30" borderId="13" xfId="0" applyFont="1" applyFill="1" applyBorder="1" applyAlignment="1">
      <alignment wrapText="1"/>
    </xf>
    <xf numFmtId="0" fontId="7" fillId="25" borderId="37" xfId="0" applyFont="1" applyFill="1" applyBorder="1" applyAlignment="1" applyProtection="1">
      <alignment horizontal="center" vertical="center"/>
    </xf>
    <xf numFmtId="0" fontId="7" fillId="25" borderId="19" xfId="0" applyFont="1" applyFill="1" applyBorder="1" applyAlignment="1" applyProtection="1">
      <alignment horizontal="center"/>
    </xf>
    <xf numFmtId="0" fontId="7" fillId="25" borderId="85" xfId="0" applyFont="1" applyFill="1" applyBorder="1" applyAlignment="1" applyProtection="1">
      <alignment horizontal="center"/>
    </xf>
    <xf numFmtId="0" fontId="7" fillId="25" borderId="17" xfId="0" applyFont="1" applyFill="1" applyBorder="1" applyAlignment="1" applyProtection="1">
      <alignment horizontal="center"/>
    </xf>
    <xf numFmtId="0" fontId="0" fillId="31" borderId="85" xfId="0" applyFill="1" applyBorder="1" applyAlignment="1">
      <alignment horizontal="center"/>
    </xf>
    <xf numFmtId="0" fontId="0" fillId="31" borderId="17" xfId="0" applyFill="1" applyBorder="1" applyAlignment="1">
      <alignment horizontal="center"/>
    </xf>
    <xf numFmtId="0" fontId="0" fillId="31" borderId="18" xfId="0" applyFill="1" applyBorder="1" applyAlignment="1">
      <alignment horizontal="center"/>
    </xf>
    <xf numFmtId="0" fontId="0" fillId="31" borderId="19" xfId="0" applyFill="1" applyBorder="1" applyAlignment="1">
      <alignment horizontal="center"/>
    </xf>
    <xf numFmtId="0" fontId="0" fillId="31" borderId="26" xfId="0" applyFill="1" applyBorder="1"/>
    <xf numFmtId="0" fontId="0" fillId="31" borderId="29" xfId="0" applyFill="1" applyBorder="1"/>
    <xf numFmtId="0" fontId="0" fillId="31" borderId="0" xfId="0" applyFill="1" applyBorder="1"/>
    <xf numFmtId="0" fontId="0" fillId="31" borderId="25" xfId="0" applyFill="1" applyBorder="1"/>
    <xf numFmtId="0" fontId="0" fillId="31" borderId="15" xfId="0" applyFill="1" applyBorder="1"/>
    <xf numFmtId="0" fontId="0" fillId="31" borderId="27" xfId="0" applyFill="1" applyBorder="1"/>
    <xf numFmtId="0" fontId="0" fillId="31" borderId="85" xfId="0" applyFill="1" applyBorder="1"/>
    <xf numFmtId="0" fontId="0" fillId="31" borderId="27" xfId="0" applyFill="1" applyBorder="1" applyAlignment="1">
      <alignment horizontal="center"/>
    </xf>
    <xf numFmtId="0" fontId="0" fillId="31" borderId="28" xfId="0" applyFill="1" applyBorder="1" applyAlignment="1">
      <alignment horizontal="center"/>
    </xf>
    <xf numFmtId="0" fontId="0" fillId="31" borderId="70" xfId="0" applyFill="1" applyBorder="1"/>
    <xf numFmtId="0" fontId="0" fillId="31" borderId="28" xfId="0" applyFill="1" applyBorder="1"/>
    <xf numFmtId="0" fontId="0" fillId="32" borderId="25" xfId="0" applyFill="1" applyBorder="1"/>
    <xf numFmtId="0" fontId="0" fillId="32" borderId="27" xfId="0" applyFill="1" applyBorder="1"/>
    <xf numFmtId="0" fontId="0" fillId="32" borderId="0" xfId="0" applyFill="1" applyBorder="1"/>
    <xf numFmtId="0" fontId="0" fillId="32" borderId="28" xfId="0" applyFill="1" applyBorder="1"/>
    <xf numFmtId="166" fontId="7" fillId="25" borderId="20" xfId="0" applyNumberFormat="1" applyFont="1" applyFill="1" applyBorder="1" applyAlignment="1" applyProtection="1">
      <alignment horizontal="center"/>
    </xf>
    <xf numFmtId="170" fontId="56" fillId="31" borderId="13" xfId="0" applyNumberFormat="1" applyFont="1" applyFill="1" applyBorder="1" applyAlignment="1" applyProtection="1">
      <alignment horizontal="center" vertical="center"/>
      <protection locked="0"/>
    </xf>
    <xf numFmtId="0" fontId="2" fillId="31" borderId="15" xfId="0" applyFont="1" applyFill="1" applyBorder="1"/>
    <xf numFmtId="0" fontId="2" fillId="31" borderId="29" xfId="0" applyFont="1" applyFill="1" applyBorder="1"/>
    <xf numFmtId="166" fontId="7" fillId="25" borderId="85" xfId="0" applyNumberFormat="1" applyFont="1" applyFill="1" applyBorder="1" applyAlignment="1" applyProtection="1">
      <alignment horizontal="center"/>
    </xf>
    <xf numFmtId="166" fontId="7" fillId="31" borderId="20" xfId="0" applyNumberFormat="1" applyFont="1" applyFill="1" applyBorder="1" applyAlignment="1" applyProtection="1">
      <alignment horizontal="center"/>
    </xf>
    <xf numFmtId="166" fontId="7" fillId="31" borderId="14" xfId="0" applyNumberFormat="1" applyFont="1" applyFill="1" applyBorder="1" applyAlignment="1" applyProtection="1">
      <alignment horizontal="center"/>
    </xf>
    <xf numFmtId="166" fontId="7" fillId="31" borderId="22" xfId="0" applyNumberFormat="1" applyFont="1" applyFill="1" applyBorder="1" applyAlignment="1" applyProtection="1">
      <alignment horizontal="center"/>
    </xf>
    <xf numFmtId="0" fontId="7" fillId="31" borderId="12" xfId="0" applyFont="1" applyFill="1" applyBorder="1" applyAlignment="1" applyProtection="1">
      <alignment horizontal="left"/>
    </xf>
    <xf numFmtId="166" fontId="7" fillId="31" borderId="12" xfId="0" applyNumberFormat="1" applyFont="1" applyFill="1" applyBorder="1" applyAlignment="1" applyProtection="1">
      <alignment horizontal="center"/>
    </xf>
    <xf numFmtId="0" fontId="0" fillId="32" borderId="20" xfId="0" applyFill="1" applyBorder="1"/>
    <xf numFmtId="0" fontId="0" fillId="32" borderId="14" xfId="0" applyFill="1" applyBorder="1"/>
    <xf numFmtId="0" fontId="0" fillId="32" borderId="12" xfId="0" applyFill="1" applyBorder="1"/>
    <xf numFmtId="0" fontId="17" fillId="25" borderId="0" xfId="0" applyFont="1" applyFill="1" applyProtection="1"/>
    <xf numFmtId="0" fontId="1" fillId="31" borderId="0" xfId="0" applyFont="1" applyFill="1"/>
    <xf numFmtId="166" fontId="0" fillId="31" borderId="15" xfId="0" applyNumberFormat="1" applyFill="1" applyBorder="1" applyAlignment="1">
      <alignment horizontal="center"/>
    </xf>
    <xf numFmtId="166" fontId="0" fillId="31" borderId="17" xfId="0" applyNumberFormat="1" applyFill="1" applyBorder="1" applyAlignment="1">
      <alignment horizontal="center"/>
    </xf>
    <xf numFmtId="166" fontId="0" fillId="31" borderId="18" xfId="0" applyNumberFormat="1" applyFill="1" applyBorder="1" applyAlignment="1">
      <alignment horizontal="center"/>
    </xf>
    <xf numFmtId="166" fontId="0" fillId="31" borderId="70" xfId="0" applyNumberFormat="1" applyFill="1" applyBorder="1" applyAlignment="1">
      <alignment horizontal="center"/>
    </xf>
    <xf numFmtId="166" fontId="7" fillId="31" borderId="26" xfId="0" applyNumberFormat="1" applyFont="1" applyFill="1" applyBorder="1" applyAlignment="1" applyProtection="1">
      <alignment horizontal="center"/>
    </xf>
    <xf numFmtId="166" fontId="7" fillId="31" borderId="25" xfId="0" applyNumberFormat="1" applyFont="1" applyFill="1" applyBorder="1" applyAlignment="1" applyProtection="1">
      <alignment horizontal="center"/>
    </xf>
    <xf numFmtId="166" fontId="7" fillId="31" borderId="29" xfId="0" applyNumberFormat="1" applyFont="1" applyFill="1" applyBorder="1" applyAlignment="1" applyProtection="1">
      <alignment horizontal="center"/>
    </xf>
    <xf numFmtId="0" fontId="7" fillId="31" borderId="25" xfId="0" applyFont="1" applyFill="1" applyBorder="1" applyAlignment="1" applyProtection="1">
      <alignment horizontal="center"/>
    </xf>
    <xf numFmtId="0" fontId="55" fillId="31" borderId="25" xfId="0" applyFont="1" applyFill="1" applyBorder="1" applyAlignment="1" applyProtection="1">
      <alignment horizontal="center"/>
    </xf>
    <xf numFmtId="0" fontId="55" fillId="31" borderId="29" xfId="0" applyFont="1" applyFill="1" applyBorder="1" applyAlignment="1" applyProtection="1">
      <alignment horizontal="center"/>
    </xf>
    <xf numFmtId="166" fontId="7" fillId="25" borderId="25" xfId="0" applyNumberFormat="1" applyFont="1" applyFill="1" applyBorder="1" applyAlignment="1" applyProtection="1">
      <alignment horizontal="center"/>
    </xf>
    <xf numFmtId="0" fontId="56" fillId="25" borderId="0" xfId="0" applyFont="1" applyFill="1" applyBorder="1" applyAlignment="1" applyProtection="1">
      <alignment horizontal="center"/>
    </xf>
    <xf numFmtId="0" fontId="7" fillId="25" borderId="69" xfId="0" applyFont="1" applyFill="1" applyBorder="1" applyAlignment="1">
      <alignment vertical="center"/>
    </xf>
    <xf numFmtId="0" fontId="2" fillId="25" borderId="50" xfId="0" applyFont="1" applyFill="1" applyBorder="1" applyAlignment="1">
      <alignment vertical="center"/>
    </xf>
    <xf numFmtId="166" fontId="7" fillId="25" borderId="54" xfId="0" applyNumberFormat="1" applyFont="1" applyFill="1" applyBorder="1" applyAlignment="1">
      <alignment horizontal="center" vertical="center"/>
    </xf>
    <xf numFmtId="0" fontId="7" fillId="25" borderId="77" xfId="0" applyFont="1" applyFill="1" applyBorder="1" applyAlignment="1">
      <alignment horizontal="center" vertical="center"/>
    </xf>
    <xf numFmtId="166" fontId="55" fillId="32" borderId="72" xfId="32" applyNumberFormat="1" applyFont="1" applyFill="1" applyBorder="1" applyAlignment="1" applyProtection="1">
      <alignment horizontal="center" vertical="center"/>
      <protection locked="0"/>
    </xf>
    <xf numFmtId="0" fontId="55" fillId="31" borderId="63" xfId="0" applyFont="1" applyFill="1" applyBorder="1" applyAlignment="1">
      <alignment horizontal="left" vertical="center"/>
    </xf>
    <xf numFmtId="0" fontId="68" fillId="31" borderId="57" xfId="0" applyFont="1" applyFill="1" applyBorder="1" applyAlignment="1">
      <alignment vertical="center"/>
    </xf>
    <xf numFmtId="0" fontId="55" fillId="30" borderId="32" xfId="0" applyFont="1" applyFill="1" applyBorder="1" applyAlignment="1" applyProtection="1">
      <alignment horizontal="center" vertical="center"/>
      <protection locked="0"/>
    </xf>
    <xf numFmtId="2" fontId="55" fillId="31" borderId="21" xfId="0" applyNumberFormat="1" applyFont="1" applyFill="1" applyBorder="1" applyAlignment="1">
      <alignment horizontal="center" vertical="center"/>
    </xf>
    <xf numFmtId="0" fontId="55" fillId="31" borderId="21" xfId="0" applyFont="1" applyFill="1" applyBorder="1" applyAlignment="1">
      <alignment horizontal="center" vertical="center"/>
    </xf>
    <xf numFmtId="0" fontId="57" fillId="31" borderId="40" xfId="0" applyFont="1" applyFill="1" applyBorder="1" applyAlignment="1">
      <alignment horizontal="center" wrapText="1"/>
    </xf>
    <xf numFmtId="0" fontId="7" fillId="25" borderId="67" xfId="0" applyFont="1" applyFill="1" applyBorder="1" applyAlignment="1" applyProtection="1">
      <alignment horizontal="center" vertical="center"/>
    </xf>
    <xf numFmtId="0" fontId="57" fillId="31" borderId="19" xfId="0" applyFont="1" applyFill="1" applyBorder="1" applyAlignment="1">
      <alignment horizontal="center"/>
    </xf>
    <xf numFmtId="0" fontId="7" fillId="32" borderId="22" xfId="0" applyFont="1" applyFill="1" applyBorder="1" applyAlignment="1" applyProtection="1">
      <alignment horizontal="center" vertical="center"/>
      <protection locked="0"/>
    </xf>
    <xf numFmtId="0" fontId="57" fillId="31" borderId="17" xfId="0" applyFont="1" applyFill="1" applyBorder="1" applyAlignment="1">
      <alignment horizontal="center" wrapText="1"/>
    </xf>
    <xf numFmtId="169" fontId="7" fillId="25" borderId="67" xfId="32" applyNumberFormat="1" applyFont="1" applyFill="1" applyBorder="1" applyAlignment="1" applyProtection="1">
      <alignment horizontal="center" vertical="center"/>
    </xf>
    <xf numFmtId="0" fontId="5" fillId="25" borderId="45" xfId="0" applyFont="1" applyFill="1" applyBorder="1" applyAlignment="1" applyProtection="1">
      <alignment horizontal="center" vertical="center" wrapText="1"/>
    </xf>
    <xf numFmtId="166" fontId="7" fillId="25" borderId="61" xfId="0" applyNumberFormat="1" applyFont="1" applyFill="1" applyBorder="1" applyAlignment="1" applyProtection="1">
      <alignment horizontal="center" vertical="center"/>
    </xf>
    <xf numFmtId="0" fontId="5" fillId="25" borderId="67" xfId="0" applyFont="1" applyFill="1" applyBorder="1" applyAlignment="1" applyProtection="1">
      <alignment horizontal="center" vertical="center" wrapText="1"/>
    </xf>
    <xf numFmtId="0" fontId="5" fillId="25" borderId="20" xfId="0" applyFont="1" applyFill="1" applyBorder="1" applyAlignment="1" applyProtection="1">
      <alignment horizontal="center" vertical="center" wrapText="1"/>
    </xf>
    <xf numFmtId="0" fontId="7" fillId="28" borderId="13" xfId="0" applyFont="1" applyFill="1" applyBorder="1" applyAlignment="1">
      <alignment horizontal="left" wrapText="1"/>
    </xf>
    <xf numFmtId="0" fontId="5" fillId="25" borderId="39" xfId="0" applyFont="1" applyFill="1" applyBorder="1" applyAlignment="1" applyProtection="1">
      <alignment horizontal="center" vertical="center" wrapText="1"/>
      <protection locked="0"/>
    </xf>
    <xf numFmtId="0" fontId="7" fillId="27" borderId="39" xfId="0" applyFont="1" applyFill="1" applyBorder="1" applyAlignment="1" applyProtection="1">
      <alignment horizontal="center" vertical="center" wrapText="1"/>
      <protection locked="0"/>
    </xf>
    <xf numFmtId="0" fontId="30" fillId="25" borderId="0" xfId="0" applyFont="1" applyFill="1" applyAlignment="1" applyProtection="1">
      <alignment horizontal="center"/>
    </xf>
    <xf numFmtId="0" fontId="30" fillId="25" borderId="0" xfId="0" applyFont="1" applyFill="1" applyAlignment="1" applyProtection="1">
      <alignment horizontal="center" vertical="center"/>
    </xf>
    <xf numFmtId="0" fontId="30" fillId="25" borderId="0" xfId="0" applyFont="1" applyFill="1" applyProtection="1"/>
    <xf numFmtId="0" fontId="30" fillId="25" borderId="0" xfId="0" applyFont="1" applyFill="1"/>
    <xf numFmtId="0" fontId="30" fillId="31" borderId="0" xfId="0" applyFont="1" applyFill="1"/>
    <xf numFmtId="0" fontId="30" fillId="0" borderId="0" xfId="0" applyFont="1"/>
    <xf numFmtId="0" fontId="30" fillId="31" borderId="28" xfId="0" applyFont="1" applyFill="1" applyBorder="1"/>
    <xf numFmtId="0" fontId="30" fillId="31" borderId="0" xfId="0" applyFont="1" applyFill="1" applyBorder="1"/>
    <xf numFmtId="0" fontId="30" fillId="25" borderId="0" xfId="0" applyFont="1" applyFill="1" applyAlignment="1">
      <alignment horizontal="center" vertical="center"/>
    </xf>
    <xf numFmtId="0" fontId="30" fillId="25" borderId="0" xfId="0" applyFont="1" applyFill="1" applyAlignment="1">
      <alignment vertical="center"/>
    </xf>
    <xf numFmtId="0" fontId="30" fillId="25" borderId="0" xfId="0" applyFont="1" applyFill="1" applyBorder="1" applyAlignment="1">
      <alignment horizontal="center" vertical="center"/>
    </xf>
    <xf numFmtId="0" fontId="30" fillId="31" borderId="28" xfId="0" applyFont="1" applyFill="1" applyBorder="1" applyAlignment="1">
      <alignment vertical="center"/>
    </xf>
    <xf numFmtId="0" fontId="30" fillId="31" borderId="28" xfId="0" applyFont="1" applyFill="1" applyBorder="1" applyAlignment="1">
      <alignment horizontal="center" vertical="center"/>
    </xf>
    <xf numFmtId="0" fontId="30" fillId="25" borderId="49" xfId="0" applyFont="1" applyFill="1" applyBorder="1" applyAlignment="1" applyProtection="1">
      <alignment horizontal="center" vertical="center" wrapText="1"/>
    </xf>
    <xf numFmtId="167" fontId="7" fillId="25" borderId="0" xfId="0" applyNumberFormat="1" applyFont="1" applyFill="1" applyProtection="1"/>
    <xf numFmtId="166" fontId="0" fillId="31" borderId="26" xfId="0" applyNumberFormat="1" applyFill="1" applyBorder="1" applyAlignment="1">
      <alignment horizontal="center"/>
    </xf>
    <xf numFmtId="0" fontId="5" fillId="25" borderId="81" xfId="0" applyFont="1" applyFill="1" applyBorder="1" applyAlignment="1" applyProtection="1">
      <alignment horizontal="center" vertical="center" wrapText="1"/>
    </xf>
    <xf numFmtId="0" fontId="5" fillId="25" borderId="81" xfId="0" applyFont="1" applyFill="1" applyBorder="1" applyAlignment="1" applyProtection="1">
      <alignment horizontal="center" vertical="center"/>
    </xf>
    <xf numFmtId="9" fontId="56" fillId="26" borderId="32" xfId="32" applyFont="1" applyFill="1" applyBorder="1" applyAlignment="1" applyProtection="1">
      <alignment horizontal="center" vertical="center"/>
      <protection locked="0"/>
    </xf>
    <xf numFmtId="0" fontId="7" fillId="25" borderId="44" xfId="0" applyFont="1" applyFill="1" applyBorder="1" applyProtection="1"/>
    <xf numFmtId="0" fontId="7" fillId="25" borderId="15" xfId="0" applyFont="1" applyFill="1" applyBorder="1" applyAlignment="1" applyProtection="1">
      <alignment horizontal="center"/>
    </xf>
    <xf numFmtId="0" fontId="7" fillId="25" borderId="85" xfId="0" applyFont="1" applyFill="1" applyBorder="1" applyAlignment="1" applyProtection="1">
      <alignment horizontal="center"/>
    </xf>
    <xf numFmtId="0" fontId="0" fillId="31" borderId="17" xfId="0" applyFill="1" applyBorder="1"/>
    <xf numFmtId="0" fontId="0" fillId="31" borderId="19" xfId="0" applyFill="1" applyBorder="1"/>
    <xf numFmtId="0" fontId="7" fillId="25" borderId="13" xfId="0" applyFont="1" applyFill="1" applyBorder="1" applyAlignment="1" applyProtection="1">
      <alignment horizontal="center" vertical="center"/>
    </xf>
    <xf numFmtId="0" fontId="7" fillId="39" borderId="13" xfId="0" applyFont="1" applyFill="1" applyBorder="1" applyAlignment="1">
      <alignment wrapText="1"/>
    </xf>
    <xf numFmtId="0" fontId="7" fillId="31" borderId="12" xfId="0" applyFont="1" applyFill="1" applyBorder="1" applyProtection="1"/>
    <xf numFmtId="166" fontId="0" fillId="31" borderId="20" xfId="0" applyNumberFormat="1" applyFill="1" applyBorder="1" applyAlignment="1">
      <alignment horizontal="center"/>
    </xf>
    <xf numFmtId="166" fontId="0" fillId="31" borderId="14" xfId="0" applyNumberFormat="1" applyFill="1" applyBorder="1" applyAlignment="1">
      <alignment horizontal="center"/>
    </xf>
    <xf numFmtId="0" fontId="7" fillId="25" borderId="87" xfId="0" applyFont="1" applyFill="1" applyBorder="1" applyProtection="1"/>
    <xf numFmtId="169" fontId="7" fillId="25" borderId="19" xfId="0" applyNumberFormat="1" applyFont="1" applyFill="1" applyBorder="1" applyAlignment="1" applyProtection="1">
      <alignment horizontal="center"/>
    </xf>
    <xf numFmtId="166" fontId="7" fillId="25" borderId="87" xfId="0" applyNumberFormat="1" applyFont="1" applyFill="1" applyBorder="1" applyAlignment="1" applyProtection="1">
      <alignment horizontal="center"/>
    </xf>
    <xf numFmtId="166" fontId="7" fillId="25" borderId="86" xfId="0" applyNumberFormat="1" applyFont="1" applyFill="1" applyBorder="1" applyAlignment="1" applyProtection="1">
      <alignment horizontal="center"/>
    </xf>
    <xf numFmtId="2" fontId="7" fillId="25" borderId="25" xfId="0" applyNumberFormat="1" applyFont="1" applyFill="1" applyBorder="1" applyAlignment="1" applyProtection="1">
      <alignment horizontal="center"/>
    </xf>
    <xf numFmtId="0" fontId="7" fillId="25" borderId="86" xfId="0" applyFont="1" applyFill="1" applyBorder="1" applyProtection="1"/>
    <xf numFmtId="0" fontId="7" fillId="25" borderId="12" xfId="0" applyFont="1" applyFill="1" applyBorder="1" applyProtection="1"/>
    <xf numFmtId="9" fontId="7" fillId="25" borderId="12" xfId="32" applyFont="1" applyFill="1" applyBorder="1" applyAlignment="1" applyProtection="1">
      <alignment horizontal="center"/>
    </xf>
    <xf numFmtId="0" fontId="0" fillId="0" borderId="0" xfId="0" applyFill="1" applyBorder="1" applyAlignment="1">
      <alignment horizontal="center"/>
    </xf>
    <xf numFmtId="0" fontId="2" fillId="0" borderId="0" xfId="0" applyFont="1" applyFill="1" applyBorder="1"/>
    <xf numFmtId="14" fontId="2" fillId="0" borderId="0" xfId="0" applyNumberFormat="1" applyFont="1" applyFill="1" applyBorder="1"/>
    <xf numFmtId="0" fontId="0" fillId="0" borderId="0" xfId="0" quotePrefix="1" applyFill="1" applyBorder="1" applyAlignment="1">
      <alignment horizontal="center"/>
    </xf>
    <xf numFmtId="0" fontId="0" fillId="25" borderId="92" xfId="0" applyFill="1" applyBorder="1"/>
    <xf numFmtId="0" fontId="7" fillId="32" borderId="29" xfId="0" applyFont="1" applyFill="1" applyBorder="1" applyAlignment="1" applyProtection="1">
      <alignment horizontal="center"/>
    </xf>
    <xf numFmtId="2" fontId="7" fillId="25" borderId="86" xfId="0" applyNumberFormat="1" applyFont="1" applyFill="1" applyBorder="1" applyAlignment="1" applyProtection="1">
      <alignment horizontal="center"/>
    </xf>
    <xf numFmtId="0" fontId="8" fillId="25" borderId="60" xfId="0" applyFont="1" applyFill="1" applyBorder="1" applyAlignment="1" applyProtection="1">
      <alignment horizontal="center" vertical="center"/>
    </xf>
    <xf numFmtId="0" fontId="7" fillId="25" borderId="27" xfId="0" applyFont="1" applyFill="1" applyBorder="1" applyAlignment="1" applyProtection="1">
      <alignment horizontal="center"/>
    </xf>
    <xf numFmtId="0" fontId="7" fillId="25" borderId="28" xfId="0" applyFont="1" applyFill="1" applyBorder="1" applyAlignment="1" applyProtection="1">
      <alignment horizontal="center"/>
    </xf>
    <xf numFmtId="0" fontId="7" fillId="25" borderId="17" xfId="0" applyFont="1" applyFill="1" applyBorder="1" applyAlignment="1" applyProtection="1">
      <alignment horizontal="center"/>
    </xf>
    <xf numFmtId="0" fontId="7" fillId="25" borderId="19" xfId="0" applyFont="1" applyFill="1" applyBorder="1" applyAlignment="1" applyProtection="1">
      <alignment horizontal="center"/>
    </xf>
    <xf numFmtId="0" fontId="7" fillId="25" borderId="64" xfId="0" applyFont="1" applyFill="1" applyBorder="1" applyAlignment="1" applyProtection="1">
      <alignment vertical="center"/>
    </xf>
    <xf numFmtId="0" fontId="7" fillId="25" borderId="44" xfId="0" applyFont="1" applyFill="1" applyBorder="1" applyAlignment="1" applyProtection="1">
      <alignment vertical="center"/>
    </xf>
    <xf numFmtId="0" fontId="7" fillId="25" borderId="17" xfId="0" applyFont="1" applyFill="1" applyBorder="1" applyAlignment="1" applyProtection="1">
      <alignment vertical="center"/>
    </xf>
    <xf numFmtId="0" fontId="5" fillId="25" borderId="39" xfId="0" applyFont="1" applyFill="1" applyBorder="1" applyAlignment="1" applyProtection="1">
      <alignment horizontal="center" vertical="center"/>
    </xf>
    <xf numFmtId="0" fontId="5" fillId="25" borderId="31" xfId="0" applyFont="1" applyFill="1" applyBorder="1" applyAlignment="1" applyProtection="1">
      <alignment horizontal="center" vertical="center"/>
    </xf>
    <xf numFmtId="0" fontId="7" fillId="25" borderId="39" xfId="0" applyFont="1" applyFill="1" applyBorder="1" applyAlignment="1" applyProtection="1">
      <alignment horizontal="left" vertical="center"/>
    </xf>
    <xf numFmtId="0" fontId="7" fillId="25" borderId="30" xfId="0" applyFont="1" applyFill="1" applyBorder="1" applyAlignment="1" applyProtection="1">
      <alignment horizontal="left" vertical="center"/>
    </xf>
    <xf numFmtId="0" fontId="7" fillId="25" borderId="44" xfId="0" applyFont="1" applyFill="1" applyBorder="1" applyAlignment="1" applyProtection="1">
      <alignment horizontal="left" vertical="center"/>
    </xf>
    <xf numFmtId="0" fontId="7" fillId="25" borderId="61" xfId="0" applyFont="1" applyFill="1" applyBorder="1" applyAlignment="1" applyProtection="1">
      <alignment vertical="center"/>
    </xf>
    <xf numFmtId="0" fontId="5" fillId="25" borderId="39" xfId="0" applyFont="1" applyFill="1" applyBorder="1" applyAlignment="1" applyProtection="1">
      <alignment horizontal="center" vertical="center" wrapText="1"/>
      <protection locked="0"/>
    </xf>
    <xf numFmtId="0" fontId="5" fillId="25" borderId="31" xfId="0" applyFont="1" applyFill="1" applyBorder="1" applyAlignment="1" applyProtection="1">
      <alignment horizontal="center" vertical="center" wrapText="1"/>
      <protection locked="0"/>
    </xf>
    <xf numFmtId="0" fontId="5" fillId="25" borderId="48" xfId="0" applyFont="1" applyFill="1" applyBorder="1" applyAlignment="1" applyProtection="1">
      <alignment horizontal="center" vertical="center"/>
    </xf>
    <xf numFmtId="0" fontId="5" fillId="25" borderId="49" xfId="0" applyFont="1" applyFill="1" applyBorder="1" applyAlignment="1" applyProtection="1">
      <alignment horizontal="center" vertical="center"/>
    </xf>
    <xf numFmtId="0" fontId="7" fillId="25" borderId="48" xfId="0" applyFont="1" applyFill="1" applyBorder="1" applyAlignment="1" applyProtection="1">
      <alignment horizontal="left" vertical="center"/>
    </xf>
    <xf numFmtId="0" fontId="7" fillId="25" borderId="45" xfId="0" applyFont="1" applyFill="1" applyBorder="1" applyAlignment="1" applyProtection="1">
      <alignment horizontal="left" vertical="center"/>
    </xf>
    <xf numFmtId="0" fontId="7" fillId="25" borderId="46" xfId="0" applyFont="1" applyFill="1" applyBorder="1" applyAlignment="1" applyProtection="1">
      <alignment horizontal="left" vertical="center"/>
    </xf>
    <xf numFmtId="0" fontId="5" fillId="25" borderId="39" xfId="0" applyFont="1" applyFill="1" applyBorder="1" applyAlignment="1" applyProtection="1">
      <alignment horizontal="left" vertical="center" wrapText="1"/>
    </xf>
    <xf numFmtId="0" fontId="5" fillId="25" borderId="30" xfId="0" applyFont="1" applyFill="1" applyBorder="1" applyAlignment="1" applyProtection="1">
      <alignment horizontal="left" vertical="center" wrapText="1"/>
    </xf>
    <xf numFmtId="0" fontId="5" fillId="25" borderId="44" xfId="0" applyFont="1" applyFill="1" applyBorder="1" applyAlignment="1" applyProtection="1">
      <alignment horizontal="left" vertical="center" wrapText="1"/>
    </xf>
    <xf numFmtId="0" fontId="7" fillId="25" borderId="93" xfId="0" applyFont="1" applyFill="1" applyBorder="1" applyProtection="1"/>
    <xf numFmtId="0" fontId="7" fillId="25" borderId="87" xfId="0" applyFont="1" applyFill="1" applyBorder="1" applyAlignment="1" applyProtection="1">
      <alignment horizontal="center"/>
    </xf>
    <xf numFmtId="0" fontId="7" fillId="25" borderId="93" xfId="0" applyFont="1" applyFill="1" applyBorder="1" applyAlignment="1" applyProtection="1">
      <alignment horizontal="center"/>
    </xf>
    <xf numFmtId="0" fontId="22" fillId="25" borderId="94" xfId="0" applyFont="1" applyFill="1" applyBorder="1" applyAlignment="1">
      <alignment horizontal="center" wrapText="1"/>
    </xf>
    <xf numFmtId="0" fontId="22" fillId="31" borderId="94" xfId="0" applyFont="1" applyFill="1" applyBorder="1" applyAlignment="1">
      <alignment horizontal="center" wrapText="1"/>
    </xf>
    <xf numFmtId="0" fontId="22" fillId="25" borderId="94" xfId="0" applyFont="1" applyFill="1" applyBorder="1" applyAlignment="1">
      <alignment horizontal="left" wrapText="1"/>
    </xf>
    <xf numFmtId="0" fontId="7" fillId="28" borderId="94" xfId="0" applyFont="1" applyFill="1" applyBorder="1" applyAlignment="1">
      <alignment wrapText="1"/>
    </xf>
    <xf numFmtId="0" fontId="7" fillId="32" borderId="94" xfId="0" applyFont="1" applyFill="1" applyBorder="1" applyAlignment="1">
      <alignment wrapText="1"/>
    </xf>
    <xf numFmtId="0" fontId="7" fillId="29" borderId="94" xfId="0" applyFont="1" applyFill="1" applyBorder="1" applyAlignment="1">
      <alignment wrapText="1"/>
    </xf>
    <xf numFmtId="0" fontId="7" fillId="25" borderId="92" xfId="0" applyFont="1" applyFill="1" applyBorder="1" applyAlignment="1" applyProtection="1">
      <alignment horizontal="center"/>
    </xf>
    <xf numFmtId="0" fontId="56" fillId="31" borderId="39" xfId="0" applyFont="1" applyFill="1" applyBorder="1" applyAlignment="1" applyProtection="1">
      <alignment horizontal="center" vertical="center"/>
      <protection locked="0"/>
    </xf>
    <xf numFmtId="0" fontId="8" fillId="25" borderId="67" xfId="0" applyFont="1" applyFill="1" applyBorder="1" applyAlignment="1" applyProtection="1">
      <alignment horizontal="center" vertical="center"/>
    </xf>
    <xf numFmtId="0" fontId="8" fillId="25" borderId="21" xfId="0" applyFont="1" applyFill="1" applyBorder="1" applyAlignment="1" applyProtection="1">
      <alignment horizontal="center" vertical="center"/>
    </xf>
    <xf numFmtId="0" fontId="11" fillId="25" borderId="14" xfId="0" applyFont="1" applyFill="1" applyBorder="1" applyAlignment="1" applyProtection="1">
      <alignment vertical="center"/>
    </xf>
    <xf numFmtId="0" fontId="0" fillId="0" borderId="87" xfId="0" applyBorder="1"/>
    <xf numFmtId="0" fontId="0" fillId="0" borderId="70" xfId="0" applyBorder="1"/>
    <xf numFmtId="0" fontId="57" fillId="0" borderId="27" xfId="0" applyFont="1" applyBorder="1" applyAlignment="1">
      <alignment vertical="center"/>
    </xf>
    <xf numFmtId="0" fontId="57" fillId="0" borderId="0" xfId="0" applyFont="1" applyBorder="1" applyAlignment="1">
      <alignment vertical="center"/>
    </xf>
    <xf numFmtId="9" fontId="57" fillId="0" borderId="0" xfId="0" applyNumberFormat="1" applyFont="1" applyBorder="1" applyAlignment="1">
      <alignment vertical="center"/>
    </xf>
    <xf numFmtId="0" fontId="57" fillId="0" borderId="17" xfId="0" applyFont="1" applyBorder="1" applyAlignment="1">
      <alignment vertical="center"/>
    </xf>
    <xf numFmtId="0" fontId="57" fillId="0" borderId="18" xfId="0" applyFont="1" applyBorder="1" applyAlignment="1">
      <alignment vertical="center"/>
    </xf>
    <xf numFmtId="0" fontId="7" fillId="25" borderId="0" xfId="0" applyFont="1" applyFill="1"/>
    <xf numFmtId="0" fontId="5" fillId="25" borderId="0" xfId="0" applyFont="1" applyFill="1" applyAlignment="1">
      <alignment horizontal="center" vertical="center"/>
    </xf>
    <xf numFmtId="0" fontId="5" fillId="25" borderId="0" xfId="0" applyFont="1" applyFill="1"/>
    <xf numFmtId="0" fontId="5" fillId="25" borderId="92" xfId="0" applyFont="1" applyFill="1" applyBorder="1" applyAlignment="1">
      <alignment wrapText="1"/>
    </xf>
    <xf numFmtId="0" fontId="5" fillId="25" borderId="92" xfId="0" applyFont="1" applyFill="1" applyBorder="1"/>
    <xf numFmtId="0" fontId="5" fillId="25" borderId="25" xfId="0" applyFont="1" applyFill="1" applyBorder="1"/>
    <xf numFmtId="0" fontId="5" fillId="25" borderId="12" xfId="0" applyFont="1" applyFill="1" applyBorder="1"/>
    <xf numFmtId="0" fontId="5" fillId="25" borderId="87" xfId="0" applyFont="1" applyFill="1" applyBorder="1"/>
    <xf numFmtId="0" fontId="5" fillId="25" borderId="85" xfId="0" applyFont="1" applyFill="1" applyBorder="1"/>
    <xf numFmtId="0" fontId="5" fillId="25" borderId="27" xfId="0" applyFont="1" applyFill="1" applyBorder="1"/>
    <xf numFmtId="0" fontId="5" fillId="25" borderId="28" xfId="0" applyFont="1" applyFill="1" applyBorder="1"/>
    <xf numFmtId="0" fontId="5" fillId="25" borderId="29" xfId="0" applyFont="1" applyFill="1" applyBorder="1"/>
    <xf numFmtId="0" fontId="5" fillId="25" borderId="0" xfId="0" applyFont="1" applyFill="1" applyAlignment="1">
      <alignment wrapText="1"/>
    </xf>
    <xf numFmtId="0" fontId="5" fillId="25" borderId="0" xfId="0" applyFont="1" applyFill="1" applyBorder="1" applyAlignment="1">
      <alignment horizontal="center" vertical="center"/>
    </xf>
    <xf numFmtId="0" fontId="5" fillId="25" borderId="0" xfId="0" applyFont="1" applyFill="1" applyBorder="1"/>
    <xf numFmtId="0" fontId="8" fillId="28" borderId="13" xfId="0" applyFont="1" applyFill="1" applyBorder="1" applyAlignment="1">
      <alignment wrapText="1"/>
    </xf>
    <xf numFmtId="0" fontId="17" fillId="25" borderId="0" xfId="0" applyFont="1" applyFill="1" applyBorder="1"/>
    <xf numFmtId="0" fontId="7" fillId="31" borderId="0" xfId="0" applyFont="1" applyFill="1" applyBorder="1"/>
    <xf numFmtId="0" fontId="0" fillId="25" borderId="0" xfId="0" applyFill="1" applyAlignment="1">
      <alignment vertical="center"/>
    </xf>
    <xf numFmtId="0" fontId="5" fillId="25" borderId="17" xfId="0" applyFont="1" applyFill="1" applyBorder="1" applyAlignment="1">
      <alignment vertical="center"/>
    </xf>
    <xf numFmtId="0" fontId="5" fillId="25" borderId="19" xfId="0" applyFont="1" applyFill="1" applyBorder="1" applyAlignment="1">
      <alignment vertical="center"/>
    </xf>
    <xf numFmtId="0" fontId="5" fillId="25" borderId="0" xfId="0" applyFont="1" applyFill="1" applyAlignment="1">
      <alignment vertical="center"/>
    </xf>
    <xf numFmtId="0" fontId="5" fillId="25" borderId="25" xfId="0" applyFont="1" applyFill="1" applyBorder="1" applyAlignment="1">
      <alignment vertical="center"/>
    </xf>
    <xf numFmtId="0" fontId="7" fillId="25" borderId="0" xfId="0" applyFont="1" applyFill="1" applyAlignment="1">
      <alignment vertical="center"/>
    </xf>
    <xf numFmtId="0" fontId="5" fillId="25" borderId="92" xfId="0" applyFont="1" applyFill="1" applyBorder="1" applyAlignment="1">
      <alignment vertical="center"/>
    </xf>
    <xf numFmtId="0" fontId="7" fillId="25" borderId="92" xfId="0" applyFont="1" applyFill="1" applyBorder="1" applyProtection="1"/>
    <xf numFmtId="9" fontId="7" fillId="25" borderId="0" xfId="0" applyNumberFormat="1" applyFont="1" applyFill="1" applyAlignment="1" applyProtection="1">
      <alignment vertical="center"/>
    </xf>
    <xf numFmtId="175" fontId="7" fillId="25" borderId="28" xfId="0" applyNumberFormat="1" applyFont="1" applyFill="1" applyBorder="1" applyAlignment="1" applyProtection="1">
      <alignment vertical="center"/>
    </xf>
    <xf numFmtId="9" fontId="0" fillId="0" borderId="18" xfId="0" applyNumberFormat="1" applyBorder="1" applyAlignment="1">
      <alignment vertical="center"/>
    </xf>
    <xf numFmtId="9" fontId="7" fillId="25" borderId="18" xfId="0" applyNumberFormat="1" applyFont="1" applyFill="1" applyBorder="1" applyAlignment="1" applyProtection="1">
      <alignment vertical="center"/>
    </xf>
    <xf numFmtId="174" fontId="7" fillId="25" borderId="19" xfId="0" applyNumberFormat="1" applyFont="1" applyFill="1" applyBorder="1" applyAlignment="1" applyProtection="1">
      <alignment vertical="center"/>
    </xf>
    <xf numFmtId="164" fontId="56" fillId="31" borderId="27" xfId="0" applyNumberFormat="1" applyFont="1" applyFill="1" applyBorder="1" applyAlignment="1" applyProtection="1">
      <alignment horizontal="center" vertical="center"/>
      <protection locked="0"/>
    </xf>
    <xf numFmtId="164" fontId="55" fillId="30" borderId="80" xfId="0" applyNumberFormat="1" applyFont="1" applyFill="1" applyBorder="1" applyAlignment="1" applyProtection="1">
      <alignment horizontal="center" vertical="center"/>
      <protection locked="0"/>
    </xf>
    <xf numFmtId="0" fontId="7" fillId="25" borderId="0" xfId="0" applyFont="1" applyFill="1" applyAlignment="1" applyProtection="1">
      <alignment horizontal="center"/>
    </xf>
    <xf numFmtId="0" fontId="7" fillId="25" borderId="0" xfId="0" applyFont="1" applyFill="1" applyBorder="1" applyAlignment="1" applyProtection="1">
      <alignment horizontal="center"/>
    </xf>
    <xf numFmtId="0" fontId="67" fillId="25" borderId="0" xfId="0" applyFont="1" applyFill="1" applyProtection="1"/>
    <xf numFmtId="0" fontId="7" fillId="25" borderId="52" xfId="0" applyFont="1" applyFill="1" applyBorder="1" applyAlignment="1" applyProtection="1">
      <alignment vertical="center"/>
    </xf>
    <xf numFmtId="0" fontId="5" fillId="25" borderId="37" xfId="0" applyFont="1" applyFill="1" applyBorder="1" applyAlignment="1" applyProtection="1">
      <alignment horizontal="center" vertical="center"/>
    </xf>
    <xf numFmtId="0" fontId="7" fillId="25" borderId="64" xfId="0" applyFont="1" applyFill="1" applyBorder="1" applyAlignment="1" applyProtection="1">
      <alignment vertical="center"/>
    </xf>
    <xf numFmtId="0" fontId="7" fillId="25" borderId="63" xfId="0" applyFont="1" applyFill="1" applyBorder="1" applyAlignment="1" applyProtection="1">
      <alignment vertical="center"/>
    </xf>
    <xf numFmtId="0" fontId="7" fillId="25" borderId="35" xfId="0" applyFont="1" applyFill="1" applyBorder="1" applyAlignment="1" applyProtection="1">
      <alignment vertical="center"/>
    </xf>
    <xf numFmtId="0" fontId="7" fillId="25" borderId="62" xfId="0" applyFont="1" applyFill="1" applyBorder="1" applyAlignment="1" applyProtection="1">
      <alignment vertical="center"/>
    </xf>
    <xf numFmtId="0" fontId="7" fillId="25" borderId="39" xfId="0" applyFont="1" applyFill="1" applyBorder="1" applyAlignment="1" applyProtection="1">
      <alignment horizontal="left" vertical="center"/>
    </xf>
    <xf numFmtId="0" fontId="5" fillId="25" borderId="39" xfId="0" applyFont="1" applyFill="1" applyBorder="1" applyAlignment="1" applyProtection="1">
      <alignment horizontal="center" vertical="center"/>
    </xf>
    <xf numFmtId="0" fontId="7" fillId="25" borderId="14" xfId="0" applyFont="1" applyFill="1" applyBorder="1" applyAlignment="1" applyProtection="1">
      <alignment vertical="center"/>
      <protection locked="0"/>
    </xf>
    <xf numFmtId="0" fontId="7" fillId="25" borderId="0" xfId="0" applyFont="1" applyFill="1" applyBorder="1" applyAlignment="1" applyProtection="1">
      <alignment vertical="center"/>
      <protection locked="0"/>
    </xf>
    <xf numFmtId="0" fontId="7" fillId="25" borderId="70" xfId="0" applyFont="1" applyFill="1" applyBorder="1" applyAlignment="1" applyProtection="1">
      <alignment vertical="center"/>
      <protection locked="0"/>
    </xf>
    <xf numFmtId="0" fontId="8" fillId="25" borderId="22" xfId="0" applyFont="1" applyFill="1" applyBorder="1" applyAlignment="1" applyProtection="1">
      <alignment horizontal="center" vertical="center"/>
      <protection locked="0"/>
    </xf>
    <xf numFmtId="0" fontId="7" fillId="25" borderId="63" xfId="0" applyFont="1" applyFill="1" applyBorder="1" applyAlignment="1" applyProtection="1">
      <alignment vertical="center"/>
      <protection locked="0"/>
    </xf>
    <xf numFmtId="0" fontId="7" fillId="25" borderId="43" xfId="0" applyFont="1" applyFill="1" applyBorder="1" applyAlignment="1" applyProtection="1">
      <alignment vertical="center"/>
      <protection locked="0"/>
    </xf>
    <xf numFmtId="0" fontId="7" fillId="25" borderId="0" xfId="0" applyFont="1" applyFill="1" applyProtection="1">
      <protection locked="0"/>
    </xf>
    <xf numFmtId="0" fontId="7" fillId="25" borderId="70" xfId="0" applyFont="1" applyFill="1" applyBorder="1" applyProtection="1">
      <protection locked="0"/>
    </xf>
    <xf numFmtId="0" fontId="7" fillId="25" borderId="93" xfId="0" applyFont="1" applyFill="1" applyBorder="1" applyProtection="1">
      <protection locked="0"/>
    </xf>
    <xf numFmtId="0" fontId="28" fillId="25" borderId="13" xfId="0" applyFont="1" applyFill="1" applyBorder="1" applyAlignment="1" applyProtection="1">
      <alignment vertical="center"/>
      <protection locked="0"/>
    </xf>
    <xf numFmtId="0" fontId="5" fillId="25" borderId="39" xfId="0" applyFont="1" applyFill="1" applyBorder="1" applyAlignment="1" applyProtection="1">
      <alignment horizontal="center" vertical="center"/>
      <protection locked="0"/>
    </xf>
    <xf numFmtId="2" fontId="7" fillId="35" borderId="81" xfId="0" applyNumberFormat="1" applyFont="1" applyFill="1" applyBorder="1" applyAlignment="1" applyProtection="1">
      <alignment horizontal="center" vertical="center"/>
      <protection locked="0"/>
    </xf>
    <xf numFmtId="0" fontId="7" fillId="25" borderId="0" xfId="0" applyFont="1" applyFill="1" applyBorder="1" applyProtection="1">
      <protection locked="0"/>
    </xf>
    <xf numFmtId="0" fontId="7" fillId="25" borderId="28" xfId="0" applyFont="1" applyFill="1" applyBorder="1" applyProtection="1">
      <protection locked="0"/>
    </xf>
    <xf numFmtId="0" fontId="7" fillId="25" borderId="45" xfId="0" applyFont="1" applyFill="1" applyBorder="1" applyProtection="1">
      <protection locked="0"/>
    </xf>
    <xf numFmtId="0" fontId="7" fillId="25" borderId="16" xfId="0" applyFont="1" applyFill="1" applyBorder="1" applyProtection="1">
      <protection locked="0"/>
    </xf>
    <xf numFmtId="0" fontId="7" fillId="25" borderId="44" xfId="0" applyFont="1" applyFill="1" applyBorder="1" applyAlignment="1" applyProtection="1">
      <alignment vertical="center"/>
      <protection locked="0"/>
    </xf>
    <xf numFmtId="0" fontId="5" fillId="25" borderId="53" xfId="0" applyFont="1" applyFill="1" applyBorder="1" applyAlignment="1" applyProtection="1">
      <alignment horizontal="center" vertical="center"/>
      <protection locked="0"/>
    </xf>
    <xf numFmtId="0" fontId="7" fillId="25" borderId="76" xfId="0" applyFont="1" applyFill="1" applyBorder="1" applyAlignment="1" applyProtection="1">
      <alignment vertical="center"/>
      <protection locked="0"/>
    </xf>
    <xf numFmtId="2" fontId="7" fillId="31" borderId="77" xfId="0" applyNumberFormat="1" applyFont="1" applyFill="1" applyBorder="1" applyAlignment="1" applyProtection="1">
      <alignment horizontal="center" vertical="center"/>
      <protection locked="0"/>
    </xf>
    <xf numFmtId="0" fontId="7" fillId="25" borderId="95" xfId="0" applyFont="1" applyFill="1" applyBorder="1" applyAlignment="1" applyProtection="1">
      <alignment vertical="center"/>
      <protection locked="0"/>
    </xf>
    <xf numFmtId="0" fontId="7" fillId="25" borderId="62" xfId="0" applyFont="1" applyFill="1" applyBorder="1" applyAlignment="1" applyProtection="1">
      <alignment vertical="center"/>
      <protection locked="0"/>
    </xf>
    <xf numFmtId="0" fontId="7" fillId="25" borderId="64" xfId="0" applyFont="1" applyFill="1" applyBorder="1" applyProtection="1">
      <protection locked="0"/>
    </xf>
    <xf numFmtId="0" fontId="7" fillId="25" borderId="30" xfId="0" applyFont="1" applyFill="1" applyBorder="1" applyProtection="1">
      <protection locked="0"/>
    </xf>
    <xf numFmtId="165" fontId="5" fillId="25" borderId="0" xfId="0" applyNumberFormat="1" applyFont="1" applyFill="1" applyBorder="1" applyAlignment="1" applyProtection="1">
      <alignment horizontal="center" vertical="center"/>
      <protection locked="0"/>
    </xf>
    <xf numFmtId="0" fontId="24" fillId="25" borderId="28" xfId="0" applyFont="1" applyFill="1" applyBorder="1" applyAlignment="1" applyProtection="1">
      <alignment horizontal="center" vertical="center" wrapText="1"/>
      <protection locked="0"/>
    </xf>
    <xf numFmtId="0" fontId="7" fillId="25" borderId="76" xfId="0" applyFont="1" applyFill="1" applyBorder="1" applyProtection="1">
      <protection locked="0"/>
    </xf>
    <xf numFmtId="0" fontId="7" fillId="25" borderId="54" xfId="0" applyFont="1" applyFill="1" applyBorder="1" applyProtection="1">
      <protection locked="0"/>
    </xf>
    <xf numFmtId="0" fontId="27" fillId="25" borderId="14" xfId="0" applyFont="1" applyFill="1" applyBorder="1" applyProtection="1">
      <protection locked="0"/>
    </xf>
    <xf numFmtId="0" fontId="19" fillId="25" borderId="14" xfId="0" applyFont="1" applyFill="1" applyBorder="1" applyProtection="1">
      <protection locked="0"/>
    </xf>
    <xf numFmtId="0" fontId="7" fillId="35" borderId="21" xfId="0" applyFont="1" applyFill="1" applyBorder="1" applyAlignment="1" applyProtection="1">
      <alignment horizontal="center" vertical="center"/>
      <protection locked="0"/>
    </xf>
    <xf numFmtId="0" fontId="7" fillId="25" borderId="14" xfId="0" applyFont="1" applyFill="1" applyBorder="1" applyProtection="1">
      <protection locked="0"/>
    </xf>
    <xf numFmtId="0" fontId="7" fillId="25" borderId="22" xfId="0" applyFont="1" applyFill="1" applyBorder="1" applyProtection="1">
      <protection locked="0"/>
    </xf>
    <xf numFmtId="0" fontId="7" fillId="25" borderId="30" xfId="0" applyFont="1" applyFill="1" applyBorder="1" applyAlignment="1" applyProtection="1">
      <alignment vertical="center"/>
      <protection locked="0"/>
    </xf>
    <xf numFmtId="0" fontId="7" fillId="25" borderId="30" xfId="0" applyFont="1" applyFill="1" applyBorder="1" applyAlignment="1" applyProtection="1">
      <alignment horizontal="left" vertical="center"/>
      <protection locked="0"/>
    </xf>
    <xf numFmtId="0" fontId="7" fillId="25" borderId="30" xfId="0" applyFont="1" applyFill="1" applyBorder="1" applyAlignment="1" applyProtection="1">
      <protection locked="0"/>
    </xf>
    <xf numFmtId="0" fontId="7" fillId="25" borderId="56" xfId="0" applyFont="1" applyFill="1" applyBorder="1" applyAlignment="1" applyProtection="1">
      <alignment horizontal="left" vertical="center"/>
      <protection locked="0"/>
    </xf>
    <xf numFmtId="0" fontId="7" fillId="25" borderId="62" xfId="0" applyFont="1" applyFill="1" applyBorder="1" applyAlignment="1" applyProtection="1">
      <alignment horizontal="left" vertical="center"/>
      <protection locked="0"/>
    </xf>
    <xf numFmtId="2" fontId="7" fillId="31" borderId="80" xfId="0" applyNumberFormat="1" applyFont="1" applyFill="1" applyBorder="1" applyAlignment="1" applyProtection="1">
      <alignment horizontal="center" vertical="center"/>
      <protection locked="0"/>
    </xf>
    <xf numFmtId="0" fontId="7" fillId="25" borderId="44" xfId="0" applyFont="1" applyFill="1" applyBorder="1" applyAlignment="1" applyProtection="1">
      <alignment horizontal="left" vertical="center"/>
      <protection locked="0"/>
    </xf>
    <xf numFmtId="2" fontId="7" fillId="31" borderId="81" xfId="0" applyNumberFormat="1" applyFont="1" applyFill="1" applyBorder="1" applyAlignment="1" applyProtection="1">
      <alignment horizontal="center" vertical="center"/>
      <protection locked="0"/>
    </xf>
    <xf numFmtId="0" fontId="7" fillId="25" borderId="27" xfId="0" applyFont="1" applyFill="1" applyBorder="1" applyAlignment="1" applyProtection="1">
      <alignment vertical="center"/>
      <protection locked="0"/>
    </xf>
    <xf numFmtId="0" fontId="8" fillId="25" borderId="14" xfId="0" applyFont="1" applyFill="1" applyBorder="1" applyAlignment="1" applyProtection="1">
      <alignment horizontal="center"/>
      <protection locked="0"/>
    </xf>
    <xf numFmtId="0" fontId="8" fillId="25" borderId="22" xfId="0" applyFont="1" applyFill="1" applyBorder="1" applyAlignment="1" applyProtection="1">
      <alignment horizontal="center"/>
      <protection locked="0"/>
    </xf>
    <xf numFmtId="0" fontId="8" fillId="25" borderId="70" xfId="0" applyFont="1" applyFill="1" applyBorder="1" applyAlignment="1" applyProtection="1">
      <alignment horizontal="left" vertical="center"/>
      <protection locked="0"/>
    </xf>
    <xf numFmtId="0" fontId="5" fillId="25" borderId="0" xfId="0" applyFont="1" applyFill="1" applyAlignment="1" applyProtection="1">
      <alignment horizontal="left" vertical="top" wrapText="1"/>
      <protection locked="0"/>
    </xf>
    <xf numFmtId="0" fontId="0" fillId="25" borderId="0" xfId="0" applyFill="1" applyProtection="1">
      <protection locked="0"/>
    </xf>
    <xf numFmtId="0" fontId="5" fillId="25" borderId="56" xfId="0" applyFont="1" applyFill="1" applyBorder="1" applyProtection="1">
      <protection locked="0"/>
    </xf>
    <xf numFmtId="0" fontId="5" fillId="25" borderId="36" xfId="0" applyFont="1" applyFill="1" applyBorder="1" applyProtection="1">
      <protection locked="0"/>
    </xf>
    <xf numFmtId="0" fontId="5" fillId="25" borderId="14" xfId="0" applyFont="1" applyFill="1" applyBorder="1" applyProtection="1">
      <protection locked="0"/>
    </xf>
    <xf numFmtId="0" fontId="5" fillId="25" borderId="22" xfId="0" applyFont="1" applyFill="1" applyBorder="1" applyProtection="1">
      <protection locked="0"/>
    </xf>
    <xf numFmtId="0" fontId="7" fillId="25" borderId="50" xfId="0" applyFont="1" applyFill="1" applyBorder="1" applyProtection="1">
      <protection locked="0"/>
    </xf>
    <xf numFmtId="0" fontId="7" fillId="35" borderId="51" xfId="0" applyFont="1" applyFill="1" applyBorder="1" applyAlignment="1" applyProtection="1">
      <alignment horizontal="center" vertical="center"/>
      <protection locked="0"/>
    </xf>
    <xf numFmtId="0" fontId="8" fillId="25" borderId="14" xfId="0" applyFont="1" applyFill="1" applyBorder="1" applyAlignment="1" applyProtection="1">
      <alignment horizontal="center" vertical="center"/>
      <protection locked="0"/>
    </xf>
    <xf numFmtId="2" fontId="7" fillId="31" borderId="74" xfId="0" applyNumberFormat="1" applyFont="1" applyFill="1" applyBorder="1" applyAlignment="1" applyProtection="1">
      <alignment horizontal="center" vertical="center"/>
      <protection locked="0"/>
    </xf>
    <xf numFmtId="164" fontId="55" fillId="30" borderId="75" xfId="0" applyNumberFormat="1" applyFont="1" applyFill="1" applyBorder="1" applyAlignment="1" applyProtection="1">
      <alignment horizontal="center" vertical="center"/>
      <protection locked="0"/>
    </xf>
    <xf numFmtId="0" fontId="7" fillId="25" borderId="46" xfId="0" applyFont="1" applyFill="1" applyBorder="1" applyAlignment="1" applyProtection="1">
      <alignment vertical="center"/>
      <protection locked="0"/>
    </xf>
    <xf numFmtId="0" fontId="63" fillId="25" borderId="87" xfId="0" applyFont="1" applyFill="1" applyBorder="1" applyProtection="1"/>
    <xf numFmtId="1" fontId="7" fillId="30" borderId="81" xfId="44" applyNumberFormat="1" applyFont="1" applyFill="1" applyBorder="1" applyAlignment="1" applyProtection="1">
      <alignment horizontal="center" vertical="center"/>
      <protection locked="0"/>
    </xf>
    <xf numFmtId="0" fontId="0" fillId="25" borderId="10" xfId="0" applyFill="1" applyBorder="1" applyProtection="1"/>
    <xf numFmtId="0" fontId="4" fillId="25" borderId="27" xfId="0" applyFont="1" applyFill="1" applyBorder="1" applyAlignment="1" applyProtection="1">
      <alignment vertical="center"/>
    </xf>
    <xf numFmtId="0" fontId="7" fillId="25" borderId="87" xfId="0" applyFont="1" applyFill="1" applyBorder="1" applyAlignment="1" applyProtection="1">
      <alignment vertical="center"/>
    </xf>
    <xf numFmtId="0" fontId="5" fillId="25" borderId="53" xfId="0" applyFont="1" applyFill="1" applyBorder="1" applyAlignment="1" applyProtection="1">
      <alignment horizontal="center" vertical="center"/>
    </xf>
    <xf numFmtId="0" fontId="5" fillId="25" borderId="32" xfId="0" applyFont="1" applyFill="1" applyBorder="1" applyAlignment="1" applyProtection="1">
      <alignment horizontal="center" vertical="center"/>
    </xf>
    <xf numFmtId="0" fontId="7" fillId="25" borderId="64" xfId="0" applyFont="1" applyFill="1" applyBorder="1" applyProtection="1"/>
    <xf numFmtId="0" fontId="7" fillId="25" borderId="0" xfId="0" applyFont="1" applyFill="1" applyBorder="1" applyAlignment="1" applyProtection="1">
      <alignment horizontal="center" vertical="center"/>
    </xf>
    <xf numFmtId="0" fontId="5" fillId="25" borderId="58" xfId="0" applyFont="1" applyFill="1" applyBorder="1" applyAlignment="1" applyProtection="1">
      <alignment horizontal="center" vertical="center"/>
    </xf>
    <xf numFmtId="0" fontId="4" fillId="25" borderId="20" xfId="0" applyFont="1" applyFill="1" applyBorder="1" applyAlignment="1" applyProtection="1">
      <alignment vertical="center"/>
    </xf>
    <xf numFmtId="0" fontId="7" fillId="25" borderId="57" xfId="0" applyFont="1" applyFill="1" applyBorder="1" applyAlignment="1" applyProtection="1">
      <alignment horizontal="center" vertical="center" wrapText="1"/>
    </xf>
    <xf numFmtId="0" fontId="7" fillId="25" borderId="30" xfId="0" applyFont="1" applyFill="1" applyBorder="1" applyAlignment="1" applyProtection="1">
      <alignment vertical="center"/>
    </xf>
    <xf numFmtId="0" fontId="7" fillId="25" borderId="39" xfId="0" applyFont="1" applyFill="1" applyBorder="1" applyAlignment="1" applyProtection="1">
      <alignment vertical="center"/>
    </xf>
    <xf numFmtId="0" fontId="7" fillId="25" borderId="23" xfId="0" applyFont="1" applyFill="1" applyBorder="1" applyAlignment="1" applyProtection="1">
      <alignment vertical="center"/>
    </xf>
    <xf numFmtId="0" fontId="7" fillId="25" borderId="56" xfId="0" applyFont="1" applyFill="1" applyBorder="1" applyAlignment="1" applyProtection="1">
      <alignment horizontal="left" vertical="center"/>
    </xf>
    <xf numFmtId="0" fontId="7" fillId="25" borderId="58" xfId="0" applyFont="1" applyFill="1" applyBorder="1" applyAlignment="1" applyProtection="1">
      <alignment horizontal="left" vertical="center"/>
    </xf>
    <xf numFmtId="0" fontId="7" fillId="25" borderId="67" xfId="0" applyFont="1" applyFill="1" applyBorder="1" applyAlignment="1" applyProtection="1">
      <alignment vertical="center"/>
    </xf>
    <xf numFmtId="0" fontId="63" fillId="25" borderId="35" xfId="0" applyFont="1" applyFill="1" applyBorder="1" applyAlignment="1" applyProtection="1">
      <alignment vertical="center"/>
    </xf>
    <xf numFmtId="0" fontId="7" fillId="25" borderId="95" xfId="0" applyFont="1" applyFill="1" applyBorder="1" applyAlignment="1" applyProtection="1">
      <alignment vertical="center"/>
    </xf>
    <xf numFmtId="0" fontId="4" fillId="25" borderId="0" xfId="0" applyFont="1" applyFill="1" applyAlignment="1" applyProtection="1">
      <alignment vertical="top"/>
    </xf>
    <xf numFmtId="0" fontId="0" fillId="25" borderId="14" xfId="0" applyFill="1" applyBorder="1" applyProtection="1"/>
    <xf numFmtId="0" fontId="5" fillId="25" borderId="87" xfId="0" applyFont="1" applyFill="1" applyBorder="1" applyAlignment="1" applyProtection="1">
      <alignment horizontal="left" vertical="center"/>
    </xf>
    <xf numFmtId="0" fontId="5" fillId="25" borderId="70" xfId="0" applyFont="1" applyFill="1" applyBorder="1" applyAlignment="1" applyProtection="1">
      <alignment horizontal="left" vertical="center"/>
    </xf>
    <xf numFmtId="0" fontId="5" fillId="25" borderId="85" xfId="0" applyFont="1" applyFill="1" applyBorder="1" applyAlignment="1" applyProtection="1">
      <alignment horizontal="left" vertical="center"/>
    </xf>
    <xf numFmtId="0" fontId="8" fillId="25" borderId="20" xfId="0" applyFont="1" applyFill="1" applyBorder="1" applyAlignment="1" applyProtection="1">
      <alignment vertical="center"/>
    </xf>
    <xf numFmtId="0" fontId="0" fillId="25" borderId="95" xfId="0" applyFill="1" applyBorder="1" applyAlignment="1" applyProtection="1">
      <alignment vertical="center"/>
    </xf>
    <xf numFmtId="173" fontId="7" fillId="25" borderId="30" xfId="0" applyNumberFormat="1" applyFont="1" applyFill="1" applyBorder="1" applyAlignment="1" applyProtection="1">
      <alignment vertical="center"/>
    </xf>
    <xf numFmtId="0" fontId="0" fillId="25" borderId="44" xfId="0" applyFill="1" applyBorder="1" applyAlignment="1" applyProtection="1">
      <alignment vertical="center"/>
    </xf>
    <xf numFmtId="0" fontId="0" fillId="25" borderId="44" xfId="0" applyFill="1" applyBorder="1" applyProtection="1"/>
    <xf numFmtId="173" fontId="7" fillId="25" borderId="30" xfId="0" applyNumberFormat="1" applyFont="1" applyFill="1" applyBorder="1" applyAlignment="1" applyProtection="1">
      <alignment vertical="center" wrapText="1"/>
    </xf>
    <xf numFmtId="173" fontId="7" fillId="25" borderId="45" xfId="0" applyNumberFormat="1" applyFont="1" applyFill="1" applyBorder="1" applyAlignment="1" applyProtection="1">
      <alignment vertical="center" wrapText="1"/>
    </xf>
    <xf numFmtId="0" fontId="60" fillId="0" borderId="0" xfId="0" applyFont="1" applyBorder="1"/>
    <xf numFmtId="9" fontId="61" fillId="0" borderId="0" xfId="0" applyNumberFormat="1" applyFont="1" applyBorder="1" applyAlignment="1">
      <alignment vertical="center"/>
    </xf>
    <xf numFmtId="0" fontId="60" fillId="0" borderId="0" xfId="0" applyFont="1" applyBorder="1" applyAlignment="1">
      <alignment vertical="center"/>
    </xf>
    <xf numFmtId="0" fontId="60" fillId="25" borderId="0" xfId="0" applyFont="1" applyFill="1"/>
    <xf numFmtId="0" fontId="60" fillId="31" borderId="0" xfId="0" applyFont="1" applyFill="1"/>
    <xf numFmtId="0" fontId="60" fillId="0" borderId="0" xfId="0" applyFont="1"/>
    <xf numFmtId="0" fontId="63" fillId="25" borderId="27" xfId="0" applyFont="1" applyFill="1" applyBorder="1" applyProtection="1"/>
    <xf numFmtId="0" fontId="7" fillId="25" borderId="54" xfId="0" applyFont="1" applyFill="1" applyBorder="1" applyAlignment="1" applyProtection="1">
      <alignment horizontal="center" vertical="center"/>
    </xf>
    <xf numFmtId="0" fontId="7" fillId="25" borderId="52" xfId="0" applyFont="1" applyFill="1" applyBorder="1" applyAlignment="1" applyProtection="1">
      <alignment vertical="center"/>
    </xf>
    <xf numFmtId="0" fontId="56" fillId="25" borderId="0" xfId="0" applyFont="1" applyFill="1" applyBorder="1" applyAlignment="1" applyProtection="1">
      <alignment horizontal="center" vertical="center"/>
      <protection locked="0"/>
    </xf>
    <xf numFmtId="0" fontId="63" fillId="25" borderId="30" xfId="0" applyFont="1" applyFill="1" applyBorder="1" applyAlignment="1" applyProtection="1">
      <alignment vertical="center"/>
    </xf>
    <xf numFmtId="0" fontId="63" fillId="25" borderId="70" xfId="0" applyFont="1" applyFill="1" applyBorder="1" applyProtection="1"/>
    <xf numFmtId="164" fontId="7" fillId="25" borderId="0" xfId="0" applyNumberFormat="1" applyFont="1" applyFill="1" applyProtection="1"/>
    <xf numFmtId="0" fontId="5" fillId="25" borderId="55" xfId="0" applyFont="1" applyFill="1" applyBorder="1" applyAlignment="1" applyProtection="1">
      <alignment horizontal="center" vertical="center"/>
    </xf>
    <xf numFmtId="0" fontId="7" fillId="25" borderId="21" xfId="0" applyFont="1" applyFill="1" applyBorder="1" applyAlignment="1" applyProtection="1">
      <alignment vertical="center"/>
    </xf>
    <xf numFmtId="0" fontId="7" fillId="25" borderId="77" xfId="0" applyNumberFormat="1" applyFont="1" applyFill="1" applyBorder="1" applyAlignment="1" applyProtection="1">
      <alignment horizontal="center" vertical="center"/>
      <protection locked="0"/>
    </xf>
    <xf numFmtId="0" fontId="7" fillId="30" borderId="83" xfId="0" applyNumberFormat="1" applyFont="1" applyFill="1" applyBorder="1" applyAlignment="1" applyProtection="1">
      <alignment horizontal="center" vertical="center"/>
      <protection locked="0"/>
    </xf>
    <xf numFmtId="0" fontId="56" fillId="31" borderId="13" xfId="0" applyNumberFormat="1" applyFont="1" applyFill="1" applyBorder="1" applyAlignment="1" applyProtection="1">
      <alignment horizontal="center" vertical="center"/>
      <protection locked="0"/>
    </xf>
    <xf numFmtId="0" fontId="7" fillId="31" borderId="21" xfId="0" applyNumberFormat="1" applyFont="1" applyFill="1" applyBorder="1" applyAlignment="1" applyProtection="1">
      <alignment vertical="center"/>
      <protection locked="0"/>
    </xf>
    <xf numFmtId="0" fontId="63" fillId="25" borderId="0" xfId="0" applyFont="1" applyFill="1" applyBorder="1" applyAlignment="1" applyProtection="1">
      <alignment vertical="center"/>
    </xf>
    <xf numFmtId="0" fontId="7" fillId="25" borderId="64" xfId="0" applyFont="1" applyFill="1" applyBorder="1" applyAlignment="1" applyProtection="1">
      <alignment vertical="center"/>
    </xf>
    <xf numFmtId="0" fontId="7" fillId="25" borderId="0" xfId="0" applyFont="1" applyFill="1" applyBorder="1" applyAlignment="1" applyProtection="1">
      <alignment horizontal="center"/>
    </xf>
    <xf numFmtId="0" fontId="5" fillId="25" borderId="0" xfId="0" applyFont="1" applyFill="1" applyBorder="1" applyAlignment="1" applyProtection="1">
      <alignment horizontal="left" vertical="center" wrapText="1"/>
    </xf>
    <xf numFmtId="0" fontId="5" fillId="25" borderId="70" xfId="0" applyFont="1" applyFill="1" applyBorder="1" applyAlignment="1">
      <alignment horizontal="left" vertical="center" wrapText="1"/>
    </xf>
    <xf numFmtId="0" fontId="7" fillId="25" borderId="92" xfId="0" applyFont="1" applyFill="1" applyBorder="1" applyAlignment="1">
      <alignment vertical="top"/>
    </xf>
    <xf numFmtId="0" fontId="75" fillId="25" borderId="0" xfId="0" applyFont="1" applyFill="1"/>
    <xf numFmtId="0" fontId="75" fillId="30" borderId="0" xfId="0" applyFont="1" applyFill="1" applyAlignment="1">
      <alignment horizontal="center"/>
    </xf>
    <xf numFmtId="0" fontId="2" fillId="25" borderId="0" xfId="0" applyFont="1" applyFill="1" applyAlignment="1">
      <alignment vertical="center"/>
    </xf>
    <xf numFmtId="0" fontId="8" fillId="0" borderId="20" xfId="0" applyFont="1" applyFill="1" applyBorder="1" applyAlignment="1" applyProtection="1">
      <alignment vertical="center"/>
    </xf>
    <xf numFmtId="0" fontId="7" fillId="25" borderId="51" xfId="0" applyFont="1" applyFill="1" applyBorder="1" applyAlignment="1">
      <alignment vertical="top"/>
    </xf>
    <xf numFmtId="0" fontId="7" fillId="25" borderId="0" xfId="0" applyFont="1" applyFill="1" applyBorder="1" applyAlignment="1">
      <alignment horizontal="center" vertical="center"/>
    </xf>
    <xf numFmtId="0" fontId="7" fillId="25" borderId="92" xfId="0" applyFont="1" applyFill="1" applyBorder="1" applyAlignment="1">
      <alignment horizontal="center" vertical="center"/>
    </xf>
    <xf numFmtId="0" fontId="5" fillId="25" borderId="0" xfId="0" applyFont="1" applyFill="1" applyAlignment="1"/>
    <xf numFmtId="0" fontId="5" fillId="25" borderId="25" xfId="0" applyFont="1" applyFill="1" applyBorder="1" applyAlignment="1"/>
    <xf numFmtId="0" fontId="0" fillId="25" borderId="0" xfId="0" applyFill="1" applyAlignment="1"/>
    <xf numFmtId="0" fontId="7" fillId="25" borderId="62" xfId="0" applyFont="1" applyFill="1" applyBorder="1" applyAlignment="1" applyProtection="1">
      <alignment horizontal="left" vertical="center"/>
    </xf>
    <xf numFmtId="0" fontId="7" fillId="25" borderId="61" xfId="0" applyFont="1" applyFill="1" applyBorder="1" applyAlignment="1" applyProtection="1">
      <alignment horizontal="left" vertical="center" wrapText="1"/>
    </xf>
    <xf numFmtId="0" fontId="2" fillId="25" borderId="20" xfId="0" applyFont="1" applyFill="1" applyBorder="1"/>
    <xf numFmtId="0" fontId="0" fillId="25" borderId="12" xfId="0" applyFill="1" applyBorder="1" applyAlignment="1">
      <alignment horizontal="center"/>
    </xf>
    <xf numFmtId="0" fontId="0" fillId="25" borderId="87" xfId="0" applyFill="1" applyBorder="1"/>
    <xf numFmtId="0" fontId="0" fillId="25" borderId="92" xfId="0" applyFill="1" applyBorder="1" applyAlignment="1">
      <alignment horizontal="center"/>
    </xf>
    <xf numFmtId="0" fontId="0" fillId="25" borderId="27" xfId="0" applyFill="1" applyBorder="1"/>
    <xf numFmtId="0" fontId="2" fillId="25" borderId="25" xfId="0" applyFont="1" applyFill="1" applyBorder="1" applyAlignment="1">
      <alignment horizontal="center"/>
    </xf>
    <xf numFmtId="0" fontId="0" fillId="25" borderId="17" xfId="0" applyFill="1" applyBorder="1"/>
    <xf numFmtId="0" fontId="0" fillId="25" borderId="85" xfId="0" applyFill="1" applyBorder="1"/>
    <xf numFmtId="0" fontId="2" fillId="25" borderId="0" xfId="0" applyFont="1" applyFill="1" applyBorder="1" applyAlignment="1">
      <alignment horizontal="center"/>
    </xf>
    <xf numFmtId="0" fontId="0" fillId="25" borderId="27" xfId="0" applyFill="1" applyBorder="1" applyAlignment="1">
      <alignment horizontal="center"/>
    </xf>
    <xf numFmtId="0" fontId="0" fillId="25" borderId="0" xfId="0" applyFill="1" applyBorder="1" applyAlignment="1">
      <alignment horizontal="center"/>
    </xf>
    <xf numFmtId="0" fontId="0" fillId="25" borderId="28" xfId="0" applyFill="1" applyBorder="1" applyAlignment="1">
      <alignment horizontal="center"/>
    </xf>
    <xf numFmtId="0" fontId="2" fillId="25" borderId="18" xfId="0" applyFont="1" applyFill="1" applyBorder="1" applyAlignment="1">
      <alignment horizontal="center"/>
    </xf>
    <xf numFmtId="0" fontId="0" fillId="25" borderId="22" xfId="0" applyFill="1" applyBorder="1" applyAlignment="1">
      <alignment horizontal="center"/>
    </xf>
    <xf numFmtId="0" fontId="2" fillId="25" borderId="29" xfId="0" applyFont="1" applyFill="1" applyBorder="1" applyAlignment="1">
      <alignment horizontal="center"/>
    </xf>
    <xf numFmtId="0" fontId="7" fillId="31" borderId="27" xfId="33" applyNumberFormat="1" applyFont="1" applyFill="1" applyBorder="1" applyAlignment="1" applyProtection="1">
      <alignment horizontal="left"/>
    </xf>
    <xf numFmtId="0" fontId="7" fillId="31" borderId="50" xfId="0" applyFont="1" applyFill="1" applyBorder="1" applyAlignment="1" applyProtection="1">
      <alignment horizontal="right"/>
      <protection locked="0"/>
    </xf>
    <xf numFmtId="0" fontId="7" fillId="31" borderId="52" xfId="33" applyNumberFormat="1" applyFont="1" applyFill="1" applyBorder="1" applyAlignment="1" applyProtection="1">
      <alignment horizontal="left"/>
    </xf>
    <xf numFmtId="0" fontId="7" fillId="25" borderId="18" xfId="0" applyFont="1" applyFill="1" applyBorder="1" applyAlignment="1" applyProtection="1">
      <alignment vertical="center"/>
      <protection locked="0"/>
    </xf>
    <xf numFmtId="1" fontId="16" fillId="41" borderId="20" xfId="0" applyNumberFormat="1" applyFont="1" applyFill="1" applyBorder="1" applyAlignment="1">
      <alignment horizontal="left"/>
    </xf>
    <xf numFmtId="1" fontId="16" fillId="41" borderId="14" xfId="0" applyNumberFormat="1" applyFont="1" applyFill="1" applyBorder="1" applyAlignment="1">
      <alignment horizontal="center"/>
    </xf>
    <xf numFmtId="1" fontId="7" fillId="25" borderId="87" xfId="0" applyNumberFormat="1" applyFont="1" applyFill="1" applyBorder="1" applyAlignment="1">
      <alignment horizontal="left"/>
    </xf>
    <xf numFmtId="1" fontId="7" fillId="25" borderId="92" xfId="0" applyNumberFormat="1" applyFont="1" applyFill="1" applyBorder="1" applyAlignment="1">
      <alignment horizontal="center"/>
    </xf>
    <xf numFmtId="166" fontId="7" fillId="25" borderId="92" xfId="0" applyNumberFormat="1" applyFont="1" applyFill="1" applyBorder="1" applyAlignment="1">
      <alignment horizontal="center"/>
    </xf>
    <xf numFmtId="0" fontId="2" fillId="25" borderId="27" xfId="0" applyFont="1" applyFill="1" applyBorder="1" applyAlignment="1" applyProtection="1">
      <alignment horizontal="left"/>
    </xf>
    <xf numFmtId="1" fontId="7" fillId="25" borderId="25" xfId="0" applyNumberFormat="1" applyFont="1" applyFill="1" applyBorder="1" applyAlignment="1">
      <alignment horizontal="center"/>
    </xf>
    <xf numFmtId="0" fontId="0" fillId="25" borderId="25" xfId="0" applyFill="1" applyBorder="1" applyAlignment="1">
      <alignment horizontal="center"/>
    </xf>
    <xf numFmtId="1" fontId="0" fillId="25" borderId="25" xfId="0" applyNumberFormat="1" applyFill="1" applyBorder="1" applyAlignment="1">
      <alignment horizontal="center"/>
    </xf>
    <xf numFmtId="0" fontId="0" fillId="25" borderId="17" xfId="0" applyFill="1" applyBorder="1" applyAlignment="1">
      <alignment horizontal="center"/>
    </xf>
    <xf numFmtId="1" fontId="0" fillId="25" borderId="17" xfId="0" applyNumberFormat="1" applyFill="1" applyBorder="1" applyAlignment="1">
      <alignment horizontal="center"/>
    </xf>
    <xf numFmtId="0" fontId="0" fillId="25" borderId="29" xfId="0" applyFill="1" applyBorder="1" applyAlignment="1">
      <alignment horizontal="center"/>
    </xf>
    <xf numFmtId="0" fontId="0" fillId="41" borderId="20" xfId="0" applyFill="1" applyBorder="1"/>
    <xf numFmtId="0" fontId="0" fillId="41" borderId="12" xfId="0" applyFill="1" applyBorder="1"/>
    <xf numFmtId="1" fontId="7" fillId="25" borderId="25" xfId="0" applyNumberFormat="1" applyFont="1" applyFill="1" applyBorder="1" applyAlignment="1">
      <alignment horizontal="left"/>
    </xf>
    <xf numFmtId="0" fontId="78" fillId="25" borderId="0" xfId="0" applyFont="1" applyFill="1"/>
    <xf numFmtId="0" fontId="76" fillId="40" borderId="20" xfId="0" applyFont="1" applyFill="1" applyBorder="1"/>
    <xf numFmtId="0" fontId="76" fillId="42" borderId="14" xfId="0" applyFont="1" applyFill="1" applyBorder="1" applyAlignment="1" applyProtection="1">
      <alignment horizontal="center"/>
      <protection locked="0"/>
    </xf>
    <xf numFmtId="0" fontId="76" fillId="40" borderId="14" xfId="0" applyFont="1" applyFill="1" applyBorder="1"/>
    <xf numFmtId="0" fontId="77" fillId="40" borderId="14" xfId="0" applyFont="1" applyFill="1" applyBorder="1" applyAlignment="1">
      <alignment horizontal="right"/>
    </xf>
    <xf numFmtId="0" fontId="77" fillId="40" borderId="14" xfId="0" applyFont="1" applyFill="1" applyBorder="1"/>
    <xf numFmtId="166" fontId="77" fillId="40" borderId="22" xfId="0" applyNumberFormat="1" applyFont="1" applyFill="1" applyBorder="1" applyAlignment="1">
      <alignment horizontal="center"/>
    </xf>
    <xf numFmtId="0" fontId="15" fillId="25" borderId="25" xfId="0" applyFont="1" applyFill="1" applyBorder="1" applyAlignment="1">
      <alignment horizontal="left"/>
    </xf>
    <xf numFmtId="0" fontId="15" fillId="25" borderId="25" xfId="0" applyFont="1" applyFill="1" applyBorder="1" applyAlignment="1">
      <alignment horizontal="center"/>
    </xf>
    <xf numFmtId="0" fontId="15" fillId="25" borderId="27" xfId="0" applyFont="1" applyFill="1" applyBorder="1" applyAlignment="1">
      <alignment horizontal="center"/>
    </xf>
    <xf numFmtId="0" fontId="79" fillId="25" borderId="28" xfId="0" applyFont="1" applyFill="1" applyBorder="1" applyAlignment="1">
      <alignment horizontal="center"/>
    </xf>
    <xf numFmtId="0" fontId="80" fillId="25" borderId="25" xfId="0" applyFont="1" applyFill="1" applyBorder="1" applyAlignment="1">
      <alignment horizontal="left"/>
    </xf>
    <xf numFmtId="0" fontId="15" fillId="25" borderId="28" xfId="0" applyFont="1" applyFill="1" applyBorder="1" applyAlignment="1">
      <alignment horizontal="center"/>
    </xf>
    <xf numFmtId="0" fontId="0" fillId="25" borderId="0" xfId="0" applyFill="1" applyAlignment="1">
      <alignment horizontal="left"/>
    </xf>
    <xf numFmtId="0" fontId="7" fillId="25" borderId="92" xfId="0" applyFont="1" applyFill="1" applyBorder="1" applyAlignment="1">
      <alignment horizontal="left"/>
    </xf>
    <xf numFmtId="0" fontId="7" fillId="25" borderId="92" xfId="0" applyFont="1" applyFill="1" applyBorder="1" applyAlignment="1">
      <alignment horizontal="center"/>
    </xf>
    <xf numFmtId="0" fontId="7" fillId="25" borderId="25" xfId="0" applyFont="1" applyFill="1" applyBorder="1" applyAlignment="1">
      <alignment horizontal="left"/>
    </xf>
    <xf numFmtId="0" fontId="7" fillId="25" borderId="25" xfId="0" applyFont="1" applyFill="1" applyBorder="1" applyAlignment="1">
      <alignment horizontal="center"/>
    </xf>
    <xf numFmtId="0" fontId="7" fillId="25" borderId="29" xfId="0" applyFont="1" applyFill="1" applyBorder="1" applyAlignment="1">
      <alignment horizontal="left"/>
    </xf>
    <xf numFmtId="0" fontId="7" fillId="25" borderId="29" xfId="0" applyFont="1" applyFill="1" applyBorder="1" applyAlignment="1">
      <alignment horizontal="center"/>
    </xf>
    <xf numFmtId="0" fontId="77" fillId="40" borderId="22" xfId="0" applyFont="1" applyFill="1" applyBorder="1" applyAlignment="1">
      <alignment horizontal="center"/>
    </xf>
    <xf numFmtId="166" fontId="7" fillId="25" borderId="25" xfId="0" applyNumberFormat="1" applyFont="1" applyFill="1" applyBorder="1" applyAlignment="1">
      <alignment horizontal="center"/>
    </xf>
    <xf numFmtId="1" fontId="7" fillId="25" borderId="29" xfId="0" applyNumberFormat="1" applyFont="1" applyFill="1" applyBorder="1" applyAlignment="1">
      <alignment horizontal="left"/>
    </xf>
    <xf numFmtId="1" fontId="7" fillId="25" borderId="29" xfId="0" applyNumberFormat="1" applyFont="1" applyFill="1" applyBorder="1" applyAlignment="1">
      <alignment horizontal="center"/>
    </xf>
    <xf numFmtId="166" fontId="7" fillId="25" borderId="29" xfId="0" applyNumberFormat="1" applyFont="1" applyFill="1" applyBorder="1" applyAlignment="1">
      <alignment horizontal="center"/>
    </xf>
    <xf numFmtId="1" fontId="7" fillId="25" borderId="0" xfId="0" applyNumberFormat="1" applyFont="1" applyFill="1" applyBorder="1" applyAlignment="1">
      <alignment horizontal="left"/>
    </xf>
    <xf numFmtId="1" fontId="7" fillId="25" borderId="0" xfId="0" applyNumberFormat="1" applyFont="1" applyFill="1" applyBorder="1" applyAlignment="1">
      <alignment horizontal="center"/>
    </xf>
    <xf numFmtId="166" fontId="7" fillId="25" borderId="0" xfId="0" applyNumberFormat="1" applyFont="1" applyFill="1" applyBorder="1" applyAlignment="1">
      <alignment horizontal="center"/>
    </xf>
    <xf numFmtId="0" fontId="0" fillId="43" borderId="22" xfId="0" applyFill="1" applyBorder="1"/>
    <xf numFmtId="0" fontId="7" fillId="25" borderId="70" xfId="0" applyFont="1" applyFill="1" applyBorder="1" applyAlignment="1" applyProtection="1">
      <alignment horizontal="center" vertical="center"/>
      <protection locked="0"/>
    </xf>
    <xf numFmtId="0" fontId="5" fillId="25" borderId="18" xfId="0" applyFont="1" applyFill="1" applyBorder="1" applyAlignment="1">
      <alignment horizontal="left" vertical="center" wrapText="1"/>
    </xf>
    <xf numFmtId="0" fontId="7" fillId="25" borderId="18" xfId="0" applyFont="1" applyFill="1" applyBorder="1" applyAlignment="1" applyProtection="1">
      <alignment horizontal="center" vertical="center"/>
      <protection locked="0"/>
    </xf>
    <xf numFmtId="0" fontId="8" fillId="25" borderId="20" xfId="0" applyFont="1" applyFill="1" applyBorder="1" applyAlignment="1">
      <alignment horizontal="center" vertical="center" wrapText="1"/>
    </xf>
    <xf numFmtId="0" fontId="59" fillId="25" borderId="0" xfId="0" applyFont="1" applyFill="1" applyAlignment="1"/>
    <xf numFmtId="0" fontId="5" fillId="30" borderId="57" xfId="0" applyFont="1" applyFill="1" applyBorder="1" applyAlignment="1" applyProtection="1">
      <alignment horizontal="center"/>
      <protection locked="0"/>
    </xf>
    <xf numFmtId="0" fontId="8" fillId="0" borderId="45" xfId="0" applyFont="1" applyFill="1" applyBorder="1" applyAlignment="1" applyProtection="1"/>
    <xf numFmtId="0" fontId="2" fillId="25" borderId="0" xfId="0" applyFont="1" applyFill="1"/>
    <xf numFmtId="0" fontId="7" fillId="25" borderId="27" xfId="0" applyFont="1" applyFill="1" applyBorder="1" applyAlignment="1">
      <alignment horizontal="left" vertical="center"/>
    </xf>
    <xf numFmtId="0" fontId="2" fillId="31" borderId="20" xfId="0" applyFont="1" applyFill="1" applyBorder="1" applyAlignment="1">
      <alignment horizontal="right"/>
    </xf>
    <xf numFmtId="0" fontId="2" fillId="31" borderId="14" xfId="0" applyFont="1" applyFill="1" applyBorder="1" applyAlignment="1">
      <alignment horizontal="right"/>
    </xf>
    <xf numFmtId="0" fontId="7" fillId="25" borderId="64" xfId="0" applyFont="1" applyFill="1" applyBorder="1" applyAlignment="1" applyProtection="1">
      <alignment horizontal="left" vertical="center" wrapText="1"/>
    </xf>
    <xf numFmtId="0" fontId="7" fillId="25" borderId="44" xfId="0" applyFont="1" applyFill="1" applyBorder="1" applyAlignment="1" applyProtection="1">
      <alignment horizontal="left" vertical="center" wrapText="1"/>
    </xf>
    <xf numFmtId="0" fontId="56" fillId="31" borderId="39" xfId="0" applyNumberFormat="1" applyFont="1" applyFill="1" applyBorder="1" applyAlignment="1" applyProtection="1">
      <alignment horizontal="center" vertical="center"/>
      <protection locked="0"/>
    </xf>
    <xf numFmtId="0" fontId="56" fillId="31" borderId="30" xfId="0" applyNumberFormat="1" applyFont="1" applyFill="1" applyBorder="1" applyAlignment="1" applyProtection="1">
      <alignment horizontal="center" vertical="center"/>
      <protection locked="0"/>
    </xf>
    <xf numFmtId="0" fontId="56" fillId="31" borderId="31" xfId="0" applyNumberFormat="1" applyFont="1" applyFill="1" applyBorder="1" applyAlignment="1" applyProtection="1">
      <alignment horizontal="center" vertical="center"/>
      <protection locked="0"/>
    </xf>
    <xf numFmtId="0" fontId="5" fillId="25" borderId="35" xfId="0" applyFont="1" applyFill="1" applyBorder="1" applyAlignment="1" applyProtection="1">
      <alignment vertical="center"/>
    </xf>
    <xf numFmtId="0" fontId="5" fillId="25" borderId="62" xfId="0" applyFont="1" applyFill="1" applyBorder="1" applyAlignment="1" applyProtection="1">
      <alignment vertical="center"/>
    </xf>
    <xf numFmtId="0" fontId="7" fillId="25" borderId="65" xfId="0" applyFont="1" applyFill="1" applyBorder="1" applyAlignment="1" applyProtection="1">
      <alignment horizontal="right" vertical="center"/>
    </xf>
    <xf numFmtId="0" fontId="7" fillId="25" borderId="14" xfId="0" applyFont="1" applyFill="1" applyBorder="1" applyAlignment="1" applyProtection="1">
      <alignment horizontal="right" vertical="center"/>
    </xf>
    <xf numFmtId="9" fontId="5" fillId="25" borderId="14" xfId="32" applyFont="1" applyFill="1" applyBorder="1" applyAlignment="1" applyProtection="1">
      <alignment horizontal="center" vertical="center"/>
    </xf>
    <xf numFmtId="9" fontId="5" fillId="25" borderId="22" xfId="32" applyFont="1" applyFill="1" applyBorder="1" applyAlignment="1" applyProtection="1">
      <alignment horizontal="center" vertical="center"/>
    </xf>
    <xf numFmtId="0" fontId="7" fillId="25" borderId="52" xfId="0" applyFont="1" applyFill="1" applyBorder="1" applyAlignment="1" applyProtection="1">
      <alignment vertical="center"/>
    </xf>
    <xf numFmtId="0" fontId="7" fillId="25" borderId="46" xfId="0" applyFont="1" applyFill="1" applyBorder="1" applyAlignment="1" applyProtection="1">
      <alignment vertical="center"/>
    </xf>
    <xf numFmtId="0" fontId="5" fillId="25" borderId="48" xfId="0" applyFont="1" applyFill="1" applyBorder="1" applyAlignment="1" applyProtection="1">
      <alignment horizontal="center" vertical="center" wrapText="1"/>
    </xf>
    <xf numFmtId="0" fontId="5" fillId="25" borderId="49" xfId="0" applyFont="1" applyFill="1" applyBorder="1" applyAlignment="1" applyProtection="1">
      <alignment horizontal="center" vertical="center" wrapText="1"/>
    </xf>
    <xf numFmtId="0" fontId="4" fillId="25" borderId="20" xfId="0" applyFont="1" applyFill="1" applyBorder="1" applyAlignment="1" applyProtection="1">
      <alignment horizontal="center" vertical="center" wrapText="1"/>
    </xf>
    <xf numFmtId="0" fontId="4" fillId="25" borderId="14" xfId="0" applyFont="1" applyFill="1" applyBorder="1" applyAlignment="1" applyProtection="1">
      <alignment horizontal="center" vertical="center" wrapText="1"/>
    </xf>
    <xf numFmtId="0" fontId="4" fillId="25" borderId="22" xfId="0" applyFont="1" applyFill="1" applyBorder="1" applyAlignment="1" applyProtection="1">
      <alignment horizontal="center" vertical="center" wrapText="1"/>
    </xf>
    <xf numFmtId="0" fontId="7" fillId="25" borderId="64" xfId="0" applyFont="1" applyFill="1" applyBorder="1" applyAlignment="1" applyProtection="1">
      <alignment vertical="center"/>
    </xf>
    <xf numFmtId="0" fontId="7" fillId="25" borderId="44" xfId="0" applyFont="1" applyFill="1" applyBorder="1" applyAlignment="1" applyProtection="1">
      <alignment vertical="center"/>
    </xf>
    <xf numFmtId="0" fontId="8" fillId="25" borderId="65" xfId="0" applyFont="1" applyFill="1" applyBorder="1" applyAlignment="1" applyProtection="1">
      <alignment horizontal="center" vertical="center"/>
    </xf>
    <xf numFmtId="0" fontId="8" fillId="25" borderId="14" xfId="0" applyFont="1" applyFill="1" applyBorder="1" applyAlignment="1" applyProtection="1">
      <alignment horizontal="center" vertical="center"/>
    </xf>
    <xf numFmtId="0" fontId="8" fillId="25" borderId="22" xfId="0" applyFont="1" applyFill="1" applyBorder="1" applyAlignment="1" applyProtection="1">
      <alignment horizontal="center" vertical="center"/>
    </xf>
    <xf numFmtId="0" fontId="8" fillId="25" borderId="48" xfId="0" applyFont="1" applyFill="1" applyBorder="1" applyAlignment="1" applyProtection="1">
      <alignment horizontal="center" vertical="center"/>
    </xf>
    <xf numFmtId="0" fontId="8" fillId="25" borderId="45" xfId="0" applyFont="1" applyFill="1" applyBorder="1" applyAlignment="1" applyProtection="1">
      <alignment horizontal="center" vertical="center"/>
    </xf>
    <xf numFmtId="0" fontId="8" fillId="25" borderId="49" xfId="0" applyFont="1" applyFill="1" applyBorder="1" applyAlignment="1" applyProtection="1">
      <alignment horizontal="center" vertical="center"/>
    </xf>
    <xf numFmtId="2" fontId="57" fillId="31" borderId="15" xfId="0" applyNumberFormat="1" applyFont="1" applyFill="1" applyBorder="1" applyAlignment="1">
      <alignment horizontal="center" wrapText="1"/>
    </xf>
    <xf numFmtId="2" fontId="57" fillId="31" borderId="85" xfId="0" applyNumberFormat="1" applyFont="1" applyFill="1" applyBorder="1" applyAlignment="1">
      <alignment horizontal="center" wrapText="1"/>
    </xf>
    <xf numFmtId="0" fontId="57" fillId="31" borderId="15" xfId="0" applyFont="1" applyFill="1" applyBorder="1" applyAlignment="1">
      <alignment horizontal="center" wrapText="1"/>
    </xf>
    <xf numFmtId="0" fontId="57" fillId="31" borderId="70" xfId="0" applyFont="1" applyFill="1" applyBorder="1" applyAlignment="1">
      <alignment horizontal="center" wrapText="1"/>
    </xf>
    <xf numFmtId="0" fontId="57" fillId="31" borderId="85" xfId="0" applyFont="1" applyFill="1" applyBorder="1" applyAlignment="1">
      <alignment horizontal="center" wrapText="1"/>
    </xf>
    <xf numFmtId="0" fontId="1" fillId="25" borderId="15" xfId="0" applyFont="1" applyFill="1" applyBorder="1" applyProtection="1"/>
    <xf numFmtId="0" fontId="1" fillId="25" borderId="70" xfId="0" applyFont="1" applyFill="1" applyBorder="1" applyProtection="1"/>
    <xf numFmtId="0" fontId="1" fillId="25" borderId="85" xfId="0" applyFont="1" applyFill="1" applyBorder="1" applyProtection="1"/>
    <xf numFmtId="0" fontId="7" fillId="25" borderId="52" xfId="0" applyFont="1" applyFill="1" applyBorder="1" applyProtection="1"/>
    <xf numFmtId="0" fontId="7" fillId="25" borderId="45" xfId="0" applyFont="1" applyFill="1" applyBorder="1" applyProtection="1"/>
    <xf numFmtId="0" fontId="7" fillId="25" borderId="46" xfId="0" applyFont="1" applyFill="1" applyBorder="1" applyProtection="1"/>
    <xf numFmtId="0" fontId="55" fillId="31" borderId="20" xfId="0" applyFont="1" applyFill="1" applyBorder="1" applyAlignment="1">
      <alignment vertical="center" wrapText="1"/>
    </xf>
    <xf numFmtId="0" fontId="55" fillId="31" borderId="14" xfId="0" applyFont="1" applyFill="1" applyBorder="1" applyAlignment="1">
      <alignment vertical="center" wrapText="1"/>
    </xf>
    <xf numFmtId="0" fontId="55" fillId="31" borderId="59" xfId="0" applyFont="1" applyFill="1" applyBorder="1" applyAlignment="1">
      <alignment vertical="center" wrapText="1"/>
    </xf>
    <xf numFmtId="169" fontId="55" fillId="32" borderId="14" xfId="32" applyNumberFormat="1" applyFont="1" applyFill="1" applyBorder="1" applyAlignment="1" applyProtection="1">
      <alignment horizontal="center" vertical="center"/>
      <protection locked="0"/>
    </xf>
    <xf numFmtId="169" fontId="55" fillId="32" borderId="22" xfId="32" applyNumberFormat="1" applyFont="1" applyFill="1" applyBorder="1" applyAlignment="1" applyProtection="1">
      <alignment horizontal="center" vertical="center"/>
      <protection locked="0"/>
    </xf>
    <xf numFmtId="0" fontId="57" fillId="31" borderId="0" xfId="0" applyFont="1" applyFill="1" applyBorder="1" applyAlignment="1">
      <alignment horizontal="center"/>
    </xf>
    <xf numFmtId="0" fontId="57" fillId="31" borderId="28" xfId="0" applyFont="1" applyFill="1" applyBorder="1" applyAlignment="1">
      <alignment horizontal="center"/>
    </xf>
    <xf numFmtId="169" fontId="7" fillId="32" borderId="65" xfId="0" applyNumberFormat="1" applyFont="1" applyFill="1" applyBorder="1" applyAlignment="1" applyProtection="1">
      <alignment horizontal="center" vertical="center"/>
      <protection locked="0"/>
    </xf>
    <xf numFmtId="169" fontId="7" fillId="32" borderId="22" xfId="0" applyNumberFormat="1" applyFont="1" applyFill="1" applyBorder="1" applyAlignment="1" applyProtection="1">
      <alignment horizontal="center" vertical="center"/>
      <protection locked="0"/>
    </xf>
    <xf numFmtId="0" fontId="12" fillId="25" borderId="20" xfId="0" applyFont="1" applyFill="1" applyBorder="1" applyAlignment="1" applyProtection="1">
      <alignment vertical="center"/>
    </xf>
    <xf numFmtId="0" fontId="12" fillId="25" borderId="14" xfId="0" applyFont="1" applyFill="1" applyBorder="1" applyAlignment="1" applyProtection="1">
      <alignment vertical="center"/>
    </xf>
    <xf numFmtId="0" fontId="7" fillId="25" borderId="63" xfId="0" applyFont="1" applyFill="1" applyBorder="1" applyAlignment="1" applyProtection="1">
      <alignment vertical="center"/>
    </xf>
    <xf numFmtId="0" fontId="7" fillId="25" borderId="43" xfId="0" applyFont="1" applyFill="1" applyBorder="1" applyAlignment="1" applyProtection="1">
      <alignment vertical="center"/>
    </xf>
    <xf numFmtId="0" fontId="5" fillId="25" borderId="64" xfId="0" applyFont="1" applyFill="1" applyBorder="1" applyAlignment="1" applyProtection="1">
      <alignment vertical="center" wrapText="1"/>
    </xf>
    <xf numFmtId="0" fontId="5" fillId="25" borderId="44" xfId="0" applyFont="1" applyFill="1" applyBorder="1" applyAlignment="1" applyProtection="1">
      <alignment vertical="center" wrapText="1"/>
    </xf>
    <xf numFmtId="0" fontId="5" fillId="25" borderId="64" xfId="0" applyFont="1" applyFill="1" applyBorder="1" applyAlignment="1" applyProtection="1">
      <alignment vertical="center" wrapText="1"/>
      <protection hidden="1"/>
    </xf>
    <xf numFmtId="0" fontId="5" fillId="25" borderId="44" xfId="0" applyFont="1" applyFill="1" applyBorder="1" applyAlignment="1" applyProtection="1">
      <alignment vertical="center" wrapText="1"/>
      <protection hidden="1"/>
    </xf>
    <xf numFmtId="0" fontId="10" fillId="25" borderId="44" xfId="0" applyFont="1" applyFill="1" applyBorder="1" applyAlignment="1" applyProtection="1">
      <alignment vertical="center"/>
    </xf>
    <xf numFmtId="0" fontId="7" fillId="25" borderId="35" xfId="0" applyFont="1" applyFill="1" applyBorder="1" applyAlignment="1" applyProtection="1">
      <alignment vertical="center"/>
    </xf>
    <xf numFmtId="0" fontId="7" fillId="25" borderId="62" xfId="0" applyFont="1" applyFill="1" applyBorder="1" applyAlignment="1" applyProtection="1">
      <alignment vertical="center"/>
    </xf>
    <xf numFmtId="0" fontId="7" fillId="25" borderId="17" xfId="0" applyFont="1" applyFill="1" applyBorder="1" applyAlignment="1" applyProtection="1">
      <alignment vertical="center"/>
    </xf>
    <xf numFmtId="0" fontId="10" fillId="25" borderId="61" xfId="0" applyFont="1" applyFill="1" applyBorder="1" applyAlignment="1" applyProtection="1">
      <alignment vertical="center"/>
    </xf>
    <xf numFmtId="0" fontId="20" fillId="25" borderId="20" xfId="0" applyFont="1" applyFill="1" applyBorder="1" applyAlignment="1" applyProtection="1">
      <alignment horizontal="left" vertical="center"/>
    </xf>
    <xf numFmtId="0" fontId="20" fillId="25" borderId="14" xfId="0" applyFont="1" applyFill="1" applyBorder="1" applyAlignment="1" applyProtection="1">
      <alignment horizontal="left" vertical="center"/>
    </xf>
    <xf numFmtId="0" fontId="1" fillId="25" borderId="15" xfId="0" applyFont="1" applyFill="1" applyBorder="1" applyAlignment="1" applyProtection="1">
      <alignment horizontal="center"/>
    </xf>
    <xf numFmtId="0" fontId="1" fillId="25" borderId="10" xfId="0" applyFont="1" applyFill="1" applyBorder="1" applyAlignment="1" applyProtection="1">
      <alignment horizontal="center"/>
    </xf>
    <xf numFmtId="0" fontId="1" fillId="25" borderId="11" xfId="0" applyFont="1" applyFill="1" applyBorder="1" applyAlignment="1" applyProtection="1">
      <alignment horizontal="center"/>
    </xf>
    <xf numFmtId="0" fontId="53" fillId="25" borderId="27" xfId="0" applyFont="1" applyFill="1" applyBorder="1" applyAlignment="1" applyProtection="1">
      <alignment horizontal="center"/>
    </xf>
    <xf numFmtId="0" fontId="53" fillId="25" borderId="28" xfId="0" applyFont="1" applyFill="1" applyBorder="1" applyAlignment="1" applyProtection="1">
      <alignment horizontal="center"/>
    </xf>
    <xf numFmtId="0" fontId="4" fillId="25" borderId="27" xfId="0" applyFont="1" applyFill="1" applyBorder="1" applyAlignment="1" applyProtection="1">
      <alignment horizontal="center"/>
    </xf>
    <xf numFmtId="0" fontId="4" fillId="25" borderId="0" xfId="0" applyFont="1" applyFill="1" applyBorder="1" applyAlignment="1" applyProtection="1">
      <alignment horizontal="center"/>
    </xf>
    <xf numFmtId="0" fontId="4" fillId="25" borderId="28" xfId="0" applyFont="1" applyFill="1" applyBorder="1" applyAlignment="1" applyProtection="1">
      <alignment horizontal="center"/>
    </xf>
    <xf numFmtId="0" fontId="54" fillId="25" borderId="17" xfId="0" applyFont="1" applyFill="1" applyBorder="1" applyAlignment="1" applyProtection="1">
      <alignment horizontal="center"/>
    </xf>
    <xf numFmtId="0" fontId="54" fillId="25" borderId="18" xfId="0" applyFont="1" applyFill="1" applyBorder="1" applyAlignment="1" applyProtection="1">
      <alignment horizontal="center"/>
    </xf>
    <xf numFmtId="0" fontId="54" fillId="25" borderId="19" xfId="0" applyFont="1" applyFill="1" applyBorder="1" applyAlignment="1" applyProtection="1">
      <alignment horizontal="center"/>
    </xf>
    <xf numFmtId="0" fontId="8" fillId="31" borderId="57" xfId="0" applyFont="1" applyFill="1" applyBorder="1" applyAlignment="1" applyProtection="1">
      <alignment horizontal="left"/>
      <protection locked="0"/>
    </xf>
    <xf numFmtId="0" fontId="5" fillId="31" borderId="57" xfId="0" applyFont="1" applyFill="1" applyBorder="1" applyAlignment="1" applyProtection="1">
      <alignment horizontal="center"/>
      <protection locked="0"/>
    </xf>
    <xf numFmtId="0" fontId="5" fillId="31" borderId="38" xfId="0" applyFont="1" applyFill="1" applyBorder="1" applyAlignment="1" applyProtection="1">
      <alignment horizontal="center"/>
      <protection locked="0"/>
    </xf>
    <xf numFmtId="0" fontId="7" fillId="25" borderId="57" xfId="0" applyFont="1" applyFill="1" applyBorder="1" applyAlignment="1" applyProtection="1">
      <alignment horizontal="center" vertical="center" wrapText="1"/>
    </xf>
    <xf numFmtId="0" fontId="7" fillId="25" borderId="38" xfId="0" applyFont="1" applyFill="1" applyBorder="1" applyAlignment="1" applyProtection="1">
      <alignment horizontal="center" vertical="center" wrapText="1"/>
    </xf>
    <xf numFmtId="0" fontId="55" fillId="25" borderId="27" xfId="0" applyFont="1" applyFill="1" applyBorder="1" applyAlignment="1" applyProtection="1">
      <alignment horizontal="left" vertical="center" wrapText="1"/>
    </xf>
    <xf numFmtId="0" fontId="55" fillId="25" borderId="0" xfId="0" applyFont="1" applyFill="1" applyBorder="1" applyAlignment="1" applyProtection="1">
      <alignment horizontal="left" vertical="center" wrapText="1"/>
    </xf>
    <xf numFmtId="0" fontId="55" fillId="25" borderId="17" xfId="0" applyFont="1" applyFill="1" applyBorder="1" applyAlignment="1" applyProtection="1">
      <alignment horizontal="left" vertical="center" wrapText="1"/>
    </xf>
    <xf numFmtId="0" fontId="55" fillId="25" borderId="18" xfId="0" applyFont="1" applyFill="1" applyBorder="1" applyAlignment="1" applyProtection="1">
      <alignment horizontal="left" vertical="center" wrapText="1"/>
    </xf>
    <xf numFmtId="0" fontId="7" fillId="25" borderId="18" xfId="0" applyFont="1" applyFill="1" applyBorder="1" applyAlignment="1" applyProtection="1">
      <alignment horizontal="center"/>
    </xf>
    <xf numFmtId="0" fontId="7" fillId="25" borderId="0" xfId="0" applyFont="1" applyFill="1" applyBorder="1" applyAlignment="1" applyProtection="1">
      <alignment horizontal="center"/>
    </xf>
    <xf numFmtId="0" fontId="7" fillId="25" borderId="30" xfId="0" applyFont="1" applyFill="1" applyBorder="1" applyAlignment="1" applyProtection="1">
      <alignment horizontal="center"/>
      <protection locked="0"/>
    </xf>
    <xf numFmtId="0" fontId="7" fillId="25" borderId="31" xfId="0" applyFont="1" applyFill="1" applyBorder="1" applyAlignment="1" applyProtection="1">
      <alignment horizontal="center"/>
      <protection locked="0"/>
    </xf>
    <xf numFmtId="0" fontId="2" fillId="35" borderId="96" xfId="0" applyFont="1" applyFill="1" applyBorder="1" applyAlignment="1" applyProtection="1">
      <alignment horizontal="center" vertical="center" wrapText="1"/>
      <protection locked="0"/>
    </xf>
    <xf numFmtId="0" fontId="2" fillId="35" borderId="70" xfId="0" applyFont="1" applyFill="1" applyBorder="1" applyAlignment="1" applyProtection="1">
      <alignment horizontal="center" vertical="center" wrapText="1"/>
      <protection locked="0"/>
    </xf>
    <xf numFmtId="0" fontId="2" fillId="35" borderId="85" xfId="0" applyFont="1" applyFill="1" applyBorder="1" applyAlignment="1" applyProtection="1">
      <alignment horizontal="center" vertical="center" wrapText="1"/>
      <protection locked="0"/>
    </xf>
    <xf numFmtId="0" fontId="2" fillId="35" borderId="58" xfId="0" applyFont="1" applyFill="1" applyBorder="1" applyAlignment="1" applyProtection="1">
      <alignment horizontal="center" vertical="center" wrapText="1"/>
      <protection locked="0"/>
    </xf>
    <xf numFmtId="0" fontId="2" fillId="35" borderId="56" xfId="0" applyFont="1" applyFill="1" applyBorder="1" applyAlignment="1" applyProtection="1">
      <alignment horizontal="center" vertical="center" wrapText="1"/>
      <protection locked="0"/>
    </xf>
    <xf numFmtId="0" fontId="2" fillId="35" borderId="36" xfId="0" applyFont="1" applyFill="1" applyBorder="1" applyAlignment="1" applyProtection="1">
      <alignment horizontal="center" vertical="center" wrapText="1"/>
      <protection locked="0"/>
    </xf>
    <xf numFmtId="0" fontId="4" fillId="25" borderId="20" xfId="0" applyFont="1" applyFill="1" applyBorder="1" applyAlignment="1" applyProtection="1">
      <alignment horizontal="center" vertical="center"/>
    </xf>
    <xf numFmtId="0" fontId="4" fillId="25" borderId="14" xfId="0" applyFont="1" applyFill="1" applyBorder="1" applyAlignment="1" applyProtection="1">
      <alignment horizontal="center" vertical="center"/>
    </xf>
    <xf numFmtId="0" fontId="4" fillId="25" borderId="22" xfId="0" applyFont="1" applyFill="1" applyBorder="1" applyAlignment="1" applyProtection="1">
      <alignment horizontal="center" vertical="center"/>
    </xf>
    <xf numFmtId="0" fontId="8" fillId="31" borderId="30" xfId="0" applyFont="1" applyFill="1" applyBorder="1" applyAlignment="1" applyProtection="1">
      <protection locked="0"/>
    </xf>
    <xf numFmtId="1" fontId="5" fillId="31" borderId="30" xfId="0" applyNumberFormat="1" applyFont="1" applyFill="1" applyBorder="1" applyAlignment="1" applyProtection="1">
      <alignment horizontal="center"/>
      <protection locked="0"/>
    </xf>
    <xf numFmtId="1" fontId="5" fillId="31" borderId="31" xfId="0" applyNumberFormat="1" applyFont="1" applyFill="1" applyBorder="1" applyAlignment="1" applyProtection="1">
      <alignment horizontal="center"/>
      <protection locked="0"/>
    </xf>
    <xf numFmtId="0" fontId="7" fillId="35" borderId="48" xfId="0" applyFont="1" applyFill="1" applyBorder="1" applyAlignment="1" applyProtection="1">
      <alignment horizontal="center"/>
      <protection locked="0"/>
    </xf>
    <xf numFmtId="0" fontId="7" fillId="35" borderId="45" xfId="0" applyFont="1" applyFill="1" applyBorder="1" applyAlignment="1" applyProtection="1">
      <alignment horizontal="center"/>
      <protection locked="0"/>
    </xf>
    <xf numFmtId="0" fontId="7" fillId="35" borderId="49" xfId="0" applyFont="1" applyFill="1" applyBorder="1" applyAlignment="1" applyProtection="1">
      <alignment horizontal="center"/>
      <protection locked="0"/>
    </xf>
    <xf numFmtId="0" fontId="7" fillId="0" borderId="45" xfId="0" applyFont="1" applyFill="1" applyBorder="1" applyAlignment="1" applyProtection="1">
      <alignment horizontal="center"/>
    </xf>
    <xf numFmtId="0" fontId="7" fillId="35" borderId="46" xfId="0" applyFont="1" applyFill="1" applyBorder="1" applyAlignment="1" applyProtection="1">
      <alignment horizontal="center"/>
      <protection locked="0"/>
    </xf>
    <xf numFmtId="0" fontId="8" fillId="30" borderId="57" xfId="0" applyFont="1" applyFill="1" applyBorder="1" applyAlignment="1" applyProtection="1">
      <alignment horizontal="left"/>
      <protection locked="0"/>
    </xf>
    <xf numFmtId="0" fontId="5" fillId="30" borderId="57" xfId="0" applyFont="1" applyFill="1" applyBorder="1" applyAlignment="1" applyProtection="1">
      <alignment horizontal="center"/>
      <protection locked="0"/>
    </xf>
    <xf numFmtId="0" fontId="5" fillId="30" borderId="38" xfId="0" applyFont="1" applyFill="1" applyBorder="1" applyAlignment="1" applyProtection="1">
      <alignment horizontal="center"/>
      <protection locked="0"/>
    </xf>
    <xf numFmtId="0" fontId="1" fillId="35" borderId="48" xfId="0" applyFont="1" applyFill="1" applyBorder="1" applyAlignment="1" applyProtection="1">
      <alignment horizontal="center" vertical="center"/>
      <protection locked="0"/>
    </xf>
    <xf numFmtId="0" fontId="1" fillId="35" borderId="45" xfId="0" applyFont="1" applyFill="1" applyBorder="1" applyAlignment="1" applyProtection="1">
      <alignment horizontal="center" vertical="center"/>
      <protection locked="0"/>
    </xf>
    <xf numFmtId="0" fontId="1" fillId="35" borderId="49" xfId="0" applyFont="1" applyFill="1" applyBorder="1" applyAlignment="1" applyProtection="1">
      <alignment horizontal="center" vertical="center"/>
      <protection locked="0"/>
    </xf>
    <xf numFmtId="0" fontId="8" fillId="30" borderId="50" xfId="0" applyFont="1" applyFill="1" applyBorder="1" applyAlignment="1" applyProtection="1">
      <protection locked="0"/>
    </xf>
    <xf numFmtId="1" fontId="5" fillId="30" borderId="50" xfId="0" applyNumberFormat="1" applyFont="1" applyFill="1" applyBorder="1" applyAlignment="1" applyProtection="1">
      <alignment horizontal="center"/>
      <protection locked="0"/>
    </xf>
    <xf numFmtId="1" fontId="5" fillId="30" borderId="51" xfId="0" applyNumberFormat="1" applyFont="1" applyFill="1" applyBorder="1" applyAlignment="1" applyProtection="1">
      <alignment horizontal="center"/>
      <protection locked="0"/>
    </xf>
    <xf numFmtId="0" fontId="7" fillId="25" borderId="18" xfId="0" applyFont="1" applyFill="1" applyBorder="1" applyAlignment="1" applyProtection="1">
      <alignment vertical="center"/>
      <protection locked="0"/>
    </xf>
    <xf numFmtId="0" fontId="7" fillId="25" borderId="14" xfId="0" applyFont="1" applyFill="1" applyBorder="1" applyAlignment="1" applyProtection="1">
      <alignment vertical="center"/>
      <protection locked="0"/>
    </xf>
    <xf numFmtId="0" fontId="8" fillId="25" borderId="14" xfId="0" applyFont="1" applyFill="1" applyBorder="1" applyAlignment="1" applyProtection="1">
      <alignment horizontal="center" vertical="center"/>
      <protection locked="0"/>
    </xf>
    <xf numFmtId="0" fontId="67" fillId="25" borderId="0" xfId="0" applyFont="1" applyFill="1" applyBorder="1" applyProtection="1"/>
    <xf numFmtId="0" fontId="5" fillId="25" borderId="39" xfId="0" applyFont="1" applyFill="1" applyBorder="1" applyAlignment="1" applyProtection="1">
      <alignment horizontal="center" vertical="center" wrapText="1"/>
      <protection locked="0"/>
    </xf>
    <xf numFmtId="0" fontId="5" fillId="25" borderId="31" xfId="0" applyFont="1" applyFill="1" applyBorder="1" applyAlignment="1" applyProtection="1">
      <alignment horizontal="center" vertical="center" wrapText="1"/>
      <protection locked="0"/>
    </xf>
    <xf numFmtId="0" fontId="7" fillId="25" borderId="37" xfId="0" applyFont="1" applyFill="1" applyBorder="1" applyAlignment="1" applyProtection="1">
      <alignment horizontal="left" vertical="center"/>
    </xf>
    <xf numFmtId="0" fontId="7" fillId="25" borderId="57" xfId="0" applyFont="1" applyFill="1" applyBorder="1" applyAlignment="1" applyProtection="1">
      <alignment horizontal="left" vertical="center"/>
    </xf>
    <xf numFmtId="0" fontId="7" fillId="25" borderId="43" xfId="0" applyFont="1" applyFill="1" applyBorder="1" applyAlignment="1" applyProtection="1">
      <alignment horizontal="left" vertical="center"/>
    </xf>
    <xf numFmtId="0" fontId="7" fillId="25" borderId="39" xfId="0" applyFont="1" applyFill="1" applyBorder="1" applyAlignment="1" applyProtection="1">
      <alignment horizontal="left" vertical="center"/>
    </xf>
    <xf numFmtId="0" fontId="7" fillId="25" borderId="30" xfId="0" applyFont="1" applyFill="1" applyBorder="1" applyAlignment="1" applyProtection="1">
      <alignment horizontal="left" vertical="center"/>
    </xf>
    <xf numFmtId="0" fontId="7" fillId="25" borderId="44" xfId="0" applyFont="1" applyFill="1" applyBorder="1" applyAlignment="1" applyProtection="1">
      <alignment horizontal="left" vertical="center"/>
    </xf>
    <xf numFmtId="0" fontId="5" fillId="25" borderId="39" xfId="0" applyFont="1" applyFill="1" applyBorder="1" applyAlignment="1" applyProtection="1">
      <alignment horizontal="center" vertical="center"/>
    </xf>
    <xf numFmtId="0" fontId="5" fillId="25" borderId="31" xfId="0" applyFont="1" applyFill="1" applyBorder="1" applyAlignment="1" applyProtection="1">
      <alignment horizontal="center" vertical="center"/>
    </xf>
    <xf numFmtId="0" fontId="5" fillId="25" borderId="37" xfId="0" applyFont="1" applyFill="1" applyBorder="1" applyAlignment="1" applyProtection="1">
      <alignment horizontal="center" vertical="center"/>
    </xf>
    <xf numFmtId="0" fontId="5" fillId="25" borderId="38" xfId="0" applyFont="1" applyFill="1" applyBorder="1" applyAlignment="1" applyProtection="1">
      <alignment horizontal="center" vertical="center"/>
    </xf>
    <xf numFmtId="0" fontId="63" fillId="25" borderId="27" xfId="0" applyFont="1" applyFill="1" applyBorder="1" applyAlignment="1" applyProtection="1">
      <alignment horizontal="left" vertical="center" wrapText="1"/>
    </xf>
    <xf numFmtId="0" fontId="63" fillId="25" borderId="0" xfId="0" applyFont="1" applyFill="1" applyAlignment="1" applyProtection="1">
      <alignment horizontal="left" vertical="center" wrapText="1"/>
    </xf>
    <xf numFmtId="0" fontId="63" fillId="25" borderId="28" xfId="0" applyFont="1" applyFill="1" applyBorder="1" applyAlignment="1" applyProtection="1">
      <alignment horizontal="left" vertical="center" wrapText="1"/>
    </xf>
    <xf numFmtId="0" fontId="63" fillId="25" borderId="17" xfId="0" applyFont="1" applyFill="1" applyBorder="1" applyAlignment="1" applyProtection="1">
      <alignment horizontal="left" vertical="center" wrapText="1"/>
    </xf>
    <xf numFmtId="0" fontId="63" fillId="25" borderId="18" xfId="0" applyFont="1" applyFill="1" applyBorder="1" applyAlignment="1" applyProtection="1">
      <alignment horizontal="left" vertical="center" wrapText="1"/>
    </xf>
    <xf numFmtId="0" fontId="63" fillId="25" borderId="19" xfId="0" applyFont="1" applyFill="1" applyBorder="1" applyAlignment="1" applyProtection="1">
      <alignment horizontal="left" vertical="center" wrapText="1"/>
    </xf>
    <xf numFmtId="0" fontId="63" fillId="25" borderId="27" xfId="0" applyFont="1" applyFill="1" applyBorder="1" applyAlignment="1" applyProtection="1">
      <alignment horizontal="left"/>
    </xf>
    <xf numFmtId="0" fontId="63" fillId="25" borderId="0" xfId="0" applyFont="1" applyFill="1" applyBorder="1" applyAlignment="1" applyProtection="1">
      <alignment horizontal="left"/>
    </xf>
    <xf numFmtId="0" fontId="63" fillId="25" borderId="28" xfId="0" applyFont="1" applyFill="1" applyBorder="1" applyAlignment="1" applyProtection="1">
      <alignment horizontal="left"/>
    </xf>
    <xf numFmtId="0" fontId="7" fillId="35" borderId="37" xfId="0" applyFont="1" applyFill="1" applyBorder="1" applyAlignment="1" applyProtection="1">
      <alignment horizontal="center" vertical="center"/>
      <protection locked="0"/>
    </xf>
    <xf numFmtId="0" fontId="7" fillId="35" borderId="57" xfId="0" applyFont="1" applyFill="1" applyBorder="1" applyAlignment="1" applyProtection="1">
      <alignment horizontal="center" vertical="center"/>
      <protection locked="0"/>
    </xf>
    <xf numFmtId="0" fontId="7" fillId="35" borderId="38" xfId="0" applyFont="1" applyFill="1" applyBorder="1" applyAlignment="1" applyProtection="1">
      <alignment horizontal="center" vertical="center"/>
      <protection locked="0"/>
    </xf>
    <xf numFmtId="0" fontId="7" fillId="35" borderId="39" xfId="0" applyFont="1" applyFill="1" applyBorder="1" applyAlignment="1" applyProtection="1">
      <alignment horizontal="center" vertical="center"/>
      <protection locked="0"/>
    </xf>
    <xf numFmtId="0" fontId="7" fillId="35" borderId="30" xfId="0" applyFont="1" applyFill="1" applyBorder="1" applyAlignment="1" applyProtection="1">
      <alignment horizontal="center" vertical="center"/>
      <protection locked="0"/>
    </xf>
    <xf numFmtId="0" fontId="7" fillId="35" borderId="31" xfId="0" applyFont="1" applyFill="1" applyBorder="1" applyAlignment="1" applyProtection="1">
      <alignment horizontal="center" vertical="center"/>
      <protection locked="0"/>
    </xf>
    <xf numFmtId="0" fontId="67" fillId="25" borderId="0" xfId="0" applyFont="1" applyFill="1" applyProtection="1"/>
    <xf numFmtId="0" fontId="67" fillId="25" borderId="18" xfId="0" applyFont="1" applyFill="1" applyBorder="1" applyProtection="1"/>
    <xf numFmtId="0" fontId="5" fillId="25" borderId="27" xfId="0" applyFont="1" applyFill="1" applyBorder="1" applyAlignment="1" applyProtection="1">
      <alignment horizontal="left" vertical="center" wrapText="1"/>
    </xf>
    <xf numFmtId="0" fontId="5" fillId="25" borderId="0" xfId="0" applyFont="1" applyFill="1" applyBorder="1" applyAlignment="1" applyProtection="1">
      <alignment horizontal="left" vertical="center" wrapText="1"/>
    </xf>
    <xf numFmtId="0" fontId="5" fillId="25" borderId="28" xfId="0" applyFont="1" applyFill="1" applyBorder="1" applyAlignment="1" applyProtection="1">
      <alignment horizontal="left" vertical="center" wrapText="1"/>
    </xf>
    <xf numFmtId="0" fontId="5" fillId="25" borderId="17" xfId="0" applyFont="1" applyFill="1" applyBorder="1" applyAlignment="1" applyProtection="1">
      <alignment horizontal="left" vertical="center" wrapText="1"/>
    </xf>
    <xf numFmtId="0" fontId="5" fillId="25" borderId="18" xfId="0" applyFont="1" applyFill="1" applyBorder="1" applyAlignment="1" applyProtection="1">
      <alignment horizontal="left" vertical="center" wrapText="1"/>
    </xf>
    <xf numFmtId="0" fontId="5" fillId="25" borderId="19" xfId="0" applyFont="1" applyFill="1" applyBorder="1" applyAlignment="1" applyProtection="1">
      <alignment horizontal="left" vertical="center" wrapText="1"/>
    </xf>
    <xf numFmtId="0" fontId="2" fillId="25" borderId="87" xfId="0" applyFont="1" applyFill="1" applyBorder="1" applyAlignment="1">
      <alignment horizontal="center" textRotation="90" wrapText="1"/>
    </xf>
    <xf numFmtId="0" fontId="2" fillId="25" borderId="27" xfId="0" applyFont="1" applyFill="1" applyBorder="1" applyAlignment="1">
      <alignment horizontal="center" textRotation="90" wrapText="1"/>
    </xf>
    <xf numFmtId="0" fontId="2" fillId="25" borderId="17" xfId="0" applyFont="1" applyFill="1" applyBorder="1" applyAlignment="1">
      <alignment horizontal="center" textRotation="90" wrapText="1"/>
    </xf>
    <xf numFmtId="0" fontId="2" fillId="25" borderId="87" xfId="0" applyFont="1" applyFill="1" applyBorder="1" applyAlignment="1">
      <alignment horizontal="center" wrapText="1"/>
    </xf>
    <xf numFmtId="0" fontId="2" fillId="25" borderId="27" xfId="0" applyFont="1" applyFill="1" applyBorder="1" applyAlignment="1">
      <alignment horizontal="center" wrapText="1"/>
    </xf>
    <xf numFmtId="0" fontId="2" fillId="25" borderId="17" xfId="0" applyFont="1" applyFill="1" applyBorder="1" applyAlignment="1">
      <alignment horizontal="center" wrapText="1"/>
    </xf>
    <xf numFmtId="0" fontId="2" fillId="25" borderId="70" xfId="0" applyFont="1" applyFill="1" applyBorder="1" applyAlignment="1">
      <alignment horizontal="center" wrapText="1"/>
    </xf>
    <xf numFmtId="0" fontId="2" fillId="25" borderId="0" xfId="0" applyFont="1" applyFill="1" applyBorder="1" applyAlignment="1">
      <alignment horizontal="center" wrapText="1"/>
    </xf>
    <xf numFmtId="0" fontId="2" fillId="25" borderId="18" xfId="0" applyFont="1" applyFill="1" applyBorder="1" applyAlignment="1">
      <alignment horizontal="center" wrapText="1"/>
    </xf>
    <xf numFmtId="0" fontId="2" fillId="25" borderId="85" xfId="0" applyFont="1" applyFill="1" applyBorder="1" applyAlignment="1">
      <alignment horizontal="center" wrapText="1"/>
    </xf>
    <xf numFmtId="0" fontId="2" fillId="25" borderId="28" xfId="0" applyFont="1" applyFill="1" applyBorder="1" applyAlignment="1">
      <alignment horizontal="center" wrapText="1"/>
    </xf>
    <xf numFmtId="0" fontId="2" fillId="25" borderId="19" xfId="0" applyFont="1" applyFill="1" applyBorder="1" applyAlignment="1">
      <alignment horizontal="center" wrapText="1"/>
    </xf>
    <xf numFmtId="0" fontId="0" fillId="25" borderId="0" xfId="0" applyFill="1" applyBorder="1" applyAlignment="1">
      <alignment wrapText="1"/>
    </xf>
    <xf numFmtId="0" fontId="0" fillId="25" borderId="18" xfId="0" applyFill="1" applyBorder="1" applyAlignment="1">
      <alignment wrapText="1"/>
    </xf>
    <xf numFmtId="0" fontId="7" fillId="31" borderId="53" xfId="0" applyFont="1" applyFill="1" applyBorder="1" applyAlignment="1" applyProtection="1">
      <alignment horizontal="center" vertical="center"/>
      <protection locked="0"/>
    </xf>
    <xf numFmtId="0" fontId="7" fillId="31" borderId="51" xfId="0" applyFont="1" applyFill="1" applyBorder="1" applyAlignment="1" applyProtection="1">
      <alignment horizontal="center" vertical="center"/>
      <protection locked="0"/>
    </xf>
    <xf numFmtId="0" fontId="7" fillId="31" borderId="58" xfId="0" applyFont="1" applyFill="1" applyBorder="1" applyAlignment="1" applyProtection="1">
      <alignment horizontal="center" vertical="center"/>
      <protection locked="0"/>
    </xf>
    <xf numFmtId="0" fontId="7" fillId="31" borderId="36" xfId="0" applyFont="1" applyFill="1" applyBorder="1" applyAlignment="1" applyProtection="1">
      <alignment horizontal="center" vertical="center"/>
      <protection locked="0"/>
    </xf>
    <xf numFmtId="0" fontId="7" fillId="31" borderId="50" xfId="0" applyFont="1" applyFill="1" applyBorder="1" applyAlignment="1" applyProtection="1">
      <alignment horizontal="center" vertical="center"/>
      <protection locked="0"/>
    </xf>
    <xf numFmtId="0" fontId="7" fillId="31" borderId="18" xfId="0" applyFont="1" applyFill="1" applyBorder="1" applyAlignment="1" applyProtection="1">
      <alignment horizontal="center" vertical="center"/>
      <protection locked="0"/>
    </xf>
    <xf numFmtId="0" fontId="7" fillId="31" borderId="19" xfId="0" applyFont="1" applyFill="1" applyBorder="1" applyAlignment="1" applyProtection="1">
      <alignment horizontal="center" vertical="center"/>
      <protection locked="0"/>
    </xf>
    <xf numFmtId="0" fontId="7" fillId="25" borderId="17" xfId="0" applyFont="1" applyFill="1" applyBorder="1" applyAlignment="1" applyProtection="1">
      <alignment horizontal="right" vertical="center"/>
    </xf>
    <xf numFmtId="0" fontId="7" fillId="25" borderId="18" xfId="0" applyFont="1" applyFill="1" applyBorder="1" applyAlignment="1" applyProtection="1">
      <alignment horizontal="right" vertical="center"/>
    </xf>
    <xf numFmtId="0" fontId="7" fillId="25" borderId="35" xfId="0" applyFont="1" applyFill="1" applyBorder="1" applyAlignment="1" applyProtection="1">
      <alignment horizontal="right" vertical="center"/>
    </xf>
    <xf numFmtId="0" fontId="7" fillId="25" borderId="56" xfId="0" applyFont="1" applyFill="1" applyBorder="1" applyAlignment="1" applyProtection="1">
      <alignment horizontal="right" vertical="center"/>
    </xf>
    <xf numFmtId="0" fontId="5" fillId="25" borderId="64" xfId="0" applyFont="1" applyFill="1" applyBorder="1" applyAlignment="1">
      <alignment horizontal="left" vertical="center" wrapText="1"/>
    </xf>
    <xf numFmtId="0" fontId="5" fillId="25" borderId="30" xfId="0" applyFont="1" applyFill="1" applyBorder="1" applyAlignment="1">
      <alignment horizontal="left" vertical="center" wrapText="1"/>
    </xf>
    <xf numFmtId="0" fontId="5" fillId="25" borderId="27" xfId="0" quotePrefix="1" applyFont="1" applyFill="1" applyBorder="1" applyAlignment="1">
      <alignment horizontal="left" vertical="center" wrapText="1"/>
    </xf>
    <xf numFmtId="0" fontId="5" fillId="25" borderId="0" xfId="0" quotePrefix="1" applyFont="1" applyFill="1" applyBorder="1" applyAlignment="1">
      <alignment horizontal="left" vertical="center" wrapText="1"/>
    </xf>
    <xf numFmtId="0" fontId="5" fillId="25" borderId="28" xfId="0" quotePrefix="1" applyFont="1" applyFill="1" applyBorder="1" applyAlignment="1">
      <alignment horizontal="left" vertical="center" wrapText="1"/>
    </xf>
    <xf numFmtId="0" fontId="5" fillId="25" borderId="0" xfId="0" applyFont="1" applyFill="1" applyBorder="1" applyAlignment="1">
      <alignment horizontal="left" vertical="center" wrapText="1"/>
    </xf>
    <xf numFmtId="0" fontId="5" fillId="25" borderId="28" xfId="0" applyFont="1" applyFill="1" applyBorder="1" applyAlignment="1">
      <alignment horizontal="left" vertical="center" wrapText="1"/>
    </xf>
    <xf numFmtId="0" fontId="7" fillId="25" borderId="35" xfId="0" applyFont="1" applyFill="1" applyBorder="1" applyAlignment="1">
      <alignment horizontal="left" vertical="center" wrapText="1"/>
    </xf>
    <xf numFmtId="0" fontId="7" fillId="25" borderId="56" xfId="0" applyFont="1" applyFill="1" applyBorder="1" applyAlignment="1">
      <alignment horizontal="left" vertical="center" wrapText="1"/>
    </xf>
    <xf numFmtId="0" fontId="7" fillId="25" borderId="62" xfId="0" applyFont="1" applyFill="1" applyBorder="1" applyAlignment="1">
      <alignment horizontal="left" vertical="center" wrapText="1"/>
    </xf>
    <xf numFmtId="0" fontId="7" fillId="25" borderId="64" xfId="0" applyFont="1" applyFill="1" applyBorder="1" applyAlignment="1">
      <alignment horizontal="left" vertical="center" wrapText="1"/>
    </xf>
    <xf numFmtId="0" fontId="7" fillId="25" borderId="30" xfId="0" applyFont="1" applyFill="1" applyBorder="1" applyAlignment="1">
      <alignment horizontal="left" vertical="center" wrapText="1"/>
    </xf>
    <xf numFmtId="0" fontId="7" fillId="25" borderId="44" xfId="0" applyFont="1" applyFill="1" applyBorder="1" applyAlignment="1">
      <alignment horizontal="left" vertical="center" wrapText="1"/>
    </xf>
    <xf numFmtId="0" fontId="5" fillId="25" borderId="35" xfId="0" applyFont="1" applyFill="1" applyBorder="1" applyAlignment="1">
      <alignment horizontal="left" vertical="center" wrapText="1"/>
    </xf>
    <xf numFmtId="0" fontId="5" fillId="25" borderId="56" xfId="0" applyFont="1" applyFill="1" applyBorder="1" applyAlignment="1">
      <alignment horizontal="left" vertical="center" wrapText="1"/>
    </xf>
    <xf numFmtId="0" fontId="5" fillId="25" borderId="62" xfId="0" applyFont="1" applyFill="1" applyBorder="1" applyAlignment="1">
      <alignment horizontal="left" vertical="center" wrapText="1"/>
    </xf>
    <xf numFmtId="0" fontId="5" fillId="25" borderId="44" xfId="0" applyFont="1" applyFill="1" applyBorder="1" applyAlignment="1">
      <alignment horizontal="left" vertical="center" wrapText="1"/>
    </xf>
    <xf numFmtId="173" fontId="7" fillId="25" borderId="45" xfId="0" applyNumberFormat="1" applyFont="1" applyFill="1" applyBorder="1" applyAlignment="1" applyProtection="1">
      <alignment horizontal="center" vertical="center" wrapText="1"/>
      <protection locked="0"/>
    </xf>
    <xf numFmtId="173" fontId="7" fillId="25" borderId="46" xfId="0" applyNumberFormat="1" applyFont="1" applyFill="1" applyBorder="1" applyAlignment="1" applyProtection="1">
      <alignment horizontal="center" vertical="center" wrapText="1"/>
      <protection locked="0"/>
    </xf>
    <xf numFmtId="0" fontId="7" fillId="25" borderId="37" xfId="0" applyFont="1" applyFill="1" applyBorder="1" applyAlignment="1" applyProtection="1">
      <alignment horizontal="center" vertical="center"/>
      <protection locked="0"/>
    </xf>
    <xf numFmtId="0" fontId="7" fillId="25" borderId="38" xfId="0" applyFont="1" applyFill="1" applyBorder="1" applyAlignment="1" applyProtection="1">
      <alignment horizontal="center" vertical="center"/>
      <protection locked="0"/>
    </xf>
    <xf numFmtId="0" fontId="7" fillId="25" borderId="39" xfId="0" applyFont="1" applyFill="1" applyBorder="1" applyAlignment="1" applyProtection="1">
      <alignment horizontal="center" vertical="center"/>
      <protection locked="0"/>
    </xf>
    <xf numFmtId="0" fontId="7" fillId="25" borderId="31" xfId="0" applyFont="1" applyFill="1" applyBorder="1" applyAlignment="1" applyProtection="1">
      <alignment horizontal="center" vertical="center"/>
      <protection locked="0"/>
    </xf>
    <xf numFmtId="0" fontId="7" fillId="25" borderId="39" xfId="0" applyFont="1" applyFill="1" applyBorder="1" applyAlignment="1">
      <alignment horizontal="left" vertical="center" wrapText="1"/>
    </xf>
    <xf numFmtId="0" fontId="7" fillId="25" borderId="17" xfId="0" applyFont="1" applyFill="1" applyBorder="1" applyAlignment="1">
      <alignment horizontal="left" vertical="center" wrapText="1"/>
    </xf>
    <xf numFmtId="0" fontId="7" fillId="25" borderId="18" xfId="0" applyFont="1" applyFill="1" applyBorder="1" applyAlignment="1">
      <alignment horizontal="left" vertical="center" wrapText="1"/>
    </xf>
    <xf numFmtId="0" fontId="22" fillId="25" borderId="20" xfId="0" applyFont="1" applyFill="1" applyBorder="1" applyAlignment="1">
      <alignment horizontal="left" vertical="center" wrapText="1"/>
    </xf>
    <xf numFmtId="0" fontId="22" fillId="25" borderId="14" xfId="0" applyFont="1" applyFill="1" applyBorder="1" applyAlignment="1">
      <alignment horizontal="left" vertical="center" wrapText="1"/>
    </xf>
    <xf numFmtId="0" fontId="22" fillId="25" borderId="22" xfId="0" applyFont="1" applyFill="1" applyBorder="1" applyAlignment="1">
      <alignment horizontal="left" vertical="center" wrapText="1"/>
    </xf>
    <xf numFmtId="0" fontId="7" fillId="25" borderId="65" xfId="0" applyFont="1" applyFill="1" applyBorder="1" applyAlignment="1">
      <alignment horizontal="right" vertical="center" wrapText="1"/>
    </xf>
    <xf numFmtId="0" fontId="7" fillId="25" borderId="14" xfId="0" applyFont="1" applyFill="1" applyBorder="1" applyAlignment="1">
      <alignment horizontal="right" vertical="center" wrapText="1"/>
    </xf>
    <xf numFmtId="0" fontId="7" fillId="25" borderId="59" xfId="0" applyFont="1" applyFill="1" applyBorder="1" applyAlignment="1">
      <alignment horizontal="right" vertical="center" wrapText="1"/>
    </xf>
    <xf numFmtId="0" fontId="5" fillId="25" borderId="58" xfId="0" applyFont="1" applyFill="1" applyBorder="1" applyAlignment="1">
      <alignment horizontal="left" vertical="center" wrapText="1"/>
    </xf>
    <xf numFmtId="0" fontId="5" fillId="25" borderId="39" xfId="0" applyFont="1" applyFill="1" applyBorder="1" applyAlignment="1">
      <alignment horizontal="left" vertical="center" wrapText="1"/>
    </xf>
    <xf numFmtId="0" fontId="7" fillId="25" borderId="52" xfId="0" applyFont="1" applyFill="1" applyBorder="1" applyAlignment="1">
      <alignment horizontal="left" vertical="center" wrapText="1"/>
    </xf>
    <xf numFmtId="0" fontId="7" fillId="25" borderId="45" xfId="0" applyFont="1" applyFill="1" applyBorder="1" applyAlignment="1">
      <alignment horizontal="left" vertical="center" wrapText="1"/>
    </xf>
    <xf numFmtId="0" fontId="17" fillId="25" borderId="20" xfId="0" applyFont="1" applyFill="1" applyBorder="1" applyAlignment="1">
      <alignment horizontal="left" vertical="center" wrapText="1"/>
    </xf>
    <xf numFmtId="0" fontId="17" fillId="25" borderId="14" xfId="0" applyFont="1" applyFill="1" applyBorder="1" applyAlignment="1">
      <alignment horizontal="left" vertical="center" wrapText="1"/>
    </xf>
    <xf numFmtId="0" fontId="17" fillId="25" borderId="59" xfId="0" applyFont="1" applyFill="1" applyBorder="1" applyAlignment="1">
      <alignment horizontal="left" vertical="center" wrapText="1"/>
    </xf>
    <xf numFmtId="0" fontId="5" fillId="24" borderId="17" xfId="0" applyFont="1" applyFill="1" applyBorder="1" applyAlignment="1" applyProtection="1">
      <alignment horizontal="left" vertical="top" wrapText="1"/>
      <protection locked="0"/>
    </xf>
    <xf numFmtId="0" fontId="5" fillId="24" borderId="18" xfId="0" applyFont="1" applyFill="1" applyBorder="1" applyAlignment="1" applyProtection="1">
      <alignment horizontal="left" vertical="top" wrapText="1"/>
      <protection locked="0"/>
    </xf>
    <xf numFmtId="0" fontId="5" fillId="24" borderId="19" xfId="0" applyFont="1" applyFill="1" applyBorder="1" applyAlignment="1" applyProtection="1">
      <alignment horizontal="left" vertical="top" wrapText="1"/>
      <protection locked="0"/>
    </xf>
    <xf numFmtId="0" fontId="8" fillId="25" borderId="15" xfId="0" applyFont="1" applyFill="1" applyBorder="1" applyAlignment="1" applyProtection="1">
      <alignment horizontal="left" vertical="center"/>
    </xf>
    <xf numFmtId="0" fontId="8" fillId="25" borderId="70" xfId="0" applyFont="1" applyFill="1" applyBorder="1" applyAlignment="1" applyProtection="1">
      <alignment horizontal="left" vertical="center"/>
    </xf>
    <xf numFmtId="0" fontId="8" fillId="25" borderId="11" xfId="0" applyFont="1" applyFill="1" applyBorder="1" applyAlignment="1" applyProtection="1">
      <alignment horizontal="left" vertical="center"/>
    </xf>
    <xf numFmtId="0" fontId="17" fillId="25" borderId="27" xfId="0" applyFont="1" applyFill="1" applyBorder="1" applyAlignment="1" applyProtection="1">
      <alignment horizontal="left" vertical="center"/>
      <protection locked="0"/>
    </xf>
    <xf numFmtId="0" fontId="17" fillId="25" borderId="0" xfId="0" applyFont="1" applyFill="1" applyBorder="1" applyAlignment="1" applyProtection="1">
      <alignment horizontal="left" vertical="center"/>
      <protection locked="0"/>
    </xf>
    <xf numFmtId="0" fontId="17" fillId="25" borderId="28" xfId="0" applyFont="1" applyFill="1" applyBorder="1" applyAlignment="1" applyProtection="1">
      <alignment horizontal="left" vertical="center"/>
      <protection locked="0"/>
    </xf>
    <xf numFmtId="0" fontId="8" fillId="25" borderId="17" xfId="0" applyFont="1" applyFill="1" applyBorder="1" applyAlignment="1" applyProtection="1">
      <alignment horizontal="left" vertical="center" wrapText="1"/>
    </xf>
    <xf numFmtId="0" fontId="8" fillId="25" borderId="18" xfId="0" applyFont="1" applyFill="1" applyBorder="1" applyAlignment="1" applyProtection="1">
      <alignment horizontal="left" vertical="center" wrapText="1"/>
    </xf>
    <xf numFmtId="0" fontId="8" fillId="25" borderId="19" xfId="0" applyFont="1" applyFill="1" applyBorder="1" applyAlignment="1" applyProtection="1">
      <alignment horizontal="left" vertical="center" wrapText="1"/>
    </xf>
    <xf numFmtId="0" fontId="8" fillId="25" borderId="18" xfId="0" applyFont="1" applyFill="1" applyBorder="1" applyAlignment="1">
      <alignment horizontal="left" vertical="top" wrapText="1"/>
    </xf>
    <xf numFmtId="0" fontId="17" fillId="25" borderId="65" xfId="0" applyFont="1" applyFill="1" applyBorder="1" applyAlignment="1" applyProtection="1">
      <alignment horizontal="left" vertical="center" wrapText="1"/>
    </xf>
    <xf numFmtId="0" fontId="17" fillId="25" borderId="14" xfId="0" applyFont="1" applyFill="1" applyBorder="1" applyAlignment="1" applyProtection="1">
      <alignment horizontal="left" vertical="center" wrapText="1"/>
    </xf>
    <xf numFmtId="0" fontId="17" fillId="25" borderId="22" xfId="0" applyFont="1" applyFill="1" applyBorder="1" applyAlignment="1" applyProtection="1">
      <alignment horizontal="left" vertical="center" wrapText="1"/>
    </xf>
    <xf numFmtId="0" fontId="7" fillId="25" borderId="87" xfId="0" applyFont="1" applyFill="1" applyBorder="1" applyAlignment="1" applyProtection="1">
      <alignment horizontal="left" vertical="center"/>
    </xf>
    <xf numFmtId="0" fontId="7" fillId="25" borderId="70" xfId="0" applyFont="1" applyFill="1" applyBorder="1" applyAlignment="1" applyProtection="1">
      <alignment horizontal="left" vertical="center"/>
    </xf>
    <xf numFmtId="0" fontId="7" fillId="31" borderId="37" xfId="0" applyFont="1" applyFill="1" applyBorder="1" applyAlignment="1" applyProtection="1">
      <alignment horizontal="center" vertical="center"/>
      <protection locked="0"/>
    </xf>
    <xf numFmtId="0" fontId="7" fillId="31" borderId="38" xfId="0" applyFont="1" applyFill="1" applyBorder="1" applyAlignment="1" applyProtection="1">
      <alignment horizontal="center" vertical="center"/>
      <protection locked="0"/>
    </xf>
    <xf numFmtId="0" fontId="7" fillId="25" borderId="69" xfId="0" applyFont="1" applyFill="1" applyBorder="1" applyAlignment="1" applyProtection="1">
      <alignment horizontal="left" vertical="center" wrapText="1"/>
    </xf>
    <xf numFmtId="0" fontId="7" fillId="25" borderId="50" xfId="0" applyFont="1" applyFill="1" applyBorder="1" applyAlignment="1" applyProtection="1">
      <alignment horizontal="left" vertical="center" wrapText="1"/>
    </xf>
    <xf numFmtId="0" fontId="7" fillId="25" borderId="76" xfId="0" applyFont="1" applyFill="1" applyBorder="1" applyAlignment="1" applyProtection="1">
      <alignment horizontal="left" vertical="center" wrapText="1"/>
    </xf>
    <xf numFmtId="0" fontId="7" fillId="25" borderId="27" xfId="0" applyFont="1" applyFill="1" applyBorder="1" applyAlignment="1" applyProtection="1">
      <alignment horizontal="left" vertical="center"/>
    </xf>
    <xf numFmtId="0" fontId="7" fillId="25" borderId="0" xfId="0" applyFont="1" applyFill="1" applyBorder="1" applyAlignment="1" applyProtection="1">
      <alignment horizontal="left" vertical="center"/>
    </xf>
    <xf numFmtId="0" fontId="7" fillId="25" borderId="33" xfId="0" applyFont="1" applyFill="1" applyBorder="1" applyAlignment="1" applyProtection="1">
      <alignment horizontal="left" vertical="center"/>
    </xf>
    <xf numFmtId="0" fontId="5" fillId="25" borderId="0" xfId="0" applyFont="1" applyFill="1" applyBorder="1" applyAlignment="1">
      <alignment horizontal="left" wrapText="1"/>
    </xf>
    <xf numFmtId="0" fontId="4" fillId="25" borderId="0" xfId="0" applyFont="1" applyFill="1" applyAlignment="1" applyProtection="1">
      <alignment horizontal="center" vertical="center"/>
    </xf>
    <xf numFmtId="0" fontId="7" fillId="35" borderId="48" xfId="0" applyFont="1" applyFill="1" applyBorder="1" applyAlignment="1" applyProtection="1">
      <alignment horizontal="center" vertical="center"/>
      <protection locked="0"/>
    </xf>
    <xf numFmtId="0" fontId="7" fillId="35" borderId="49" xfId="0" applyFont="1" applyFill="1" applyBorder="1" applyAlignment="1" applyProtection="1">
      <alignment horizontal="center" vertical="center"/>
      <protection locked="0"/>
    </xf>
    <xf numFmtId="0" fontId="30" fillId="25" borderId="28" xfId="0" applyFont="1" applyFill="1" applyBorder="1" applyAlignment="1">
      <alignment horizontal="center" vertical="center"/>
    </xf>
    <xf numFmtId="0" fontId="5" fillId="25" borderId="15" xfId="0" applyFont="1" applyFill="1" applyBorder="1" applyAlignment="1">
      <alignment horizontal="left" vertical="center" wrapText="1"/>
    </xf>
    <xf numFmtId="0" fontId="5" fillId="25" borderId="70" xfId="0" applyFont="1" applyFill="1" applyBorder="1" applyAlignment="1">
      <alignment horizontal="left" vertical="center" wrapText="1"/>
    </xf>
    <xf numFmtId="0" fontId="5" fillId="25" borderId="11" xfId="0" applyFont="1" applyFill="1" applyBorder="1" applyAlignment="1">
      <alignment horizontal="left" vertical="center" wrapText="1"/>
    </xf>
    <xf numFmtId="0" fontId="5" fillId="25" borderId="27"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8" xfId="0" quotePrefix="1" applyFont="1" applyFill="1" applyBorder="1" applyAlignment="1">
      <alignment horizontal="left" vertical="center"/>
    </xf>
    <xf numFmtId="0" fontId="5" fillId="25" borderId="17" xfId="0" quotePrefix="1" applyFont="1" applyFill="1" applyBorder="1" applyAlignment="1">
      <alignment horizontal="left" vertical="center"/>
    </xf>
    <xf numFmtId="0" fontId="5" fillId="25" borderId="18" xfId="0" quotePrefix="1" applyFont="1" applyFill="1" applyBorder="1" applyAlignment="1">
      <alignment horizontal="left" vertical="center"/>
    </xf>
    <xf numFmtId="0" fontId="5" fillId="25" borderId="19" xfId="0" quotePrefix="1" applyFont="1" applyFill="1" applyBorder="1" applyAlignment="1">
      <alignment horizontal="left" vertical="center"/>
    </xf>
    <xf numFmtId="0" fontId="5" fillId="25" borderId="69" xfId="0" applyFont="1" applyFill="1" applyBorder="1" applyAlignment="1">
      <alignment horizontal="left" vertical="center" wrapText="1"/>
    </xf>
    <xf numFmtId="0" fontId="5" fillId="25" borderId="50" xfId="0" applyFont="1" applyFill="1" applyBorder="1" applyAlignment="1">
      <alignment horizontal="left" vertical="center" wrapText="1"/>
    </xf>
    <xf numFmtId="0" fontId="5" fillId="25" borderId="76" xfId="0" applyFont="1" applyFill="1" applyBorder="1" applyAlignment="1">
      <alignment horizontal="left" vertical="center" wrapText="1"/>
    </xf>
    <xf numFmtId="0" fontId="5" fillId="25" borderId="54" xfId="0" applyFont="1" applyFill="1" applyBorder="1" applyAlignment="1" applyProtection="1">
      <alignment horizontal="center" vertical="center" wrapText="1"/>
      <protection locked="0"/>
    </xf>
    <xf numFmtId="0" fontId="0" fillId="0" borderId="55" xfId="0" applyBorder="1" applyAlignment="1" applyProtection="1">
      <protection locked="0"/>
    </xf>
    <xf numFmtId="0" fontId="5" fillId="25" borderId="77" xfId="0" applyFont="1" applyFill="1" applyBorder="1" applyAlignment="1" applyProtection="1">
      <alignment horizontal="center" vertical="center" wrapText="1"/>
      <protection locked="0"/>
    </xf>
    <xf numFmtId="0" fontId="0" fillId="0" borderId="80" xfId="0" applyBorder="1" applyAlignment="1" applyProtection="1">
      <protection locked="0"/>
    </xf>
    <xf numFmtId="0" fontId="5" fillId="0" borderId="35" xfId="0" applyFont="1" applyFill="1" applyBorder="1" applyAlignment="1" applyProtection="1">
      <alignment horizontal="center" vertical="center" wrapText="1"/>
      <protection locked="0"/>
    </xf>
    <xf numFmtId="0" fontId="5" fillId="0" borderId="56" xfId="0" applyFont="1" applyFill="1" applyBorder="1" applyAlignment="1" applyProtection="1">
      <alignment horizontal="center" vertical="center" wrapText="1"/>
      <protection locked="0"/>
    </xf>
    <xf numFmtId="0" fontId="5" fillId="25" borderId="20" xfId="0" applyFont="1" applyFill="1" applyBorder="1" applyAlignment="1" applyProtection="1">
      <alignment horizontal="left" vertical="center" wrapText="1"/>
    </xf>
    <xf numFmtId="0" fontId="5" fillId="25" borderId="14" xfId="0" applyFont="1" applyFill="1" applyBorder="1" applyAlignment="1" applyProtection="1">
      <alignment horizontal="left" vertical="center" wrapText="1"/>
    </xf>
    <xf numFmtId="0" fontId="5" fillId="25" borderId="22" xfId="0" applyFont="1" applyFill="1" applyBorder="1" applyAlignment="1" applyProtection="1">
      <alignment horizontal="left" vertical="center" wrapText="1"/>
    </xf>
    <xf numFmtId="0" fontId="7" fillId="31" borderId="39" xfId="0" applyFont="1" applyFill="1" applyBorder="1" applyAlignment="1" applyProtection="1">
      <alignment horizontal="center" vertical="center"/>
      <protection locked="0"/>
    </xf>
    <xf numFmtId="0" fontId="7" fillId="31" borderId="31" xfId="0" applyFont="1" applyFill="1" applyBorder="1" applyAlignment="1" applyProtection="1">
      <alignment horizontal="center" vertical="center"/>
      <protection locked="0"/>
    </xf>
    <xf numFmtId="0" fontId="5" fillId="30" borderId="17" xfId="0" applyFont="1" applyFill="1" applyBorder="1" applyAlignment="1" applyProtection="1">
      <alignment horizontal="center" vertical="center" wrapText="1"/>
      <protection locked="0"/>
    </xf>
    <xf numFmtId="0" fontId="5" fillId="30" borderId="18" xfId="0" applyFont="1" applyFill="1" applyBorder="1" applyAlignment="1" applyProtection="1">
      <alignment horizontal="center" vertical="center" wrapText="1"/>
      <protection locked="0"/>
    </xf>
    <xf numFmtId="0" fontId="5" fillId="30" borderId="19" xfId="0" applyFont="1" applyFill="1" applyBorder="1" applyAlignment="1" applyProtection="1">
      <alignment horizontal="center" vertical="center" wrapText="1"/>
      <protection locked="0"/>
    </xf>
    <xf numFmtId="0" fontId="17" fillId="25" borderId="22" xfId="0" applyFont="1" applyFill="1" applyBorder="1" applyAlignment="1">
      <alignment horizontal="left" vertical="center" wrapText="1"/>
    </xf>
    <xf numFmtId="0" fontId="5" fillId="25" borderId="20" xfId="0" applyFont="1" applyFill="1" applyBorder="1" applyAlignment="1">
      <alignment horizontal="left" vertical="center" wrapText="1"/>
    </xf>
    <xf numFmtId="0" fontId="5" fillId="25" borderId="14" xfId="0" applyFont="1" applyFill="1" applyBorder="1" applyAlignment="1">
      <alignment horizontal="left" vertical="center" wrapText="1"/>
    </xf>
    <xf numFmtId="0" fontId="5" fillId="25" borderId="22" xfId="0" applyFont="1" applyFill="1" applyBorder="1" applyAlignment="1">
      <alignment horizontal="left" vertical="center" wrapText="1"/>
    </xf>
    <xf numFmtId="0" fontId="7" fillId="31" borderId="97" xfId="0" applyFont="1" applyFill="1" applyBorder="1" applyAlignment="1" applyProtection="1">
      <alignment horizontal="center" vertical="center"/>
      <protection locked="0"/>
    </xf>
    <xf numFmtId="0" fontId="7" fillId="31" borderId="28" xfId="0" applyFont="1" applyFill="1" applyBorder="1" applyAlignment="1" applyProtection="1">
      <alignment horizontal="center" vertical="center"/>
      <protection locked="0"/>
    </xf>
  </cellXfs>
  <cellStyles count="56">
    <cellStyle name="20% - Colore 1" xfId="1" xr:uid="{00000000-0005-0000-0000-000000000000}"/>
    <cellStyle name="20% - Colore 2" xfId="2" xr:uid="{00000000-0005-0000-0000-000001000000}"/>
    <cellStyle name="20% - Colore 3" xfId="3" xr:uid="{00000000-0005-0000-0000-000002000000}"/>
    <cellStyle name="20% - Colore 4" xfId="4" xr:uid="{00000000-0005-0000-0000-000003000000}"/>
    <cellStyle name="20% - Colore 5" xfId="5" xr:uid="{00000000-0005-0000-0000-000004000000}"/>
    <cellStyle name="20% - Colore 6" xfId="6" xr:uid="{00000000-0005-0000-0000-000005000000}"/>
    <cellStyle name="40% - Colore 1" xfId="7" xr:uid="{00000000-0005-0000-0000-000006000000}"/>
    <cellStyle name="40% - Colore 2" xfId="8" xr:uid="{00000000-0005-0000-0000-000007000000}"/>
    <cellStyle name="40% - Colore 3" xfId="9" xr:uid="{00000000-0005-0000-0000-000008000000}"/>
    <cellStyle name="40% - Colore 4" xfId="10" xr:uid="{00000000-0005-0000-0000-000009000000}"/>
    <cellStyle name="40% - Colore 5" xfId="11" xr:uid="{00000000-0005-0000-0000-00000A000000}"/>
    <cellStyle name="40% - Colore 6" xfId="12" xr:uid="{00000000-0005-0000-0000-00000B000000}"/>
    <cellStyle name="60% - Colore 1" xfId="13" xr:uid="{00000000-0005-0000-0000-00000C000000}"/>
    <cellStyle name="60% - Colore 2" xfId="14" xr:uid="{00000000-0005-0000-0000-00000D000000}"/>
    <cellStyle name="60% - Colore 3" xfId="15" xr:uid="{00000000-0005-0000-0000-00000E000000}"/>
    <cellStyle name="60% - Colore 4" xfId="16" xr:uid="{00000000-0005-0000-0000-00000F000000}"/>
    <cellStyle name="60% - Colore 5" xfId="17" xr:uid="{00000000-0005-0000-0000-000010000000}"/>
    <cellStyle name="60% - Colore 6" xfId="18" xr:uid="{00000000-0005-0000-0000-000011000000}"/>
    <cellStyle name="Calcolo" xfId="19" xr:uid="{00000000-0005-0000-0000-000012000000}"/>
    <cellStyle name="Calcolo 2" xfId="50" xr:uid="{00000000-0005-0000-0000-000013000000}"/>
    <cellStyle name="Cella collegata" xfId="20" xr:uid="{00000000-0005-0000-0000-000014000000}"/>
    <cellStyle name="Cella da controllare" xfId="21" xr:uid="{00000000-0005-0000-0000-000015000000}"/>
    <cellStyle name="Colore 1" xfId="22" xr:uid="{00000000-0005-0000-0000-000016000000}"/>
    <cellStyle name="Colore 2" xfId="23" xr:uid="{00000000-0005-0000-0000-000017000000}"/>
    <cellStyle name="Colore 3" xfId="24" xr:uid="{00000000-0005-0000-0000-000018000000}"/>
    <cellStyle name="Colore 4" xfId="25" xr:uid="{00000000-0005-0000-0000-000019000000}"/>
    <cellStyle name="Colore 5" xfId="26" xr:uid="{00000000-0005-0000-0000-00001A000000}"/>
    <cellStyle name="Colore 6" xfId="27" xr:uid="{00000000-0005-0000-0000-00001B000000}"/>
    <cellStyle name="Heading" xfId="46" xr:uid="{00000000-0005-0000-0000-00001C000000}"/>
    <cellStyle name="Heading1" xfId="47" xr:uid="{00000000-0005-0000-0000-00001D000000}"/>
    <cellStyle name="Input" xfId="28" xr:uid="{00000000-0005-0000-0000-00001E000000}"/>
    <cellStyle name="Input 2" xfId="51" xr:uid="{00000000-0005-0000-0000-00001F000000}"/>
    <cellStyle name="Komma" xfId="44" builtinId="3"/>
    <cellStyle name="Komma 2" xfId="55" xr:uid="{00000000-0005-0000-0000-000021000000}"/>
    <cellStyle name="Neutrale" xfId="29" xr:uid="{00000000-0005-0000-0000-000022000000}"/>
    <cellStyle name="Nota" xfId="30" xr:uid="{00000000-0005-0000-0000-000023000000}"/>
    <cellStyle name="Nota 2" xfId="52" xr:uid="{00000000-0005-0000-0000-000024000000}"/>
    <cellStyle name="Output" xfId="31" xr:uid="{00000000-0005-0000-0000-000025000000}"/>
    <cellStyle name="Output 2" xfId="53" xr:uid="{00000000-0005-0000-0000-000026000000}"/>
    <cellStyle name="Prozent" xfId="32" builtinId="5"/>
    <cellStyle name="Result" xfId="48" xr:uid="{00000000-0005-0000-0000-000028000000}"/>
    <cellStyle name="Result2" xfId="49" xr:uid="{00000000-0005-0000-0000-000029000000}"/>
    <cellStyle name="Standard" xfId="0" builtinId="0"/>
    <cellStyle name="Standard 2" xfId="45" xr:uid="{00000000-0005-0000-0000-00002B000000}"/>
    <cellStyle name="Standard_Entwurf Erläuterungen.XLT" xfId="33" xr:uid="{00000000-0005-0000-0000-00002C000000}"/>
    <cellStyle name="Testo avviso" xfId="34" xr:uid="{00000000-0005-0000-0000-00002D000000}"/>
    <cellStyle name="Testo descrittivo" xfId="35" xr:uid="{00000000-0005-0000-0000-00002E000000}"/>
    <cellStyle name="Titolo" xfId="36" xr:uid="{00000000-0005-0000-0000-00002F000000}"/>
    <cellStyle name="Titolo 1" xfId="37" xr:uid="{00000000-0005-0000-0000-000030000000}"/>
    <cellStyle name="Titolo 2" xfId="38" xr:uid="{00000000-0005-0000-0000-000031000000}"/>
    <cellStyle name="Titolo 3" xfId="39" xr:uid="{00000000-0005-0000-0000-000032000000}"/>
    <cellStyle name="Titolo 4" xfId="40" xr:uid="{00000000-0005-0000-0000-000033000000}"/>
    <cellStyle name="Totale" xfId="41" xr:uid="{00000000-0005-0000-0000-000034000000}"/>
    <cellStyle name="Totale 2" xfId="54" xr:uid="{00000000-0005-0000-0000-000035000000}"/>
    <cellStyle name="Valore non valido" xfId="42" xr:uid="{00000000-0005-0000-0000-000036000000}"/>
    <cellStyle name="Valore valido" xfId="43" xr:uid="{00000000-0005-0000-0000-000037000000}"/>
  </cellStyles>
  <dxfs count="108">
    <dxf>
      <fill>
        <patternFill>
          <bgColor rgb="FFEEFFDD"/>
        </patternFill>
      </fill>
    </dxf>
    <dxf>
      <fill>
        <patternFill>
          <bgColor rgb="FFEEFFDD"/>
        </patternFill>
      </fill>
    </dxf>
    <dxf>
      <fill>
        <patternFill>
          <bgColor rgb="FFFF0000"/>
        </patternFill>
      </fill>
    </dxf>
    <dxf>
      <fill>
        <patternFill>
          <bgColor rgb="FF92D050"/>
        </patternFill>
      </fill>
    </dxf>
    <dxf>
      <fill>
        <patternFill>
          <bgColor rgb="FFFF0000"/>
        </patternFill>
      </fill>
    </dxf>
    <dxf>
      <fill>
        <patternFill>
          <bgColor rgb="FFEEFFDD"/>
        </patternFill>
      </fill>
    </dxf>
    <dxf>
      <fill>
        <patternFill>
          <bgColor rgb="FFFFFF0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rgb="FF92D050"/>
        </patternFill>
      </fill>
    </dxf>
    <dxf>
      <fill>
        <patternFill>
          <bgColor rgb="FFFF0000"/>
        </patternFill>
      </fill>
    </dxf>
    <dxf>
      <font>
        <color auto="1"/>
      </font>
      <fill>
        <patternFill>
          <bgColor rgb="FFFFFF0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fgColor indexed="29"/>
          <bgColor indexed="42"/>
        </patternFill>
      </fill>
    </dxf>
    <dxf>
      <font>
        <color auto="1"/>
      </font>
      <fill>
        <patternFill>
          <bgColor rgb="FF92D05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FF0000"/>
        </patternFill>
      </fill>
    </dxf>
    <dxf>
      <border>
        <left style="hair">
          <color auto="1"/>
        </left>
        <right style="hair">
          <color auto="1"/>
        </right>
        <top style="hair">
          <color auto="1"/>
        </top>
        <bottom style="hair">
          <color auto="1"/>
        </bottom>
        <vertical/>
        <horizontal/>
      </border>
    </dxf>
    <dxf>
      <fill>
        <patternFill>
          <bgColor rgb="FFEEFFDD"/>
        </patternFill>
      </fill>
    </dxf>
    <dxf>
      <font>
        <color theme="0"/>
      </font>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92D050"/>
        </patternFill>
      </fill>
    </dxf>
    <dxf>
      <fill>
        <patternFill>
          <bgColor rgb="FFFF0000"/>
        </patternFill>
      </fill>
    </dxf>
    <dxf>
      <font>
        <color theme="1"/>
      </font>
      <fill>
        <patternFill>
          <bgColor rgb="FFEEFFDD"/>
        </patternFill>
      </fill>
    </dxf>
    <dxf>
      <fill>
        <patternFill>
          <bgColor rgb="FFEEFFDD"/>
        </patternFill>
      </fill>
    </dxf>
    <dxf>
      <fill>
        <patternFill>
          <bgColor rgb="FFFFFF00"/>
        </patternFill>
      </fill>
    </dxf>
    <dxf>
      <fill>
        <patternFill>
          <bgColor rgb="FFEEFFDD"/>
        </patternFill>
      </fill>
    </dxf>
    <dxf>
      <font>
        <color theme="0"/>
      </font>
    </dxf>
    <dxf>
      <fill>
        <patternFill>
          <bgColor theme="0"/>
        </patternFill>
      </fill>
    </dxf>
    <dxf>
      <fill>
        <patternFill>
          <bgColor rgb="FFFFFF00"/>
        </patternFill>
      </fill>
    </dxf>
    <dxf>
      <font>
        <color theme="0"/>
      </font>
      <fill>
        <patternFill>
          <bgColor theme="0"/>
        </patternFill>
      </fill>
    </dxf>
    <dxf>
      <font>
        <color theme="0"/>
      </font>
      <fill>
        <patternFill>
          <bgColor theme="0"/>
        </patternFill>
      </fill>
      <border>
        <left/>
        <vertical/>
        <horizontal/>
      </border>
    </dxf>
    <dxf>
      <font>
        <color theme="0"/>
      </font>
      <fill>
        <patternFill>
          <bgColor theme="0"/>
        </patternFill>
      </fill>
    </dxf>
    <dxf>
      <font>
        <color rgb="FF9C0006"/>
      </font>
      <fill>
        <patternFill>
          <bgColor rgb="FFFFC7CE"/>
        </patternFill>
      </fill>
    </dxf>
    <dxf>
      <font>
        <color auto="1"/>
      </font>
      <fill>
        <patternFill>
          <bgColor rgb="FFCC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fill>
        <patternFill>
          <bgColor theme="0"/>
        </patternFill>
      </fill>
      <border>
        <left/>
        <right/>
        <top/>
        <bottom/>
        <vertical/>
        <horizontal/>
      </border>
    </dxf>
    <dxf>
      <font>
        <color theme="1"/>
      </font>
      <fill>
        <patternFill>
          <bgColor rgb="FFEEFFDD"/>
        </patternFill>
      </fill>
    </dxf>
    <dxf>
      <font>
        <b/>
        <i val="0"/>
        <color rgb="FFFF0000"/>
      </font>
      <fill>
        <patternFill>
          <bgColor theme="5" tint="0.79998168889431442"/>
        </patternFill>
      </fill>
    </dxf>
    <dxf>
      <border>
        <top/>
        <vertical/>
        <horizontal/>
      </border>
    </dxf>
    <dxf>
      <font>
        <b/>
        <i val="0"/>
        <color auto="1"/>
      </font>
      <fill>
        <patternFill>
          <bgColor rgb="FFCCFF99"/>
        </patternFill>
      </fill>
    </dxf>
    <dxf>
      <font>
        <color theme="0"/>
      </font>
      <fill>
        <patternFill>
          <fgColor theme="0"/>
          <bgColor theme="0"/>
        </patternFill>
      </fill>
      <border>
        <left/>
        <right/>
        <top style="thin">
          <color auto="1"/>
        </top>
        <bottom/>
        <vertical/>
        <horizontal/>
      </border>
    </dxf>
    <dxf>
      <border>
        <bottom style="thin">
          <color theme="1"/>
        </bottom>
        <vertical/>
        <horizontal/>
      </border>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theme="1"/>
      </font>
      <fill>
        <patternFill>
          <bgColor rgb="FFEEFFDD"/>
        </patternFill>
      </fill>
    </dxf>
    <dxf>
      <font>
        <color theme="1"/>
      </font>
      <fill>
        <patternFill>
          <bgColor rgb="FFEEFFDD"/>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theme="0"/>
      </font>
    </dxf>
    <dxf>
      <font>
        <color theme="1"/>
      </font>
      <fill>
        <patternFill>
          <bgColor rgb="FFEEFFDD"/>
        </patternFill>
      </fill>
    </dxf>
    <dxf>
      <font>
        <color theme="1"/>
      </font>
      <fill>
        <patternFill>
          <bgColor rgb="FFEEFFDD"/>
        </patternFill>
      </fill>
    </dxf>
    <dxf>
      <font>
        <color rgb="FF9C0006"/>
      </font>
      <fill>
        <patternFill>
          <bgColor rgb="FFFFC7CE"/>
        </patternFill>
      </fill>
    </dxf>
    <dxf>
      <font>
        <color auto="1"/>
      </font>
      <fill>
        <patternFill>
          <bgColor rgb="FFCCFF99"/>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ill>
        <patternFill>
          <fgColor indexed="9"/>
          <bgColor indexed="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EEFFDD"/>
      <color rgb="FFFFEB00"/>
      <color rgb="FFEBF1DE"/>
      <color rgb="FFFFFF66"/>
      <color rgb="FFCCFFCC"/>
      <color rgb="FFCCFF99"/>
      <color rgb="FFFFFFCC"/>
      <color rgb="FF9CB4BB"/>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6.png"/><Relationship Id="rId2" Type="http://schemas.microsoft.com/office/2011/relationships/chartColorStyle" Target="colors1.xml"/><Relationship Id="rId1" Type="http://schemas.microsoft.com/office/2011/relationships/chartStyle" Target="style1.xml"/><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extLst>
              <c:ext xmlns:c16="http://schemas.microsoft.com/office/drawing/2014/chart" uri="{C3380CC4-5D6E-409C-BE32-E72D297353CC}">
                <c16:uniqueId val="{00000001-44A3-45B1-AAFC-02240255766F}"/>
              </c:ext>
            </c:extLst>
          </c:dPt>
          <c:val>
            <c:numRef>
              <c:f>'Hülle &amp; Elektrizität'!$AM$18</c:f>
            </c:numRef>
          </c:val>
          <c:extLst>
            <c:ext xmlns:c16="http://schemas.microsoft.com/office/drawing/2014/chart" uri="{C3380CC4-5D6E-409C-BE32-E72D297353CC}">
              <c16:uniqueId val="{00000002-44A3-45B1-AAFC-02240255766F}"/>
            </c:ext>
          </c:extLst>
        </c:ser>
        <c:ser>
          <c:idx val="1"/>
          <c:order val="1"/>
          <c:spPr>
            <a:blipFill>
              <a:blip xmlns:r="http://schemas.openxmlformats.org/officeDocument/2006/relationships" r:embed="rId4"/>
              <a:stretch>
                <a:fillRect/>
              </a:stretch>
            </a:blipFill>
            <a:ln>
              <a:noFill/>
            </a:ln>
            <a:effectLst/>
          </c:spPr>
          <c:invertIfNegative val="0"/>
          <c:val>
            <c:numRef>
              <c:f>'Hülle &amp; Elektrizität'!$AM$19</c:f>
            </c:numRef>
          </c:val>
          <c:extLst>
            <c:ext xmlns:c16="http://schemas.microsoft.com/office/drawing/2014/chart" uri="{C3380CC4-5D6E-409C-BE32-E72D297353CC}">
              <c16:uniqueId val="{00000003-44A3-45B1-AAFC-02240255766F}"/>
            </c:ext>
          </c:extLst>
        </c:ser>
        <c:ser>
          <c:idx val="2"/>
          <c:order val="2"/>
          <c:spPr>
            <a:blipFill>
              <a:blip xmlns:r="http://schemas.openxmlformats.org/officeDocument/2006/relationships" r:embed="rId5"/>
              <a:stretch>
                <a:fillRect/>
              </a:stretch>
            </a:blipFill>
            <a:ln>
              <a:noFill/>
            </a:ln>
            <a:effectLst/>
          </c:spPr>
          <c:invertIfNegative val="0"/>
          <c:val>
            <c:numRef>
              <c:f>'Hülle &amp; Elektrizität'!$AM$20</c:f>
            </c:numRef>
          </c:val>
          <c:extLst>
            <c:ext xmlns:c16="http://schemas.microsoft.com/office/drawing/2014/chart" uri="{C3380CC4-5D6E-409C-BE32-E72D297353CC}">
              <c16:uniqueId val="{00000004-44A3-45B1-AAFC-02240255766F}"/>
            </c:ext>
          </c:extLst>
        </c:ser>
        <c:ser>
          <c:idx val="3"/>
          <c:order val="3"/>
          <c:spPr>
            <a:blipFill>
              <a:blip xmlns:r="http://schemas.openxmlformats.org/officeDocument/2006/relationships" r:embed="rId6"/>
              <a:stretch>
                <a:fillRect/>
              </a:stretch>
            </a:blipFill>
            <a:ln>
              <a:noFill/>
            </a:ln>
            <a:effectLst/>
          </c:spPr>
          <c:invertIfNegative val="0"/>
          <c:val>
            <c:numRef>
              <c:f>'Hülle &amp; Elektrizität'!$AM$21</c:f>
            </c:numRef>
          </c:val>
          <c:extLst>
            <c:ext xmlns:c16="http://schemas.microsoft.com/office/drawing/2014/chart" uri="{C3380CC4-5D6E-409C-BE32-E72D297353CC}">
              <c16:uniqueId val="{00000005-44A3-45B1-AAFC-02240255766F}"/>
            </c:ext>
          </c:extLst>
        </c:ser>
        <c:ser>
          <c:idx val="4"/>
          <c:order val="4"/>
          <c:spPr>
            <a:blipFill>
              <a:blip xmlns:r="http://schemas.openxmlformats.org/officeDocument/2006/relationships" r:embed="rId7"/>
              <a:stretch>
                <a:fillRect/>
              </a:stretch>
            </a:blipFill>
            <a:ln>
              <a:noFill/>
            </a:ln>
            <a:effectLst/>
          </c:spPr>
          <c:invertIfNegative val="0"/>
          <c:val>
            <c:numRef>
              <c:f>'Hülle &amp; Elektrizität'!$AM$22</c:f>
            </c:numRef>
          </c:val>
          <c:extLst>
            <c:ext xmlns:c16="http://schemas.microsoft.com/office/drawing/2014/chart" uri="{C3380CC4-5D6E-409C-BE32-E72D297353CC}">
              <c16:uniqueId val="{00000006-44A3-45B1-AAFC-02240255766F}"/>
            </c:ext>
          </c:extLst>
        </c:ser>
        <c:ser>
          <c:idx val="5"/>
          <c:order val="5"/>
          <c:spPr>
            <a:blipFill dpi="0" rotWithShape="1">
              <a:blip xmlns:r="http://schemas.openxmlformats.org/officeDocument/2006/relationships" r:embed="rId8">
                <a:extLst>
                  <a:ext uri="{28A0092B-C50C-407E-A947-70E740481C1C}">
                    <a14:useLocalDpi xmlns:a14="http://schemas.microsoft.com/office/drawing/2010/main" val="0"/>
                  </a:ext>
                </a:extLst>
              </a:blip>
              <a:srcRect/>
              <a:stretch>
                <a:fillRect/>
              </a:stretch>
            </a:blipFill>
            <a:ln>
              <a:noFill/>
            </a:ln>
            <a:effectLst/>
          </c:spPr>
          <c:invertIfNegative val="0"/>
          <c:val>
            <c:numRef>
              <c:f>'Hülle &amp; Elektrizität'!$AM$23</c:f>
            </c:numRef>
          </c:val>
          <c:extLst>
            <c:ext xmlns:c16="http://schemas.microsoft.com/office/drawing/2014/chart" uri="{C3380CC4-5D6E-409C-BE32-E72D297353CC}">
              <c16:uniqueId val="{00000007-44A3-45B1-AAFC-02240255766F}"/>
            </c:ext>
          </c:extLst>
        </c:ser>
        <c:dLbls>
          <c:showLegendKey val="0"/>
          <c:showVal val="0"/>
          <c:showCatName val="0"/>
          <c:showSerName val="0"/>
          <c:showPercent val="0"/>
          <c:showBubbleSize val="0"/>
        </c:dLbls>
        <c:gapWidth val="0"/>
        <c:overlap val="100"/>
        <c:axId val="152383784"/>
        <c:axId val="497483648"/>
      </c:barChart>
      <c:catAx>
        <c:axId val="152383784"/>
        <c:scaling>
          <c:orientation val="minMax"/>
        </c:scaling>
        <c:delete val="1"/>
        <c:axPos val="b"/>
        <c:numFmt formatCode="General" sourceLinked="1"/>
        <c:majorTickMark val="none"/>
        <c:minorTickMark val="none"/>
        <c:tickLblPos val="nextTo"/>
        <c:crossAx val="497483648"/>
        <c:crosses val="autoZero"/>
        <c:auto val="1"/>
        <c:lblAlgn val="ctr"/>
        <c:lblOffset val="100"/>
        <c:noMultiLvlLbl val="0"/>
      </c:catAx>
      <c:valAx>
        <c:axId val="497483648"/>
        <c:scaling>
          <c:orientation val="minMax"/>
        </c:scaling>
        <c:delete val="1"/>
        <c:axPos val="l"/>
        <c:numFmt formatCode="0%" sourceLinked="1"/>
        <c:majorTickMark val="none"/>
        <c:minorTickMark val="none"/>
        <c:tickLblPos val="nextTo"/>
        <c:crossAx val="152383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37367</xdr:rowOff>
    </xdr:from>
    <xdr:to>
      <xdr:col>2</xdr:col>
      <xdr:colOff>895350</xdr:colOff>
      <xdr:row>3</xdr:row>
      <xdr:rowOff>95249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192"/>
          <a:ext cx="2400300" cy="476982"/>
        </a:xfrm>
        <a:prstGeom prst="rect">
          <a:avLst/>
        </a:prstGeom>
      </xdr:spPr>
    </xdr:pic>
    <xdr:clientData/>
  </xdr:twoCellAnchor>
  <xdr:twoCellAnchor>
    <xdr:from>
      <xdr:col>6</xdr:col>
      <xdr:colOff>314325</xdr:colOff>
      <xdr:row>16</xdr:row>
      <xdr:rowOff>47626</xdr:rowOff>
    </xdr:from>
    <xdr:to>
      <xdr:col>10</xdr:col>
      <xdr:colOff>447675</xdr:colOff>
      <xdr:row>23</xdr:row>
      <xdr:rowOff>180976</xdr:rowOff>
    </xdr:to>
    <xdr:graphicFrame macro="">
      <xdr:nvGraphicFramePr>
        <xdr:cNvPr id="3" name="Diagramm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pageSetUpPr fitToPage="1"/>
  </sheetPr>
  <dimension ref="A1:BJ836"/>
  <sheetViews>
    <sheetView showGridLines="0" tabSelected="1" zoomScaleNormal="100" workbookViewId="0">
      <selection activeCell="B1" sqref="B1"/>
    </sheetView>
  </sheetViews>
  <sheetFormatPr baseColWidth="10" defaultColWidth="11.42578125" defaultRowHeight="12"/>
  <cols>
    <col min="1" max="1" width="3.42578125" style="507" customWidth="1"/>
    <col min="2" max="2" width="25.7109375" style="5" customWidth="1"/>
    <col min="3" max="3" width="13.7109375" style="5" customWidth="1"/>
    <col min="4" max="5" width="6.7109375" style="5" customWidth="1"/>
    <col min="6" max="6" width="10.42578125" style="5" customWidth="1"/>
    <col min="7" max="7" width="9.42578125" style="5" customWidth="1"/>
    <col min="8" max="9" width="10.42578125" style="5" customWidth="1"/>
    <col min="10" max="10" width="0.7109375" style="5" customWidth="1"/>
    <col min="11" max="11" width="9.7109375" style="5" customWidth="1"/>
    <col min="12" max="12" width="1.7109375" style="42" customWidth="1"/>
    <col min="13" max="13" width="3.140625" style="42" hidden="1" customWidth="1"/>
    <col min="14" max="14" width="18.7109375" style="5" hidden="1" customWidth="1"/>
    <col min="15" max="36" width="11.42578125" style="5" hidden="1" customWidth="1"/>
    <col min="37" max="37" width="37.5703125" style="5" hidden="1" customWidth="1"/>
    <col min="38" max="38" width="33.140625" style="5" hidden="1" customWidth="1"/>
    <col min="39" max="39" width="11.42578125" style="95" hidden="1" customWidth="1"/>
    <col min="40" max="40" width="12.7109375" style="5" hidden="1" customWidth="1"/>
    <col min="41" max="53" width="11.42578125" style="5" hidden="1" customWidth="1"/>
    <col min="54" max="61" width="0" style="5" hidden="1" customWidth="1"/>
    <col min="62" max="16384" width="11.42578125" style="5"/>
  </cols>
  <sheetData>
    <row r="1" spans="1:61" ht="9.9499999999999993" customHeight="1">
      <c r="B1" s="157" t="str">
        <f>Uebersetzung!D646</f>
        <v>v 2019.1</v>
      </c>
      <c r="C1" s="3"/>
      <c r="D1" s="3"/>
      <c r="E1" s="47"/>
      <c r="F1" s="3"/>
      <c r="G1" s="3"/>
      <c r="H1" s="3"/>
      <c r="I1" s="31"/>
      <c r="J1" s="3"/>
      <c r="K1" s="7" t="str">
        <f>Uebersetzung!D645</f>
        <v>Formular Systemerneuerungen</v>
      </c>
      <c r="AK1" s="5" t="str">
        <f>Uebersetzung!D25</f>
        <v>Ja</v>
      </c>
      <c r="AL1" s="5" t="str">
        <f>Uebersetzung!D26</f>
        <v>Nein</v>
      </c>
    </row>
    <row r="2" spans="1:61" ht="17.100000000000001" customHeight="1">
      <c r="B2" s="346"/>
      <c r="C2" s="699"/>
      <c r="D2" s="348"/>
      <c r="E2" s="346"/>
      <c r="F2" s="348"/>
      <c r="G2" s="901"/>
      <c r="H2" s="902"/>
      <c r="I2" s="902"/>
      <c r="J2" s="902"/>
      <c r="K2" s="903"/>
    </row>
    <row r="3" spans="1:61" ht="17.100000000000001" customHeight="1">
      <c r="B3" s="349"/>
      <c r="C3" s="350"/>
      <c r="D3" s="351"/>
      <c r="E3" s="904"/>
      <c r="F3" s="905"/>
      <c r="G3" s="906" t="str">
        <f>Uebersetzung!D540</f>
        <v>MINERGIE - Systemerneuerung</v>
      </c>
      <c r="H3" s="907"/>
      <c r="I3" s="907"/>
      <c r="J3" s="907"/>
      <c r="K3" s="908"/>
      <c r="N3" s="42" t="s">
        <v>1290</v>
      </c>
      <c r="U3" s="42" t="s">
        <v>1314</v>
      </c>
      <c r="AC3" s="42" t="s">
        <v>1638</v>
      </c>
      <c r="AN3" s="5" t="s">
        <v>2106</v>
      </c>
      <c r="AO3" s="741">
        <f>F17+F18</f>
        <v>0</v>
      </c>
    </row>
    <row r="4" spans="1:61" ht="9.9499999999999993" customHeight="1">
      <c r="B4" s="352"/>
      <c r="C4" s="108"/>
      <c r="D4" s="353"/>
      <c r="E4" s="352"/>
      <c r="F4" s="353"/>
      <c r="G4" s="909"/>
      <c r="H4" s="910"/>
      <c r="I4" s="910"/>
      <c r="J4" s="910"/>
      <c r="K4" s="911"/>
      <c r="U4" s="982" t="s">
        <v>1317</v>
      </c>
      <c r="V4" s="982"/>
      <c r="W4" s="982"/>
      <c r="AC4" s="954" t="s">
        <v>1625</v>
      </c>
      <c r="AD4" s="954"/>
      <c r="AE4" s="954"/>
      <c r="AF4" s="954"/>
      <c r="AG4" s="954"/>
      <c r="AH4" s="954"/>
      <c r="BC4" s="17"/>
      <c r="BD4" s="17"/>
      <c r="BE4" s="17"/>
      <c r="BF4" s="17"/>
      <c r="BG4" s="17"/>
      <c r="BH4" s="17"/>
      <c r="BI4" s="17"/>
    </row>
    <row r="5" spans="1:61" ht="9.9499999999999993" customHeight="1">
      <c r="B5" s="3"/>
      <c r="C5" s="3"/>
      <c r="D5" s="3"/>
      <c r="E5" s="47"/>
      <c r="F5" s="3"/>
      <c r="G5" s="3"/>
      <c r="H5" s="3"/>
      <c r="I5" s="31"/>
      <c r="J5" s="3"/>
      <c r="K5" s="4"/>
      <c r="U5" s="982"/>
      <c r="V5" s="982"/>
      <c r="W5" s="982"/>
      <c r="AC5" s="954"/>
      <c r="AD5" s="954"/>
      <c r="AE5" s="954"/>
      <c r="AF5" s="954"/>
      <c r="AG5" s="954"/>
      <c r="AH5" s="954"/>
      <c r="BC5" s="800" t="s">
        <v>2162</v>
      </c>
      <c r="BD5" s="17"/>
      <c r="BE5" s="17"/>
      <c r="BF5" s="17"/>
      <c r="BG5" s="17"/>
      <c r="BH5" s="17"/>
      <c r="BI5" s="17"/>
    </row>
    <row r="6" spans="1:61" ht="9.9499999999999993" customHeight="1">
      <c r="B6" s="6"/>
      <c r="C6" s="6"/>
      <c r="D6" s="3"/>
      <c r="E6" s="3"/>
      <c r="F6" s="3"/>
      <c r="G6" s="3"/>
      <c r="H6" s="3"/>
      <c r="I6" s="3"/>
      <c r="J6" s="3"/>
      <c r="U6" s="982"/>
      <c r="V6" s="982"/>
      <c r="W6" s="982"/>
      <c r="AC6" s="954"/>
      <c r="AD6" s="954"/>
      <c r="AE6" s="954"/>
      <c r="AF6" s="954"/>
      <c r="AG6" s="954"/>
      <c r="AH6" s="954"/>
      <c r="BC6" s="17"/>
      <c r="BD6" s="29"/>
      <c r="BE6" s="17"/>
      <c r="BF6" s="17"/>
      <c r="BG6" s="17"/>
      <c r="BH6" s="17"/>
      <c r="BI6" s="17"/>
    </row>
    <row r="7" spans="1:61" ht="20.100000000000001" hidden="1" customHeight="1">
      <c r="B7" s="91" t="e">
        <f>#REF!</f>
        <v>#REF!</v>
      </c>
      <c r="C7" s="912" t="str">
        <f>IF(Projekt1="","",Projekt1)</f>
        <v/>
      </c>
      <c r="D7" s="912"/>
      <c r="E7" s="912"/>
      <c r="F7" s="912"/>
      <c r="G7" s="104" t="e">
        <f>#REF!</f>
        <v>#REF!</v>
      </c>
      <c r="H7" s="167" t="e">
        <f>IF(Projekt2="","",Projekt2)</f>
        <v>#REF!</v>
      </c>
      <c r="I7" s="104" t="e">
        <f>#REF!</f>
        <v>#REF!</v>
      </c>
      <c r="J7" s="913" t="e">
        <f>IF(Projekt3="","",Projekt3)</f>
        <v>#REF!</v>
      </c>
      <c r="K7" s="914"/>
      <c r="U7" s="982"/>
      <c r="V7" s="982"/>
      <c r="W7" s="982"/>
      <c r="AC7" s="954"/>
      <c r="AD7" s="954"/>
      <c r="AE7" s="954"/>
      <c r="AF7" s="954"/>
      <c r="AG7" s="954"/>
      <c r="AH7" s="954"/>
      <c r="BC7" s="801" t="s">
        <v>344</v>
      </c>
      <c r="BD7" s="802">
        <f>IF($I$14="",1,VLOOKUP($I$14,$BC$10:$BH$50,7,FALSE))</f>
        <v>1</v>
      </c>
      <c r="BE7" s="803"/>
      <c r="BF7" s="804"/>
      <c r="BG7" s="805"/>
      <c r="BH7" s="806"/>
      <c r="BI7" s="17"/>
    </row>
    <row r="8" spans="1:61" ht="20.100000000000001" hidden="1" customHeight="1">
      <c r="B8" s="92" t="e">
        <f>#REF!</f>
        <v>#REF!</v>
      </c>
      <c r="C8" s="934" t="str">
        <f>IF(Projekt4="","",Projekt4)</f>
        <v/>
      </c>
      <c r="D8" s="934"/>
      <c r="E8" s="934"/>
      <c r="F8" s="934"/>
      <c r="G8" s="934"/>
      <c r="H8" s="934"/>
      <c r="I8" s="162"/>
      <c r="J8" s="935" t="e">
        <f>IF(#REF!="","",#REF!)</f>
        <v>#REF!</v>
      </c>
      <c r="K8" s="936"/>
      <c r="U8" s="982"/>
      <c r="V8" s="982"/>
      <c r="W8" s="982"/>
      <c r="AC8" s="954"/>
      <c r="AD8" s="954"/>
      <c r="AE8" s="954"/>
      <c r="AF8" s="954"/>
      <c r="AG8" s="954"/>
      <c r="AH8" s="954"/>
      <c r="BC8" s="807" t="s">
        <v>2163</v>
      </c>
      <c r="BD8" s="808" t="s">
        <v>2164</v>
      </c>
      <c r="BE8" s="808" t="s">
        <v>2165</v>
      </c>
      <c r="BF8" s="809" t="s">
        <v>2166</v>
      </c>
      <c r="BG8" s="808" t="s">
        <v>2167</v>
      </c>
      <c r="BH8" s="810" t="s">
        <v>2168</v>
      </c>
      <c r="BI8" s="17"/>
    </row>
    <row r="9" spans="1:61" ht="20.100000000000001" hidden="1" customHeight="1">
      <c r="U9" s="982"/>
      <c r="V9" s="982"/>
      <c r="W9" s="982"/>
      <c r="AC9" s="954"/>
      <c r="AD9" s="954"/>
      <c r="AE9" s="954"/>
      <c r="AF9" s="954"/>
      <c r="AG9" s="954"/>
      <c r="AH9" s="954"/>
      <c r="BC9" s="811"/>
      <c r="BD9" s="808"/>
      <c r="BE9" s="808" t="s">
        <v>2169</v>
      </c>
      <c r="BF9" s="809" t="s">
        <v>2170</v>
      </c>
      <c r="BG9" s="808" t="s">
        <v>134</v>
      </c>
      <c r="BH9" s="812" t="s">
        <v>2171</v>
      </c>
      <c r="BI9" s="813"/>
    </row>
    <row r="10" spans="1:61" ht="1.1499999999999999" customHeight="1">
      <c r="B10" s="8"/>
      <c r="C10" s="8"/>
      <c r="D10" s="9"/>
      <c r="E10" s="9"/>
      <c r="F10" s="9"/>
      <c r="G10" s="9"/>
      <c r="U10" s="982"/>
      <c r="V10" s="982"/>
      <c r="W10" s="982"/>
      <c r="AC10" s="954"/>
      <c r="AD10" s="954"/>
      <c r="AE10" s="954"/>
      <c r="AF10" s="954"/>
      <c r="AG10" s="954"/>
      <c r="AH10" s="954"/>
      <c r="BC10" s="814" t="s">
        <v>109</v>
      </c>
      <c r="BD10" s="815" t="s">
        <v>109</v>
      </c>
      <c r="BE10" s="815"/>
      <c r="BF10" s="815"/>
      <c r="BG10" s="548"/>
      <c r="BH10" s="548"/>
      <c r="BI10" s="813">
        <v>1</v>
      </c>
    </row>
    <row r="11" spans="1:61" ht="6" customHeight="1">
      <c r="A11" s="508"/>
      <c r="F11" s="9"/>
      <c r="G11" s="9"/>
      <c r="U11" s="983"/>
      <c r="V11" s="983"/>
      <c r="W11" s="983"/>
      <c r="AC11" s="954"/>
      <c r="AD11" s="954"/>
      <c r="AE11" s="954"/>
      <c r="AF11" s="954"/>
      <c r="AG11" s="954"/>
      <c r="AH11" s="954"/>
      <c r="BC11" s="816" t="str">
        <f>IF(Kanton=29,BC58,BI131)</f>
        <v/>
      </c>
      <c r="BD11" s="817" t="str">
        <f>IF(Kanton=29,BD58,IF($BD$99&gt;0,INDEX(BD$57:BD$97,$BD$99,1),""))</f>
        <v/>
      </c>
      <c r="BE11" s="817"/>
      <c r="BF11" s="817"/>
      <c r="BG11" s="817"/>
      <c r="BH11" s="817"/>
      <c r="BI11" s="813">
        <v>2</v>
      </c>
    </row>
    <row r="12" spans="1:61" ht="18" customHeight="1">
      <c r="A12" s="508" t="s">
        <v>1983</v>
      </c>
      <c r="B12" s="91" t="str">
        <f>Uebersetzung!D356</f>
        <v>Projektname:</v>
      </c>
      <c r="C12" s="942"/>
      <c r="D12" s="942"/>
      <c r="E12" s="942"/>
      <c r="F12" s="942"/>
      <c r="G12" s="104" t="str">
        <f>Uebersetzung!D10</f>
        <v xml:space="preserve">Parz.-Nr.:  </v>
      </c>
      <c r="H12" s="834"/>
      <c r="I12" s="104" t="str">
        <f>Uebersetzung!D358</f>
        <v xml:space="preserve">MOP - Nr.: </v>
      </c>
      <c r="J12" s="943"/>
      <c r="K12" s="944"/>
      <c r="N12" s="282"/>
      <c r="O12" s="171"/>
      <c r="P12" s="171">
        <v>1</v>
      </c>
      <c r="Q12" s="282"/>
      <c r="R12" s="171"/>
      <c r="S12" s="284">
        <v>1</v>
      </c>
      <c r="U12" s="88" t="s">
        <v>1241</v>
      </c>
      <c r="V12" s="527">
        <v>1</v>
      </c>
      <c r="W12" s="283">
        <v>2</v>
      </c>
      <c r="X12" s="283">
        <v>3</v>
      </c>
      <c r="Y12" s="54">
        <v>4</v>
      </c>
      <c r="Z12" s="355" t="s">
        <v>1262</v>
      </c>
      <c r="BC12" s="816" t="str">
        <f t="shared" ref="BC12:BC16" si="0">IF(Kanton=29,BC59,BI132)</f>
        <v/>
      </c>
      <c r="BD12" s="817" t="str">
        <f>IF(Kanton=29,BD59,IF($BE$99&gt;0,INDEX(BD$57:BD$97,$BE$99,1),""))</f>
        <v/>
      </c>
      <c r="BE12" s="817"/>
      <c r="BF12" s="817"/>
      <c r="BG12" s="817"/>
      <c r="BH12" s="817"/>
      <c r="BI12" s="813">
        <v>3</v>
      </c>
    </row>
    <row r="13" spans="1:61" ht="18" customHeight="1">
      <c r="A13" s="508" t="s">
        <v>193</v>
      </c>
      <c r="B13" s="781" t="str">
        <f>Uebersetzung!D359</f>
        <v>Gebäudeadresse:</v>
      </c>
      <c r="C13" s="948"/>
      <c r="D13" s="948"/>
      <c r="E13" s="948"/>
      <c r="F13" s="948"/>
      <c r="G13" s="948"/>
      <c r="H13" s="948"/>
      <c r="I13" s="782"/>
      <c r="J13" s="949"/>
      <c r="K13" s="950"/>
      <c r="N13" s="260" t="str">
        <f>Uebersetzung!D25</f>
        <v>Ja</v>
      </c>
      <c r="O13" s="26" t="str">
        <f>Uebersetzung!D26</f>
        <v>Nein</v>
      </c>
      <c r="P13" s="26">
        <v>2</v>
      </c>
      <c r="Q13" s="260" t="str">
        <f>Uebersetzung!D23</f>
        <v>erfüllt</v>
      </c>
      <c r="R13" s="26" t="str">
        <f>Uebersetzung!D24</f>
        <v>nicht erfüllt</v>
      </c>
      <c r="S13" s="285">
        <v>2</v>
      </c>
      <c r="U13" s="282" t="s">
        <v>325</v>
      </c>
      <c r="V13" s="527" t="e">
        <f>IF(OR(_neu1,Kategorie1=13),TRUE,FALSE)</f>
        <v>#REF!</v>
      </c>
      <c r="W13" s="283" t="e">
        <f>IF(OR(_neu2,Kategorie2=13),TRUE,FALSE)</f>
        <v>#REF!</v>
      </c>
      <c r="X13" s="283" t="e">
        <f>IF(OR(_neu3,Kategorie3=13),TRUE,FALSE)</f>
        <v>#REF!</v>
      </c>
      <c r="Y13" s="528" t="e">
        <f>IF(OR(_neu4,Kategorie4=13),TRUE,FALSE)</f>
        <v>#REF!</v>
      </c>
      <c r="Z13" s="284"/>
      <c r="AC13" s="423" t="s">
        <v>325</v>
      </c>
      <c r="AD13" s="283" t="e">
        <f>_neu1</f>
        <v>#REF!</v>
      </c>
      <c r="AE13" s="283" t="b">
        <f>_neu2</f>
        <v>0</v>
      </c>
      <c r="AF13" s="283" t="b">
        <f>_neu3</f>
        <v>0</v>
      </c>
      <c r="AG13" s="528" t="b">
        <f>_neu4</f>
        <v>0</v>
      </c>
      <c r="AH13" s="411"/>
      <c r="AK13" s="536" t="str">
        <f>Uebersetzung!D25</f>
        <v>Ja</v>
      </c>
      <c r="AL13" s="584">
        <v>1</v>
      </c>
      <c r="AM13" s="365"/>
      <c r="AN13" s="576" t="str">
        <f>Uebersetzung!D547</f>
        <v xml:space="preserve">Dach / Decke </v>
      </c>
      <c r="AO13" s="283" t="str">
        <f>Uebersetzung!D548</f>
        <v>Wand</v>
      </c>
      <c r="AP13" s="283" t="str">
        <f>Uebersetzung!D549</f>
        <v>Fenster</v>
      </c>
      <c r="AQ13" s="283" t="str">
        <f>Uebersetzung!D550</f>
        <v xml:space="preserve">Boden </v>
      </c>
      <c r="AR13" s="584" t="s">
        <v>1184</v>
      </c>
      <c r="BC13" s="816" t="str">
        <f t="shared" si="0"/>
        <v/>
      </c>
      <c r="BD13" s="817" t="str">
        <f>IF(Kanton=29,BD60,IF($BF$99&gt;0,INDEX(BD$57:BD$97,$BF$99,1),""))</f>
        <v/>
      </c>
      <c r="BE13" s="817"/>
      <c r="BF13" s="817"/>
      <c r="BG13" s="817"/>
      <c r="BH13" s="817"/>
      <c r="BI13" s="813">
        <v>4</v>
      </c>
    </row>
    <row r="14" spans="1:61" ht="18" customHeight="1">
      <c r="A14" s="508" t="s">
        <v>410</v>
      </c>
      <c r="B14" s="783" t="str">
        <f>Uebersetzung!D668</f>
        <v>Kanton:</v>
      </c>
      <c r="C14" s="937"/>
      <c r="D14" s="941"/>
      <c r="E14" s="835"/>
      <c r="F14" s="835"/>
      <c r="G14" s="940" t="str">
        <f>Uebersetzung!D669</f>
        <v>Klimastation:</v>
      </c>
      <c r="H14" s="940"/>
      <c r="I14" s="937"/>
      <c r="J14" s="938"/>
      <c r="K14" s="939"/>
      <c r="N14" s="260"/>
      <c r="O14" s="26"/>
      <c r="P14" s="26"/>
      <c r="Q14" s="260"/>
      <c r="R14" s="26"/>
      <c r="S14" s="285"/>
      <c r="U14" s="260"/>
      <c r="V14" s="552"/>
      <c r="W14" s="750"/>
      <c r="X14" s="750"/>
      <c r="Y14" s="553"/>
      <c r="Z14" s="285"/>
      <c r="AC14" s="414"/>
      <c r="AD14" s="750"/>
      <c r="AE14" s="750"/>
      <c r="AF14" s="750"/>
      <c r="AG14" s="553"/>
      <c r="AH14" s="412"/>
      <c r="AK14" s="260"/>
      <c r="AL14" s="158"/>
      <c r="AM14" s="365"/>
      <c r="AN14" s="552"/>
      <c r="AO14" s="750"/>
      <c r="AP14" s="750"/>
      <c r="AQ14" s="750"/>
      <c r="AR14" s="158"/>
      <c r="BC14" s="816" t="str">
        <f t="shared" si="0"/>
        <v/>
      </c>
      <c r="BD14" s="817" t="str">
        <f>IF(Kanton=29,BD61,IF($BG$99&gt;0,INDEX(BD$57:BD$97,$BG$99,1),""))</f>
        <v/>
      </c>
      <c r="BE14" s="817"/>
      <c r="BF14" s="817"/>
      <c r="BG14" s="817"/>
      <c r="BH14" s="817"/>
      <c r="BI14" s="813">
        <v>5</v>
      </c>
    </row>
    <row r="15" spans="1:61" ht="18" customHeight="1">
      <c r="A15" s="508"/>
      <c r="B15" s="640"/>
      <c r="C15" s="784"/>
      <c r="D15" s="951"/>
      <c r="E15" s="952"/>
      <c r="F15" s="952"/>
      <c r="G15" s="953"/>
      <c r="H15" s="953"/>
      <c r="I15" s="953"/>
      <c r="J15" s="953"/>
      <c r="K15" s="953"/>
      <c r="N15" s="107" t="str">
        <f>O13</f>
        <v>Nein</v>
      </c>
      <c r="O15" s="27"/>
      <c r="P15" s="27">
        <v>3</v>
      </c>
      <c r="Q15" s="107" t="str">
        <f>R13</f>
        <v>nicht erfüllt</v>
      </c>
      <c r="R15" s="27"/>
      <c r="S15" s="85">
        <v>3</v>
      </c>
      <c r="U15" s="260" t="s">
        <v>238</v>
      </c>
      <c r="V15" s="552"/>
      <c r="W15" s="630" t="e">
        <f>IF(Zonen&gt;1,G31,0)</f>
        <v>#REF!</v>
      </c>
      <c r="X15" s="630" t="e">
        <f>IF(Zonen&gt;2,H31,0)</f>
        <v>#REF!</v>
      </c>
      <c r="Y15" s="553" t="e">
        <f>IF(Zonen&gt;3,I31,0)</f>
        <v>#REF!</v>
      </c>
      <c r="Z15" s="553" t="e">
        <f>IF(V18&gt;0,V15,0)+IF(W18&gt;0,W15,0)+IF(X18&gt;0,X15,0)+IF(Y18&gt;0,Y15,0)</f>
        <v>#REF!</v>
      </c>
      <c r="AA15" s="5" t="s">
        <v>160</v>
      </c>
      <c r="AC15" s="414" t="s">
        <v>238</v>
      </c>
      <c r="AD15" s="630"/>
      <c r="AE15" s="630" t="e">
        <f>IF(Zonen&gt;1,G31,0)</f>
        <v>#REF!</v>
      </c>
      <c r="AF15" s="630" t="e">
        <f>IF(Zonen&gt;2,H31,0)</f>
        <v>#REF!</v>
      </c>
      <c r="AG15" s="553" t="e">
        <f>IF(Zonen&gt;3,I31,0)</f>
        <v>#REF!</v>
      </c>
      <c r="AH15" s="412" t="e">
        <f>SUM(AD15:AG15)</f>
        <v>#REF!</v>
      </c>
      <c r="AI15" s="5" t="s">
        <v>160</v>
      </c>
      <c r="AK15" s="260" t="str">
        <f>Uebersetzung!D26</f>
        <v>Nein</v>
      </c>
      <c r="AL15" s="158">
        <v>0</v>
      </c>
      <c r="AM15" s="365"/>
      <c r="AN15" s="554">
        <f>IF(F26="",0,VLOOKUP(F26,$AK$13:$AL$16,2,0))</f>
        <v>0</v>
      </c>
      <c r="AO15" s="554">
        <f>IF(F27="",0,VLOOKUP(F27,$AK$13:$AL$16,2,0))</f>
        <v>0</v>
      </c>
      <c r="AP15" s="554">
        <f>IF(F28="",0,VLOOKUP(F28,$AK$13:$AL$16,2,0))</f>
        <v>0</v>
      </c>
      <c r="AQ15" s="554">
        <f>IF(F29="",0,VLOOKUP(F29,$AK$13:$AL$16,2,0))</f>
        <v>0</v>
      </c>
      <c r="AR15" s="301" t="b">
        <f>IF(SUM(AN15:AQ15)=4,TRUE,FALSE)</f>
        <v>0</v>
      </c>
      <c r="BC15" s="816" t="str">
        <f t="shared" si="0"/>
        <v/>
      </c>
      <c r="BD15" s="817" t="str">
        <f>IF(Kanton=29,BD62,IF($BH$99&gt;0,INDEX(BD$57:BD$97,$BH$99,1),""))</f>
        <v/>
      </c>
      <c r="BE15" s="817"/>
      <c r="BF15" s="817"/>
      <c r="BG15" s="817"/>
      <c r="BH15" s="817"/>
      <c r="BI15" s="813">
        <v>6</v>
      </c>
    </row>
    <row r="16" spans="1:61" ht="18" customHeight="1">
      <c r="A16" s="508"/>
      <c r="B16" s="700" t="str">
        <f>Uebersetzung!D619</f>
        <v>Hülle &amp; Wärmeerzeugung</v>
      </c>
      <c r="C16" s="641"/>
      <c r="D16" s="642"/>
      <c r="E16" s="642"/>
      <c r="F16" s="642"/>
      <c r="G16" s="693"/>
      <c r="H16" s="643"/>
      <c r="I16" s="931" t="str">
        <f>IF(AND(AT18,AU18,AV18,AW18),Uebersetzung!D582,Uebersetzung!D583)</f>
        <v>Nicht erfüllt</v>
      </c>
      <c r="J16" s="932"/>
      <c r="K16" s="933"/>
      <c r="N16" s="107"/>
      <c r="O16" s="27"/>
      <c r="P16" s="27"/>
      <c r="Q16" s="27"/>
      <c r="R16" s="27"/>
      <c r="S16" s="85"/>
      <c r="U16" s="260"/>
      <c r="V16" s="552"/>
      <c r="W16" s="630"/>
      <c r="X16" s="630"/>
      <c r="Y16" s="553"/>
      <c r="Z16" s="553"/>
      <c r="AC16" s="414"/>
      <c r="AD16" s="630"/>
      <c r="AE16" s="630"/>
      <c r="AF16" s="630"/>
      <c r="AG16" s="553"/>
      <c r="AH16" s="412"/>
      <c r="AK16" s="107" t="s">
        <v>116</v>
      </c>
      <c r="AL16" s="159">
        <v>0</v>
      </c>
      <c r="AM16" s="365"/>
      <c r="AN16" s="554"/>
      <c r="AO16" s="290"/>
      <c r="AP16" s="290"/>
      <c r="AQ16" s="290"/>
      <c r="AR16" s="621"/>
      <c r="BC16" s="816" t="str">
        <f t="shared" si="0"/>
        <v/>
      </c>
      <c r="BD16" s="817" t="str">
        <f>IF(Kanton=29,BD63,IF($BI$99&gt;0,INDEX(BD$57:BD$97,$BI$99,1),""))</f>
        <v/>
      </c>
      <c r="BE16" s="817"/>
      <c r="BF16" s="817"/>
      <c r="BG16" s="817"/>
      <c r="BH16" s="817"/>
      <c r="BI16" s="813">
        <v>7</v>
      </c>
    </row>
    <row r="17" spans="1:61" ht="18" customHeight="1">
      <c r="A17" s="508" t="s">
        <v>194</v>
      </c>
      <c r="B17" s="701" t="str">
        <f>Uebersetzung!D33</f>
        <v>Energiebezugsfläche EBF</v>
      </c>
      <c r="C17" s="660"/>
      <c r="D17" s="37" t="s">
        <v>80</v>
      </c>
      <c r="E17" s="37" t="s">
        <v>160</v>
      </c>
      <c r="F17" s="695"/>
      <c r="H17" s="646"/>
      <c r="J17" s="647"/>
      <c r="K17" s="648"/>
      <c r="N17" s="107" t="s">
        <v>1241</v>
      </c>
      <c r="O17" s="554">
        <v>1</v>
      </c>
      <c r="P17" s="290">
        <v>2</v>
      </c>
      <c r="Q17" s="290">
        <v>3</v>
      </c>
      <c r="R17" s="555">
        <v>4</v>
      </c>
      <c r="S17" s="555" t="s">
        <v>1247</v>
      </c>
      <c r="U17" s="260" t="s">
        <v>1316</v>
      </c>
      <c r="V17" s="338" t="e">
        <f>#REF!</f>
        <v>#REF!</v>
      </c>
      <c r="W17" s="334" t="e">
        <f>#REF!</f>
        <v>#REF!</v>
      </c>
      <c r="X17" s="334" t="e">
        <f>#REF!</f>
        <v>#REF!</v>
      </c>
      <c r="Y17" s="356" t="e">
        <f>#REF!</f>
        <v>#REF!</v>
      </c>
      <c r="Z17" s="285"/>
      <c r="AA17" s="5" t="s">
        <v>251</v>
      </c>
      <c r="AC17" s="426" t="s">
        <v>1624</v>
      </c>
      <c r="AD17" s="630" t="e">
        <f>IF(AD13,AD15,0)</f>
        <v>#REF!</v>
      </c>
      <c r="AE17" s="630" t="e">
        <f>IF(Zonen&gt;1,IF(AE13,AE15,0),0)</f>
        <v>#REF!</v>
      </c>
      <c r="AF17" s="630" t="e">
        <f>IF(Zonen&gt;2,IF(AF13,AF15,0),0)</f>
        <v>#REF!</v>
      </c>
      <c r="AG17" s="553" t="e">
        <f>IF(Zonen&gt;3,IF(AG13,AG15,0),0)</f>
        <v>#REF!</v>
      </c>
      <c r="AH17" s="425" t="e">
        <f>SUM(AD17:AG17)</f>
        <v>#REF!</v>
      </c>
      <c r="AI17" s="5" t="s">
        <v>160</v>
      </c>
      <c r="AK17" s="88" t="s">
        <v>1953</v>
      </c>
      <c r="AL17" s="87">
        <f>IF(D21="",0,VLOOKUP(D21,AK18:AL23,2,0))</f>
        <v>0</v>
      </c>
      <c r="AM17" s="365"/>
      <c r="AN17" s="86"/>
      <c r="AO17" s="86"/>
      <c r="AP17" s="86"/>
      <c r="AQ17" s="86"/>
      <c r="AR17" s="300"/>
      <c r="AT17" s="536" t="s">
        <v>2057</v>
      </c>
      <c r="AU17" s="171" t="s">
        <v>2058</v>
      </c>
      <c r="AV17" s="171" t="s">
        <v>2059</v>
      </c>
      <c r="AW17" s="381" t="s">
        <v>320</v>
      </c>
      <c r="BC17" s="816" t="str">
        <f t="shared" ref="BC17:BD26" si="1">IF(Kanton=29,BC64,"")</f>
        <v/>
      </c>
      <c r="BD17" s="817" t="str">
        <f>IF(Kanton=29,BD64,"")</f>
        <v/>
      </c>
      <c r="BE17" s="817"/>
      <c r="BF17" s="817"/>
      <c r="BG17" s="817"/>
      <c r="BH17" s="817"/>
      <c r="BI17" s="813">
        <v>8</v>
      </c>
    </row>
    <row r="18" spans="1:61" ht="18" customHeight="1">
      <c r="A18" s="508" t="s">
        <v>195</v>
      </c>
      <c r="B18" s="634" t="str">
        <f>Uebersetzung!D639</f>
        <v>EBF Erweiterung</v>
      </c>
      <c r="C18" s="526"/>
      <c r="D18" s="34" t="s">
        <v>80</v>
      </c>
      <c r="E18" s="34" t="s">
        <v>160</v>
      </c>
      <c r="F18" s="698"/>
      <c r="K18" s="285"/>
      <c r="N18" s="303" t="s">
        <v>1240</v>
      </c>
      <c r="O18" s="287" t="e">
        <f>IF(Kategorie1&lt;&gt;13,#REF!*#REF!+(#REF!+#REF!)*2,0)</f>
        <v>#REF!</v>
      </c>
      <c r="P18" s="281" t="e">
        <f>IF(Kategorie2&lt;&gt;13,#REF!*#REF!+(#REF!+#REF!)*2,0)</f>
        <v>#REF!</v>
      </c>
      <c r="Q18" s="281" t="e">
        <f>IF(Kategorie3&lt;&gt;13,#REF!*#REF!+(#REF!+#REF!)*2,0)</f>
        <v>#REF!</v>
      </c>
      <c r="R18" s="288" t="e">
        <f>IF(Kategorie4&lt;&gt;13,#REF!*#REF!+(#REF!+#REF!)*2,0)</f>
        <v>#REF!</v>
      </c>
      <c r="S18" s="306" t="e">
        <f>IF(EBF=0,0,(O18*_EBF1+P18*_EBF2+Q18*_EBF3+R18*_EBF4)/(_EBF1+_EBF2+_EBF3+_EBF4))</f>
        <v>#REF!</v>
      </c>
      <c r="T18" s="5" t="s">
        <v>251</v>
      </c>
      <c r="U18" s="107" t="s">
        <v>327</v>
      </c>
      <c r="V18" s="357" t="e">
        <f>IF(V13,#REF!,#REF!)</f>
        <v>#REF!</v>
      </c>
      <c r="W18" s="354" t="e">
        <f>IF(W13,#REF!,#REF!)</f>
        <v>#REF!</v>
      </c>
      <c r="X18" s="354" t="e">
        <f>IF(X13,#REF!,#REF!)</f>
        <v>#REF!</v>
      </c>
      <c r="Y18" s="358" t="e">
        <f>IF(Y13,#REF!,#REF!)</f>
        <v>#REF!</v>
      </c>
      <c r="Z18" s="85"/>
      <c r="AC18" s="414" t="s">
        <v>1316</v>
      </c>
      <c r="AD18" s="334" t="e">
        <f>#REF!</f>
        <v>#REF!</v>
      </c>
      <c r="AE18" s="334" t="e">
        <f>#REF!</f>
        <v>#REF!</v>
      </c>
      <c r="AF18" s="334" t="e">
        <f>#REF!</f>
        <v>#REF!</v>
      </c>
      <c r="AG18" s="356" t="e">
        <f>#REF!</f>
        <v>#REF!</v>
      </c>
      <c r="AH18" s="413"/>
      <c r="AI18" s="5" t="s">
        <v>251</v>
      </c>
      <c r="AK18" s="300" t="str">
        <f>Uebersetzung!D541</f>
        <v>System 1</v>
      </c>
      <c r="AL18" s="552">
        <v>1</v>
      </c>
      <c r="AM18" s="483">
        <f>IF(AL18=AL$17,1,0)</f>
        <v>0</v>
      </c>
      <c r="AN18" s="283" t="s">
        <v>1959</v>
      </c>
      <c r="AO18" s="283" t="s">
        <v>1961</v>
      </c>
      <c r="AP18" s="283" t="s">
        <v>1966</v>
      </c>
      <c r="AQ18" s="283" t="s">
        <v>1961</v>
      </c>
      <c r="AR18" s="300" t="b">
        <f>IF(F20=AT22,AND(AO38&lt;=2,IF(F18&gt;=1,AND($I$26=$AK$13,$I$27=$AK$13,$I$28=$AK$13,$I$29=$AK$13),TRUE)),AND($F$26=$AK$13,$F$27=$AK$13,$F$28=$AK$13,$F$29=$AK$13,$D$21=$AK$18,IF(G25=Uebersetzung!D638,AND(I26=AK13,I27=AK13,I28=AK13,I29=AK13),TRUE)))</f>
        <v>0</v>
      </c>
      <c r="AT18" s="107">
        <f>IF(D21&lt;&gt;"",VLOOKUP(D21,AK18:AR23,8,0),0)</f>
        <v>0</v>
      </c>
      <c r="AU18" s="27" t="b">
        <f>IF(OR(AR24=1,AR24=3,AR24=4),TRUE,IF(AND(AR24=2,F34&lt;=50,F34&lt;&gt;0),TRUE,IF(AND(AR24=5,F34&lt;=35,F34&lt;&gt;0),TRUE,FALSE)))</f>
        <v>0</v>
      </c>
      <c r="AV18" s="27" t="b">
        <f>IF(OR(AR24=2,AR24=3,AR24=5),TRUE,IF(OR(AND(AR24=1,F36&gt;=ROUND(AO3*0.02,0)),AND(AR24=4,F36&gt;=ROUND(AO3*0.02,0))),TRUE,FALSE))</f>
        <v>0</v>
      </c>
      <c r="AW18" s="85" t="b">
        <f>IF(OR(AND(AR24=1,OR(AU38=1,AU38=3,AU38=4)),AND(AR24&lt;&gt;1,F38&lt;=33),AND(AR24,F38&gt;33,OR(AU38=1,AU38=3,AU38=4))),TRUE,FALSE)</f>
        <v>1</v>
      </c>
      <c r="BC18" s="816" t="str">
        <f t="shared" si="1"/>
        <v/>
      </c>
      <c r="BD18" s="817" t="str">
        <f t="shared" si="1"/>
        <v/>
      </c>
      <c r="BE18" s="817"/>
      <c r="BF18" s="817"/>
      <c r="BG18" s="817"/>
      <c r="BH18" s="817"/>
      <c r="BI18" s="813">
        <v>9</v>
      </c>
    </row>
    <row r="19" spans="1:61" ht="18" customHeight="1">
      <c r="A19" s="508" t="s">
        <v>196</v>
      </c>
      <c r="B19" s="858" t="str">
        <f>Uebersetzung!D500</f>
        <v>Gebäudekategorie</v>
      </c>
      <c r="C19" s="859"/>
      <c r="D19" s="649"/>
      <c r="E19" s="650"/>
      <c r="F19" s="651"/>
      <c r="G19" s="652"/>
      <c r="H19" s="652"/>
      <c r="I19" s="652"/>
      <c r="J19" s="652"/>
      <c r="K19" s="653"/>
      <c r="N19" s="282" t="s">
        <v>1243</v>
      </c>
      <c r="O19" s="527">
        <f>IF(F37&gt;0,1,IF(F27=$N$13,0.9,1))</f>
        <v>1</v>
      </c>
      <c r="P19" s="283" t="e">
        <f>IF(G21&gt;0,1,IF(#REF!=$N$13,0.9,1))</f>
        <v>#REF!</v>
      </c>
      <c r="Q19" s="283" t="e">
        <f>IF(H21&gt;0,1,IF(#REF!=$N$13,0.9,1))</f>
        <v>#REF!</v>
      </c>
      <c r="R19" s="528" t="e">
        <f>IF(I21&gt;0,1,IF(#REF!=$N$13,0.9,1))</f>
        <v>#REF!</v>
      </c>
      <c r="S19" s="284"/>
      <c r="U19" s="307" t="s">
        <v>1315</v>
      </c>
      <c r="V19" s="314" t="e">
        <f>IF(V18&lt;&gt;"",V18*V17,)</f>
        <v>#REF!</v>
      </c>
      <c r="W19" s="314" t="e">
        <f>IF(W18&lt;&gt;"",W18*W17,)</f>
        <v>#REF!</v>
      </c>
      <c r="X19" s="314" t="e">
        <f>IF(X18&lt;&gt;"",X18*X17,)</f>
        <v>#REF!</v>
      </c>
      <c r="Y19" s="314" t="e">
        <f>IF(Y18&lt;&gt;"",Y18*Y17,)</f>
        <v>#REF!</v>
      </c>
      <c r="Z19" s="308" t="e">
        <f>IF(Z15&gt;0,(V19*V15+W19*W15+X19*X15+Y19*Y15)/Z15,)</f>
        <v>#REF!</v>
      </c>
      <c r="AA19" s="5" t="s">
        <v>251</v>
      </c>
      <c r="AB19" s="391" t="s">
        <v>1630</v>
      </c>
      <c r="AC19" s="414" t="s">
        <v>1626</v>
      </c>
      <c r="AD19" s="408" t="e">
        <f>IF($AH$17&gt;0,IF(Zonen&gt;0,IF(AD13,AD18*AD17*0.3,0),0)/$AH$17,0)</f>
        <v>#REF!</v>
      </c>
      <c r="AE19" s="408" t="e">
        <f>IF($AH$17&gt;0,IF(Zonen&gt;1,IF(AE13,AE18*AE17*0.3,0),0)/$AH$17,0)</f>
        <v>#REF!</v>
      </c>
      <c r="AF19" s="408" t="e">
        <f>IF($AH$17&gt;0,IF(Zonen&gt;2,IF(AF13,AF18*AF17*0.3,0),0)/$AH$17,0)</f>
        <v>#REF!</v>
      </c>
      <c r="AG19" s="419" t="e">
        <f>IF($AH$17&gt;0,IF(Zonen&gt;3,IF(AG13,AG18*AG17*0.3,0),0)/$AH$17,0)</f>
        <v>#REF!</v>
      </c>
      <c r="AH19" s="416" t="e">
        <f>SUM(AD19:AG19)</f>
        <v>#REF!</v>
      </c>
      <c r="AI19" s="5" t="s">
        <v>251</v>
      </c>
      <c r="AK19" s="300" t="str">
        <f>Uebersetzung!D542</f>
        <v>System 2</v>
      </c>
      <c r="AL19" s="552">
        <v>2</v>
      </c>
      <c r="AM19" s="483">
        <f t="shared" ref="AM19:AM21" si="2">IF(AL19=AL$17,1,0)</f>
        <v>0</v>
      </c>
      <c r="AN19" s="630" t="s">
        <v>1960</v>
      </c>
      <c r="AO19" s="630" t="s">
        <v>1962</v>
      </c>
      <c r="AP19" s="630" t="s">
        <v>1966</v>
      </c>
      <c r="AQ19" s="630" t="s">
        <v>1961</v>
      </c>
      <c r="AR19" s="300" t="b">
        <f>IF(F20=AT22,AND(AO38&lt;=3,IF(F18&gt;=1,AND($I$26=$AK$13,$I$27=$AK$13,$I$28=$AK$13,$I$29=$AK$13),TRUE)),AND($F$26=$AK$13,$F$27=$AK$13,$F$28=$AK$13,$F$29=$AK$13,$D$21=$AK$19,IF(G25=Uebersetzung!D638,AND(I26=AK13,I27=AK13,I28=AK13,I29=AK13),TRUE)))</f>
        <v>0</v>
      </c>
      <c r="BC19" s="816" t="str">
        <f t="shared" si="1"/>
        <v/>
      </c>
      <c r="BD19" s="817" t="str">
        <f t="shared" si="1"/>
        <v/>
      </c>
      <c r="BE19" s="817"/>
      <c r="BF19" s="817"/>
      <c r="BG19" s="817"/>
      <c r="BH19" s="817"/>
      <c r="BI19" s="813">
        <v>10</v>
      </c>
    </row>
    <row r="20" spans="1:61" ht="18" customHeight="1">
      <c r="A20" s="508" t="s">
        <v>1984</v>
      </c>
      <c r="B20" s="272" t="str">
        <f>Uebersetzung!D634</f>
        <v>Nachweisoption Gebäudehülle</v>
      </c>
      <c r="C20" s="691"/>
      <c r="D20" s="667"/>
      <c r="E20" s="667"/>
      <c r="F20" s="692"/>
      <c r="G20" s="652"/>
      <c r="H20" s="652"/>
      <c r="I20" s="652"/>
      <c r="J20" s="652"/>
      <c r="K20" s="653"/>
      <c r="L20" s="43"/>
      <c r="N20" s="260" t="s">
        <v>1244</v>
      </c>
      <c r="O20" s="552">
        <f>IF(F37&gt;0,1,IF(F28=$N$13,0.9,1))</f>
        <v>1</v>
      </c>
      <c r="P20" s="630" t="e">
        <f>IF(G21&gt;0,1,IF(#REF!=$N$13,0.9,1))</f>
        <v>#REF!</v>
      </c>
      <c r="Q20" s="630" t="e">
        <f>IF(H21&gt;0,1,IF(#REF!=$N$13,0.9,1))</f>
        <v>#REF!</v>
      </c>
      <c r="R20" s="553" t="e">
        <f>IF(I21&gt;0,1,IF(#REF!=$N$13,0.9,1))</f>
        <v>#REF!</v>
      </c>
      <c r="S20" s="285"/>
      <c r="AB20" s="391"/>
      <c r="AC20" s="414" t="s">
        <v>1627</v>
      </c>
      <c r="AD20" s="408" t="e">
        <f>IF($AH$17&gt;0,IF(Zonen&gt;0,IF(AD13,_qw1*AD17,0),0)/$AH$17,0)</f>
        <v>#REF!</v>
      </c>
      <c r="AE20" s="408" t="e">
        <f>IF($AH$17&gt;0,IF(Zonen&gt;1,IF(AE13,_qw2*AE17,0),0)/$AH$17,0)</f>
        <v>#REF!</v>
      </c>
      <c r="AF20" s="408" t="e">
        <f>IF($AH$17&gt;0,IF(Zonen&gt;2,IF(AF13,_qw3*AF17,0),0)/$AH$17,0)</f>
        <v>#REF!</v>
      </c>
      <c r="AG20" s="419" t="e">
        <f>IF($AH$17&gt;0,IF(Zonen&gt;3,IF(AG13,_qw4*AG17,0),0)/$AH$17,0)</f>
        <v>#REF!</v>
      </c>
      <c r="AH20" s="416" t="e">
        <f>SUM(AD20:AG20)</f>
        <v>#REF!</v>
      </c>
      <c r="AI20" s="5" t="s">
        <v>251</v>
      </c>
      <c r="AK20" s="300" t="str">
        <f>Uebersetzung!D543</f>
        <v>System 3</v>
      </c>
      <c r="AL20" s="552">
        <v>3</v>
      </c>
      <c r="AM20" s="483">
        <f>IF(AL20=AL$17,1,0)</f>
        <v>0</v>
      </c>
      <c r="AN20" s="630" t="s">
        <v>1961</v>
      </c>
      <c r="AO20" s="630" t="s">
        <v>1963</v>
      </c>
      <c r="AP20" s="630" t="s">
        <v>1966</v>
      </c>
      <c r="AQ20" s="630" t="s">
        <v>1961</v>
      </c>
      <c r="AR20" s="300" t="b">
        <f>IF(F20=AT22,AND(AO38&lt;=3,IF(F18&gt;=1,AND($I$26=$AK$13,$I$27=$AK$13,$I$28=$AK$13,$I$29=$AK$13),TRUE)),AND($F$26=$AK$13,$F$27=$AK$13,$F$28=$AK$13,$F$29=$AK$13,$D$21=$AK$20,IF(G25=Uebersetzung!D638,AND(I26=AK13,I27=AK13,I28=AK13,I29=AK13),TRUE)))</f>
        <v>0</v>
      </c>
      <c r="AU20" s="542">
        <f>IF(F20="",0,VLOOKUP(F20,$AT$21:$AU$22,2,0))</f>
        <v>0</v>
      </c>
      <c r="BC20" s="816" t="str">
        <f t="shared" si="1"/>
        <v/>
      </c>
      <c r="BD20" s="817" t="str">
        <f t="shared" si="1"/>
        <v/>
      </c>
      <c r="BE20" s="817"/>
      <c r="BF20" s="817"/>
      <c r="BG20" s="817"/>
      <c r="BH20" s="817"/>
      <c r="BI20" s="813">
        <v>11</v>
      </c>
    </row>
    <row r="21" spans="1:61" ht="18" customHeight="1">
      <c r="A21" s="508" t="s">
        <v>197</v>
      </c>
      <c r="B21" s="632" t="str">
        <f>Uebersetzung!D546&amp;"  "</f>
        <v xml:space="preserve">Systemlösung  </v>
      </c>
      <c r="C21" s="696"/>
      <c r="D21" s="945"/>
      <c r="E21" s="946"/>
      <c r="F21" s="947"/>
      <c r="G21" s="652"/>
      <c r="H21" s="652"/>
      <c r="I21" s="652"/>
      <c r="J21" s="652"/>
      <c r="K21" s="653"/>
      <c r="N21" s="304" t="s">
        <v>1242</v>
      </c>
      <c r="O21" s="394" t="e">
        <f>F19*#REF!</f>
        <v>#REF!</v>
      </c>
      <c r="P21" s="395" t="e">
        <f>G20*#REF!</f>
        <v>#REF!</v>
      </c>
      <c r="Q21" s="395" t="e">
        <f>H20*#REF!</f>
        <v>#REF!</v>
      </c>
      <c r="R21" s="396" t="e">
        <f>I20*#REF!</f>
        <v>#REF!</v>
      </c>
      <c r="S21" s="305" t="e">
        <f>IF(EBF=0,0,(O21*_EBF1+P21*_EBF2+Q21*_EBF3+R21*_EBF4)/(_EBF1+_EBF2+_EBF3+_EBF4))</f>
        <v>#REF!</v>
      </c>
      <c r="T21" s="5" t="s">
        <v>251</v>
      </c>
      <c r="AB21" s="391" t="s">
        <v>1630</v>
      </c>
      <c r="AC21" s="424" t="s">
        <v>1628</v>
      </c>
      <c r="AD21" s="395" t="e">
        <f>AD20*0.3</f>
        <v>#REF!</v>
      </c>
      <c r="AE21" s="395" t="e">
        <f t="shared" ref="AE21:AG21" si="3">AE20*0.3</f>
        <v>#REF!</v>
      </c>
      <c r="AF21" s="395" t="e">
        <f t="shared" si="3"/>
        <v>#REF!</v>
      </c>
      <c r="AG21" s="396" t="e">
        <f t="shared" si="3"/>
        <v>#REF!</v>
      </c>
      <c r="AH21" s="417" t="e">
        <f>SUM(AD21:AG21)</f>
        <v>#REF!</v>
      </c>
      <c r="AI21" s="5" t="s">
        <v>251</v>
      </c>
      <c r="AK21" s="300" t="str">
        <f>Uebersetzung!D544</f>
        <v>System 4</v>
      </c>
      <c r="AL21" s="552">
        <v>4</v>
      </c>
      <c r="AM21" s="483">
        <f t="shared" si="2"/>
        <v>0</v>
      </c>
      <c r="AN21" s="630" t="s">
        <v>1959</v>
      </c>
      <c r="AO21" s="630" t="s">
        <v>1964</v>
      </c>
      <c r="AP21" s="630" t="s">
        <v>1966</v>
      </c>
      <c r="AQ21" s="630" t="s">
        <v>1961</v>
      </c>
      <c r="AR21" s="300" t="b">
        <f>IF(F20=AT22,AND(AO38&lt;=3,IF(F18&gt;=1,AND($I$26=$AK$13,$I$27=$AK$13,$I$28=$AK$13,$I$29=$AK$13),TRUE)),AND($F$26=$AK$13,$F$27=$AK$13,$F$28=$AK$13,$F$29=$AK$13,$D$21=$AK$21,IF(G25=Uebersetzung!D638,AND(I26=AK13,I27=AK13,I28=AK13,I29=AK13),TRUE)))</f>
        <v>0</v>
      </c>
      <c r="AT21" s="536" t="str">
        <f>Uebersetzung!D635</f>
        <v>U-Werte</v>
      </c>
      <c r="AU21" s="621">
        <v>1</v>
      </c>
      <c r="BC21" s="816" t="str">
        <f t="shared" si="1"/>
        <v/>
      </c>
      <c r="BD21" s="817" t="str">
        <f t="shared" si="1"/>
        <v/>
      </c>
      <c r="BE21" s="817"/>
      <c r="BF21" s="817"/>
      <c r="BG21" s="817"/>
      <c r="BH21" s="817"/>
      <c r="BI21" s="813">
        <v>12</v>
      </c>
    </row>
    <row r="22" spans="1:61" ht="18" customHeight="1">
      <c r="A22" s="508" t="s">
        <v>1985</v>
      </c>
      <c r="B22" s="697" t="str">
        <f>IF(AND(D21=AK26,F20=AT21),Uebersetzung!D643," ")</f>
        <v xml:space="preserve"> </v>
      </c>
      <c r="K22" s="285"/>
      <c r="N22" s="88" t="s">
        <v>1260</v>
      </c>
      <c r="O22" s="87" t="e">
        <f>IF(wohnen1,#REF!*20,0)</f>
        <v>#REF!</v>
      </c>
      <c r="P22" s="94" t="e">
        <f>IF(wohnen2,G25*20,0)</f>
        <v>#REF!</v>
      </c>
      <c r="Q22" s="94" t="e">
        <f>IF(wohnen3,H25*20,0)</f>
        <v>#REF!</v>
      </c>
      <c r="R22" s="277" t="e">
        <f>IF(wohnen4,I25*20,0)</f>
        <v>#REF!</v>
      </c>
      <c r="S22" s="274" t="e">
        <f>SUM(O22:R22)</f>
        <v>#REF!</v>
      </c>
      <c r="T22" s="5" t="s">
        <v>328</v>
      </c>
      <c r="U22" s="631" t="s">
        <v>1376</v>
      </c>
      <c r="AC22" s="303" t="s">
        <v>1629</v>
      </c>
      <c r="AD22" s="287" t="e">
        <f>AD21+AD19</f>
        <v>#REF!</v>
      </c>
      <c r="AE22" s="281" t="e">
        <f>AE21+AE19</f>
        <v>#REF!</v>
      </c>
      <c r="AF22" s="281" t="e">
        <f>AF21+AF19</f>
        <v>#REF!</v>
      </c>
      <c r="AG22" s="288" t="e">
        <f>AG21+AG19</f>
        <v>#REF!</v>
      </c>
      <c r="AH22" s="420" t="e">
        <f>SUM(AD22:AG22)</f>
        <v>#REF!</v>
      </c>
      <c r="AI22" s="5" t="s">
        <v>251</v>
      </c>
      <c r="AK22" s="301" t="str">
        <f>Uebersetzung!D545</f>
        <v>System 5</v>
      </c>
      <c r="AL22" s="554">
        <v>5</v>
      </c>
      <c r="AM22" s="483">
        <f>IF(AL22=AL$17,1,0)</f>
        <v>0</v>
      </c>
      <c r="AN22" s="290" t="s">
        <v>1959</v>
      </c>
      <c r="AO22" s="290" t="s">
        <v>1965</v>
      </c>
      <c r="AP22" s="290" t="s">
        <v>1967</v>
      </c>
      <c r="AQ22" s="290" t="s">
        <v>1961</v>
      </c>
      <c r="AR22" s="300" t="b">
        <f>IF(F20=AT22,AND(AO38&lt;=3,IF(F18&gt;=1,AND($I$26=$AK$13,$I$27=$AK$13,$I$28=$AK$13,$I$29=$AK$13),TRUE)),AND($F$26=$AK$13,$F$27=$AK$13,$F$28=$AK$13,$F$29=$AK$13,$D$21=$AK$22,IF(G25=Uebersetzung!D638,AND(I26=AK13,I27=AK13,I28=AK13,I29=AK13),TRUE)))</f>
        <v>0</v>
      </c>
      <c r="AT22" s="107" t="str">
        <f>Uebersetzung!D636</f>
        <v>GEAK</v>
      </c>
      <c r="AU22" s="301">
        <v>2</v>
      </c>
      <c r="BC22" s="816" t="str">
        <f t="shared" si="1"/>
        <v/>
      </c>
      <c r="BD22" s="817" t="str">
        <f t="shared" si="1"/>
        <v/>
      </c>
      <c r="BE22" s="817"/>
      <c r="BF22" s="817"/>
      <c r="BG22" s="817"/>
      <c r="BH22" s="817"/>
      <c r="BI22" s="813">
        <v>13</v>
      </c>
    </row>
    <row r="23" spans="1:61" ht="18" customHeight="1">
      <c r="A23" s="508" t="s">
        <v>198</v>
      </c>
      <c r="B23" s="735" t="str">
        <f>IF(AO3&gt;0,IF(F18/AO3&gt;1/3,Uebersetzung!D648," ")," ")</f>
        <v xml:space="preserve"> </v>
      </c>
      <c r="K23" s="285"/>
      <c r="AC23" s="542" t="s">
        <v>1933</v>
      </c>
      <c r="AH23" s="543">
        <v>0.3</v>
      </c>
      <c r="AK23" s="5" t="str">
        <f>Uebersetzung!D642</f>
        <v>Systeme 2-4</v>
      </c>
      <c r="AL23" s="5">
        <v>6</v>
      </c>
      <c r="AM23" s="483">
        <f>IF(AL23=AL$17,1,0)</f>
        <v>0</v>
      </c>
      <c r="AN23" s="290" t="s">
        <v>2069</v>
      </c>
      <c r="AO23" s="629" t="s">
        <v>2069</v>
      </c>
      <c r="AP23" s="629" t="s">
        <v>2070</v>
      </c>
      <c r="AQ23" s="629" t="s">
        <v>2069</v>
      </c>
      <c r="AR23" s="301" t="b">
        <f>IF(F20=AT22,AND(AO38&lt;=3,IF(F18&gt;=1,AND($I$26=$AK$13,$I$27=$AK$13,$I$28=$AK$13,$I$29=$AK$13),TRUE)),FALSE)</f>
        <v>0</v>
      </c>
      <c r="AS23" s="5" t="b">
        <f>AND($I$26=$AK$13,$I$27=$AK$13,$I$28=$AK$13,$I$29=$AK$13,OR(AR18,AR19,AR20,AR21,AR22))</f>
        <v>0</v>
      </c>
      <c r="BC23" s="816" t="str">
        <f t="shared" si="1"/>
        <v/>
      </c>
      <c r="BD23" s="817" t="str">
        <f t="shared" si="1"/>
        <v/>
      </c>
      <c r="BE23" s="817"/>
      <c r="BF23" s="817"/>
      <c r="BG23" s="817"/>
      <c r="BH23" s="817"/>
      <c r="BI23" s="813">
        <v>14</v>
      </c>
    </row>
    <row r="24" spans="1:61" ht="18" customHeight="1">
      <c r="A24" s="508" t="s">
        <v>199</v>
      </c>
      <c r="B24" s="917"/>
      <c r="C24" s="918"/>
      <c r="K24" s="285"/>
      <c r="N24" s="88" t="s">
        <v>70</v>
      </c>
      <c r="O24" s="88" t="e">
        <f>IF(#REF!=$N$13,TRUE,FALSE)</f>
        <v>#REF!</v>
      </c>
      <c r="P24" s="86" t="b">
        <f>IF(G32=$N$13,TRUE,FALSE)</f>
        <v>0</v>
      </c>
      <c r="Q24" s="86" t="b">
        <f>IF(H32=$N$13,TRUE,FALSE)</f>
        <v>0</v>
      </c>
      <c r="R24" s="106" t="b">
        <f>IF(I32=$N$13,TRUE,FALSE)</f>
        <v>0</v>
      </c>
      <c r="S24" s="384"/>
      <c r="AH24" s="410">
        <f t="shared" ref="AH24:AH26" si="4">SUM(AD24:AG24)</f>
        <v>0</v>
      </c>
      <c r="AN24" s="88" t="s">
        <v>156</v>
      </c>
      <c r="AO24" s="86"/>
      <c r="AP24" s="86"/>
      <c r="AQ24" s="106"/>
      <c r="AR24" s="274">
        <f>IF(AND(D21&lt;&gt;"",D31&lt;&gt;""),IF(D21&lt;&gt;AK18,VLOOKUP(D31,AN26:AR29,5,0),IF(D31="",0,VLOOKUP(D31,AN25:AR29,5,0))),0)</f>
        <v>0</v>
      </c>
      <c r="BC24" s="816" t="str">
        <f t="shared" si="1"/>
        <v/>
      </c>
      <c r="BD24" s="817" t="str">
        <f t="shared" si="1"/>
        <v/>
      </c>
      <c r="BE24" s="817"/>
      <c r="BF24" s="817"/>
      <c r="BG24" s="817"/>
      <c r="BH24" s="817"/>
      <c r="BI24" s="813">
        <v>15</v>
      </c>
    </row>
    <row r="25" spans="1:61" ht="18" customHeight="1">
      <c r="A25" s="508" t="s">
        <v>1986</v>
      </c>
      <c r="B25" s="919"/>
      <c r="C25" s="920"/>
      <c r="D25" s="921" t="str">
        <f>IF(F17&gt;0,IF(OR(F18=0,F18&gt;50,F18/F17&gt;0.2),Uebersetzung!D637,Uebersetzung!D637)," ")</f>
        <v xml:space="preserve"> </v>
      </c>
      <c r="E25" s="921"/>
      <c r="F25" s="921"/>
      <c r="G25" s="922" t="str">
        <f>IF(F18&gt;=1,Uebersetzung!D638," ")</f>
        <v xml:space="preserve"> </v>
      </c>
      <c r="H25" s="922"/>
      <c r="I25" s="922"/>
      <c r="J25" s="652"/>
      <c r="K25" s="653"/>
      <c r="AH25" s="410">
        <f t="shared" si="4"/>
        <v>0</v>
      </c>
      <c r="AK25" s="5" t="str">
        <f>Uebersetzung!D541</f>
        <v>System 1</v>
      </c>
      <c r="AM25" s="483"/>
      <c r="AN25" s="536" t="str">
        <f>IF(AL17=1,Uebersetzung!D552,"")</f>
        <v/>
      </c>
      <c r="AO25" s="171"/>
      <c r="AP25" s="171"/>
      <c r="AQ25" s="575"/>
      <c r="AR25" s="577">
        <v>1</v>
      </c>
      <c r="AT25" s="621" t="str">
        <f>Uebersetzung!D625</f>
        <v>Fussbodenheizung</v>
      </c>
      <c r="BC25" s="816" t="str">
        <f t="shared" si="1"/>
        <v/>
      </c>
      <c r="BD25" s="817" t="str">
        <f t="shared" si="1"/>
        <v/>
      </c>
      <c r="BE25" s="817"/>
      <c r="BF25" s="817"/>
      <c r="BG25" s="817"/>
      <c r="BH25" s="817"/>
      <c r="BI25" s="813">
        <v>16</v>
      </c>
    </row>
    <row r="26" spans="1:61" ht="18" customHeight="1">
      <c r="A26" s="508" t="s">
        <v>1987</v>
      </c>
      <c r="B26" s="635" t="str">
        <f>Uebersetzung!D547</f>
        <v xml:space="preserve">Dach / Decke </v>
      </c>
      <c r="C26" s="645"/>
      <c r="D26" s="703" t="str">
        <f>IF(AND(F20=AT21,AL17&lt;&gt;6),INDEX($AN$18:$AQ$22,$AL$17,1)," ")</f>
        <v xml:space="preserve"> </v>
      </c>
      <c r="E26" s="633" t="s">
        <v>1969</v>
      </c>
      <c r="F26" s="694"/>
      <c r="G26" s="30" t="str">
        <f>IF(F18&gt;=1,AN23," ")</f>
        <v xml:space="preserve"> </v>
      </c>
      <c r="H26" s="30" t="str">
        <f>IF(F18&gt;=1,"W/m2K"," ")</f>
        <v xml:space="preserve"> </v>
      </c>
      <c r="I26" s="738" t="s">
        <v>71</v>
      </c>
      <c r="J26" s="646"/>
      <c r="K26" s="653"/>
      <c r="N26" s="309" t="s">
        <v>1264</v>
      </c>
      <c r="O26" s="310"/>
      <c r="P26" s="310"/>
      <c r="Q26" s="310"/>
      <c r="R26" s="310"/>
      <c r="S26" s="311"/>
      <c r="AH26" s="410">
        <f t="shared" si="4"/>
        <v>0</v>
      </c>
      <c r="AK26" s="5" t="str">
        <f>Uebersetzung!D642</f>
        <v>Systeme 2-4</v>
      </c>
      <c r="AN26" s="260" t="str">
        <f>Uebersetzung!D553</f>
        <v xml:space="preserve">Wärmepumpe Sole/Wasser bis 50°C VL Temperatur  </v>
      </c>
      <c r="AO26" s="26"/>
      <c r="AP26" s="26"/>
      <c r="AQ26" s="285"/>
      <c r="AR26" s="553">
        <v>2</v>
      </c>
      <c r="AT26" s="301" t="str">
        <f>Uebersetzung!D626</f>
        <v>Heizkörper</v>
      </c>
      <c r="BC26" s="816" t="str">
        <f t="shared" si="1"/>
        <v/>
      </c>
      <c r="BD26" s="817" t="str">
        <f t="shared" si="1"/>
        <v/>
      </c>
      <c r="BE26" s="817"/>
      <c r="BF26" s="817"/>
      <c r="BG26" s="817"/>
      <c r="BH26" s="817"/>
      <c r="BI26" s="813">
        <v>17</v>
      </c>
    </row>
    <row r="27" spans="1:61" ht="18" customHeight="1">
      <c r="A27" s="508" t="s">
        <v>2086</v>
      </c>
      <c r="B27" s="634" t="str">
        <f>Uebersetzung!D548</f>
        <v>Wand</v>
      </c>
      <c r="C27" s="656"/>
      <c r="D27" s="34" t="str">
        <f>IF(AND(F20=AT21,AL17&lt;&gt;6),INDEX($AN$18:$AQ$22,$AL$17,2)," ")</f>
        <v xml:space="preserve"> </v>
      </c>
      <c r="E27" s="639" t="s">
        <v>1969</v>
      </c>
      <c r="F27" s="680"/>
      <c r="G27" s="30" t="str">
        <f>IF(F18&gt;=1,AO23," ")</f>
        <v xml:space="preserve"> </v>
      </c>
      <c r="H27" s="30" t="str">
        <f>IF(F18&gt;=1,"W/m2K"," ")</f>
        <v xml:space="preserve"> </v>
      </c>
      <c r="I27" s="738"/>
      <c r="J27" s="646"/>
      <c r="K27" s="653"/>
      <c r="N27" s="303" t="s">
        <v>1264</v>
      </c>
      <c r="O27" s="87">
        <v>1</v>
      </c>
      <c r="P27" s="94">
        <v>2</v>
      </c>
      <c r="Q27" s="94">
        <v>3</v>
      </c>
      <c r="R27" s="277">
        <v>4</v>
      </c>
      <c r="S27" s="296" t="s">
        <v>1262</v>
      </c>
      <c r="U27" s="307" t="s">
        <v>1377</v>
      </c>
      <c r="V27" s="298" t="e">
        <f>IF(V18&gt;0,_qhs1/3.6,)</f>
        <v>#REF!</v>
      </c>
      <c r="W27" s="298" t="e">
        <f>IF(W18&gt;0,IF(Zonen&gt;1,_qhs2/3.6,0),)</f>
        <v>#REF!</v>
      </c>
      <c r="X27" s="298" t="e">
        <f>IF(X18&gt;0,IF(Zonen&gt;2,_qhs3/3.6,0),)</f>
        <v>#REF!</v>
      </c>
      <c r="Y27" s="298" t="e">
        <f>IF(Y18&gt;0,IF(Zonen&gt;3,_qhs4/3.6,0),)</f>
        <v>#REF!</v>
      </c>
      <c r="Z27" s="308" t="e">
        <f>IF(Z15&gt;0,(V27*V15+W27*W15+X27*X15+Y27*Y15)/Z15,)</f>
        <v>#REF!</v>
      </c>
      <c r="AA27" s="5" t="s">
        <v>251</v>
      </c>
      <c r="AK27" s="5" t="str">
        <f>Uebersetzung!D545</f>
        <v>System 5</v>
      </c>
      <c r="AN27" s="260" t="str">
        <f>Uebersetzung!D554</f>
        <v>Fernwärme (min. 50% erneuerbare Energien, Abwärme, WKK)</v>
      </c>
      <c r="AO27" s="26"/>
      <c r="AP27" s="26"/>
      <c r="AQ27" s="285"/>
      <c r="AR27" s="553">
        <v>3</v>
      </c>
      <c r="BC27" s="816" t="str">
        <f t="shared" ref="BC27:BD36" si="5">IF(Kanton=29,BC74,"")</f>
        <v/>
      </c>
      <c r="BD27" s="817" t="str">
        <f t="shared" si="5"/>
        <v/>
      </c>
      <c r="BE27" s="817"/>
      <c r="BF27" s="817"/>
      <c r="BG27" s="817"/>
      <c r="BH27" s="817"/>
      <c r="BI27" s="813">
        <v>18</v>
      </c>
    </row>
    <row r="28" spans="1:61" ht="18" customHeight="1">
      <c r="A28" s="508" t="s">
        <v>2087</v>
      </c>
      <c r="B28" s="634" t="str">
        <f>Uebersetzung!D549</f>
        <v>Fenster</v>
      </c>
      <c r="C28" s="656"/>
      <c r="D28" s="34" t="str">
        <f>IF(AND(F20=AT21,AL17&lt;&gt;6),INDEX($AN$18:$AQ$22,$AL$17,3)," ")</f>
        <v xml:space="preserve"> </v>
      </c>
      <c r="E28" s="639" t="s">
        <v>1969</v>
      </c>
      <c r="F28" s="680"/>
      <c r="G28" s="30" t="str">
        <f>IF(F18&gt;=1,AP23," ")</f>
        <v xml:space="preserve"> </v>
      </c>
      <c r="H28" s="30" t="str">
        <f>IF(F18&gt;=1,"W/m2K"," ")</f>
        <v xml:space="preserve"> </v>
      </c>
      <c r="I28" s="738" t="s">
        <v>71</v>
      </c>
      <c r="J28" s="646"/>
      <c r="K28" s="653"/>
      <c r="AN28" s="260" t="str">
        <f>Uebersetzung!D555</f>
        <v>Holz + Solar (2% EBF)</v>
      </c>
      <c r="AO28" s="26"/>
      <c r="AP28" s="26"/>
      <c r="AQ28" s="285"/>
      <c r="AR28" s="553">
        <v>4</v>
      </c>
      <c r="BC28" s="816" t="str">
        <f t="shared" si="5"/>
        <v/>
      </c>
      <c r="BD28" s="817" t="str">
        <f t="shared" si="5"/>
        <v/>
      </c>
      <c r="BE28" s="817"/>
      <c r="BF28" s="817"/>
      <c r="BG28" s="817"/>
      <c r="BH28" s="817"/>
      <c r="BI28" s="813">
        <v>19</v>
      </c>
    </row>
    <row r="29" spans="1:61" ht="18" customHeight="1">
      <c r="A29" s="508" t="s">
        <v>2088</v>
      </c>
      <c r="B29" s="634" t="str">
        <f>Uebersetzung!D550</f>
        <v xml:space="preserve">Boden </v>
      </c>
      <c r="C29" s="656"/>
      <c r="D29" s="36" t="str">
        <f>IF(AND(F20=AT21,AL17&lt;&gt;6),INDEX($AN$18:$AQ$22,$AL$17,4)," ")</f>
        <v xml:space="preserve"> </v>
      </c>
      <c r="E29" s="702" t="s">
        <v>1969</v>
      </c>
      <c r="F29" s="680"/>
      <c r="G29" s="30" t="str">
        <f>IF(F18&gt;=1,AQ23," ")</f>
        <v xml:space="preserve"> </v>
      </c>
      <c r="H29" s="30" t="str">
        <f>IF(F18&gt;=1,"W/m2K"," ")</f>
        <v xml:space="preserve"> </v>
      </c>
      <c r="I29" s="738" t="s">
        <v>71</v>
      </c>
      <c r="J29" s="646"/>
      <c r="K29" s="653"/>
      <c r="AN29" s="107" t="str">
        <f>Uebersetzung!D556</f>
        <v>Aussenluft-Wärmepumpe bis 35°C VL Temperatur</v>
      </c>
      <c r="AO29" s="27"/>
      <c r="AP29" s="27"/>
      <c r="AQ29" s="85"/>
      <c r="AR29" s="555">
        <v>5</v>
      </c>
      <c r="BC29" s="816" t="str">
        <f t="shared" si="5"/>
        <v/>
      </c>
      <c r="BD29" s="817" t="str">
        <f t="shared" si="5"/>
        <v/>
      </c>
      <c r="BE29" s="817"/>
      <c r="BF29" s="817"/>
      <c r="BG29" s="817"/>
      <c r="BH29" s="817"/>
      <c r="BI29" s="813">
        <v>20</v>
      </c>
    </row>
    <row r="30" spans="1:61" ht="18" customHeight="1">
      <c r="A30" s="508" t="s">
        <v>2089</v>
      </c>
      <c r="B30" s="272" t="str">
        <f>Uebersetzung!D558</f>
        <v>GEAK - Kategorie</v>
      </c>
      <c r="C30" s="658"/>
      <c r="D30" s="36" t="str">
        <f>IF(AU20=2,IF(AL17=1,"B","C"),"")</f>
        <v/>
      </c>
      <c r="E30" s="657"/>
      <c r="F30" s="659"/>
      <c r="G30" s="646"/>
      <c r="H30" s="646"/>
      <c r="I30" s="646"/>
      <c r="J30" s="646"/>
      <c r="K30" s="653"/>
      <c r="AK30" s="88" t="s">
        <v>318</v>
      </c>
      <c r="AL30" s="274">
        <f>IF(F19="",0,VLOOKUP(F19,AK31:AL42,2,0))</f>
        <v>0</v>
      </c>
      <c r="BC30" s="816" t="str">
        <f t="shared" si="5"/>
        <v/>
      </c>
      <c r="BD30" s="817" t="str">
        <f t="shared" si="5"/>
        <v/>
      </c>
      <c r="BE30" s="817"/>
      <c r="BF30" s="817"/>
      <c r="BG30" s="817"/>
      <c r="BH30" s="817"/>
      <c r="BI30" s="813">
        <v>21</v>
      </c>
    </row>
    <row r="31" spans="1:61" ht="18" customHeight="1">
      <c r="A31" s="508" t="s">
        <v>200</v>
      </c>
      <c r="B31" s="701" t="str">
        <f>Uebersetzung!D551</f>
        <v>Wärme-Erzeugungssystem und Wärmeabgabe</v>
      </c>
      <c r="C31" s="716"/>
      <c r="D31" s="925"/>
      <c r="E31" s="926"/>
      <c r="F31" s="927"/>
      <c r="G31" s="652"/>
      <c r="H31" s="652"/>
      <c r="I31" s="652"/>
      <c r="J31" s="652"/>
      <c r="K31" s="653"/>
      <c r="M31" s="74"/>
      <c r="N31" s="299" t="s">
        <v>1248</v>
      </c>
      <c r="O31" s="94" t="e">
        <f>IF(wohnen1,IF(_neu1,0.85,1),0)</f>
        <v>#REF!</v>
      </c>
      <c r="P31" s="94" t="e">
        <f>IF(wohnen2,IF(_neu2,0.85,1),0)</f>
        <v>#REF!</v>
      </c>
      <c r="Q31" s="94" t="e">
        <f>IF(wohnen3,IF(_neu3,0.85,1),0)</f>
        <v>#REF!</v>
      </c>
      <c r="R31" s="277" t="e">
        <f>IF(wohnen4,IF(_neu4,0.85,1),0)</f>
        <v>#REF!</v>
      </c>
      <c r="S31" s="297" t="e">
        <f>IF(S32&gt;0,(O31*O32+P31*P32+Q31*Q32+R31*R32)/S32,0)</f>
        <v>#REF!</v>
      </c>
      <c r="AK31" s="260" t="str">
        <f>Uebersetzung!D82</f>
        <v>MFH</v>
      </c>
      <c r="AL31" s="553">
        <v>1</v>
      </c>
      <c r="BC31" s="816" t="str">
        <f t="shared" si="5"/>
        <v/>
      </c>
      <c r="BD31" s="817" t="str">
        <f t="shared" si="5"/>
        <v/>
      </c>
      <c r="BE31" s="817"/>
      <c r="BF31" s="817"/>
      <c r="BG31" s="817"/>
      <c r="BH31" s="817"/>
      <c r="BI31" s="813">
        <v>22</v>
      </c>
    </row>
    <row r="32" spans="1:61" ht="18" customHeight="1">
      <c r="A32" s="508"/>
      <c r="B32" s="715" t="str">
        <f>IF(AND(D21&lt;&gt;AK18,D31=Uebersetzung!D552),Uebersetzung!D644," ")</f>
        <v xml:space="preserve"> </v>
      </c>
      <c r="C32" s="637"/>
      <c r="D32" s="928"/>
      <c r="E32" s="929"/>
      <c r="F32" s="930"/>
      <c r="G32" s="652"/>
      <c r="H32" s="652"/>
      <c r="I32" s="652"/>
      <c r="J32" s="652"/>
      <c r="K32" s="653"/>
      <c r="N32" s="299" t="s">
        <v>1257</v>
      </c>
      <c r="O32" s="283"/>
      <c r="P32" s="283" t="e">
        <f>IF(wohnen2,G31,0)</f>
        <v>#REF!</v>
      </c>
      <c r="Q32" s="283" t="e">
        <f>IF(wohnen3,H31,0)</f>
        <v>#REF!</v>
      </c>
      <c r="R32" s="283" t="e">
        <f>IF(wohnen4,I31,0)</f>
        <v>#REF!</v>
      </c>
      <c r="S32" s="280" t="e">
        <f>SUM(O32:R32)</f>
        <v>#REF!</v>
      </c>
      <c r="T32" s="26" t="s">
        <v>160</v>
      </c>
      <c r="W32" s="407"/>
      <c r="AC32" s="631" t="s">
        <v>1631</v>
      </c>
      <c r="AK32" s="260" t="str">
        <f>Uebersetzung!D83</f>
        <v>EFH</v>
      </c>
      <c r="AL32" s="553">
        <v>2</v>
      </c>
      <c r="BC32" s="816" t="str">
        <f t="shared" si="5"/>
        <v/>
      </c>
      <c r="BD32" s="817" t="str">
        <f t="shared" si="5"/>
        <v/>
      </c>
      <c r="BE32" s="817"/>
      <c r="BF32" s="817"/>
      <c r="BG32" s="817"/>
      <c r="BH32" s="817"/>
      <c r="BI32" s="813">
        <v>23</v>
      </c>
    </row>
    <row r="33" spans="1:61" ht="18" customHeight="1">
      <c r="A33" s="508" t="s">
        <v>2090</v>
      </c>
      <c r="B33" s="704" t="str">
        <f>IF(D31&lt;&gt;"",IF(OR(AR24=2,AR24=5),Uebersetzung!D640," "),"")</f>
        <v/>
      </c>
      <c r="C33" s="663"/>
      <c r="D33" s="923"/>
      <c r="E33" s="923"/>
      <c r="F33" s="924"/>
      <c r="G33" s="652"/>
      <c r="H33" s="652"/>
      <c r="I33" s="652"/>
      <c r="J33" s="652"/>
      <c r="K33" s="653"/>
      <c r="N33" s="300" t="s">
        <v>1256</v>
      </c>
      <c r="O33" s="283" t="e">
        <f>IF(AND(Kategorie1&lt;4,Kategorie1&gt;1),TRUE,FALSE)</f>
        <v>#REF!</v>
      </c>
      <c r="P33" s="283" t="e">
        <f>IF(AND(Kategorie2&lt;4,Kategorie2&gt;1),TRUE,FALSE)</f>
        <v>#REF!</v>
      </c>
      <c r="Q33" s="283" t="e">
        <f>IF(AND(Kategorie3&lt;4,Kategorie3&gt;1),TRUE,FALSE)</f>
        <v>#REF!</v>
      </c>
      <c r="R33" s="283" t="e">
        <f>IF(AND(Kategorie4&lt;4,Kategorie4&gt;1),TRUE,FALSE)</f>
        <v>#REF!</v>
      </c>
      <c r="S33" s="158" t="e">
        <f t="shared" ref="S33:S34" si="6">SUM(O33:R33)</f>
        <v>#REF!</v>
      </c>
      <c r="T33" s="26"/>
      <c r="U33" s="26"/>
      <c r="AK33" s="260" t="str">
        <f>Uebersetzung!D84</f>
        <v>Verwaltung</v>
      </c>
      <c r="AL33" s="553">
        <v>3</v>
      </c>
      <c r="BC33" s="816" t="str">
        <f t="shared" si="5"/>
        <v/>
      </c>
      <c r="BD33" s="817" t="str">
        <f t="shared" si="5"/>
        <v/>
      </c>
      <c r="BE33" s="817"/>
      <c r="BF33" s="817"/>
      <c r="BG33" s="817"/>
      <c r="BH33" s="817"/>
      <c r="BI33" s="813">
        <v>24</v>
      </c>
    </row>
    <row r="34" spans="1:61" ht="18" customHeight="1">
      <c r="A34" s="508" t="s">
        <v>2091</v>
      </c>
      <c r="B34" s="636" t="str">
        <f>Uebersetzung!D557</f>
        <v xml:space="preserve">max. Vorlauftemperatur der Wärmeerzeugung:  </v>
      </c>
      <c r="C34" s="661"/>
      <c r="D34" s="742" t="str">
        <f>IF(D31&lt;&gt;"",IF(AR24=AR26,"&lt; 50°C",IF(AR24=AR29,"&lt; 35°C"," "))," ")</f>
        <v xml:space="preserve"> </v>
      </c>
      <c r="E34" s="706" t="s">
        <v>1973</v>
      </c>
      <c r="F34" s="628"/>
      <c r="G34" s="973" t="str">
        <f>IF(D31&lt;&gt;"",IF(OR(AND(AR24=AR26,F34&gt;50),AND(AR24=AR29,F34&gt;35)),Uebersetzung!D654," "),"")</f>
        <v/>
      </c>
      <c r="H34" s="974"/>
      <c r="I34" s="974"/>
      <c r="J34" s="974"/>
      <c r="K34" s="975"/>
      <c r="N34" s="301" t="s">
        <v>1261</v>
      </c>
      <c r="O34" s="290">
        <f>O32*0.8</f>
        <v>0</v>
      </c>
      <c r="P34" s="290" t="e">
        <f t="shared" ref="P34:R34" si="7">P32*0.8</f>
        <v>#REF!</v>
      </c>
      <c r="Q34" s="290" t="e">
        <f t="shared" si="7"/>
        <v>#REF!</v>
      </c>
      <c r="R34" s="290" t="e">
        <f t="shared" si="7"/>
        <v>#REF!</v>
      </c>
      <c r="S34" s="159" t="e">
        <f t="shared" si="6"/>
        <v>#REF!</v>
      </c>
      <c r="T34" s="26" t="s">
        <v>160</v>
      </c>
      <c r="U34" s="42" t="s">
        <v>1291</v>
      </c>
      <c r="AC34" s="421" t="s">
        <v>1934</v>
      </c>
      <c r="AD34" s="431" t="e">
        <f>IF(Zonen&gt;0,IF(AD13,#REF!,0),0)</f>
        <v>#REF!</v>
      </c>
      <c r="AE34" s="432" t="e">
        <f>IF(Zonen&gt;1,IF(AE13,#REF!,0),0)</f>
        <v>#REF!</v>
      </c>
      <c r="AF34" s="432" t="e">
        <f>IF(Zonen&gt;2,IF(AF13,#REF!,0),0)</f>
        <v>#REF!</v>
      </c>
      <c r="AG34" s="432" t="e">
        <f>IF(Zonen&gt;3,IF(AG13,#REF!,0),0)</f>
        <v>#REF!</v>
      </c>
      <c r="AH34" s="430" t="e">
        <f>IF($AH$17&gt;0,(AD34*$AD$17+AE34*$AE$17+AF34*$AF$17+AG34*$AG$17)/$AH$17,)</f>
        <v>#REF!</v>
      </c>
      <c r="AI34" s="5" t="s">
        <v>251</v>
      </c>
      <c r="AK34" s="260" t="str">
        <f>Uebersetzung!D85</f>
        <v>Schule</v>
      </c>
      <c r="AL34" s="553">
        <v>4</v>
      </c>
      <c r="BC34" s="816" t="str">
        <f t="shared" si="5"/>
        <v/>
      </c>
      <c r="BD34" s="817" t="str">
        <f t="shared" si="5"/>
        <v/>
      </c>
      <c r="BE34" s="817"/>
      <c r="BF34" s="817"/>
      <c r="BG34" s="817"/>
      <c r="BH34" s="817"/>
      <c r="BI34" s="813">
        <v>25</v>
      </c>
    </row>
    <row r="35" spans="1:61" ht="18" customHeight="1">
      <c r="A35" s="508" t="s">
        <v>2092</v>
      </c>
      <c r="B35" s="272" t="str">
        <f>Uebersetzung!D624</f>
        <v>Abgabe System</v>
      </c>
      <c r="C35" s="652"/>
      <c r="D35" s="979"/>
      <c r="E35" s="980"/>
      <c r="F35" s="981"/>
      <c r="G35" s="627"/>
      <c r="H35" s="295"/>
      <c r="I35" s="295"/>
      <c r="J35" s="664"/>
      <c r="K35" s="665"/>
      <c r="L35" s="42" t="s">
        <v>109</v>
      </c>
      <c r="N35" s="300" t="s">
        <v>1258</v>
      </c>
      <c r="O35" s="283" t="e">
        <f>IF(AND(wohnen1,F74=$N$13),#REF!*100,0)</f>
        <v>#REF!</v>
      </c>
      <c r="P35" s="283" t="e">
        <f>IF(AND(wohnen2,G74=$N$13),G33*100,0)</f>
        <v>#REF!</v>
      </c>
      <c r="Q35" s="283" t="e">
        <f>IF(AND(wohnen3,H74=$N$13),H33*100,0)</f>
        <v>#REF!</v>
      </c>
      <c r="R35" s="528" t="e">
        <f>IF(AND(wohnen4,I74=$N$13),I33*100,0)</f>
        <v>#REF!</v>
      </c>
      <c r="S35" s="158" t="e">
        <f>SUM(O35:R35)</f>
        <v>#REF!</v>
      </c>
      <c r="T35" s="26" t="s">
        <v>328</v>
      </c>
      <c r="U35" s="282" t="s">
        <v>1241</v>
      </c>
      <c r="V35" s="527">
        <v>1</v>
      </c>
      <c r="W35" s="283">
        <v>2</v>
      </c>
      <c r="X35" s="283">
        <v>3</v>
      </c>
      <c r="Y35" s="54">
        <v>4</v>
      </c>
      <c r="Z35" s="54" t="s">
        <v>1247</v>
      </c>
      <c r="AC35" s="422" t="s">
        <v>1935</v>
      </c>
      <c r="AD35" s="278" t="e">
        <f>#REF!</f>
        <v>#REF!</v>
      </c>
      <c r="AE35" s="276" t="e">
        <f>#REF!</f>
        <v>#REF!</v>
      </c>
      <c r="AF35" s="276" t="e">
        <f>#REF!</f>
        <v>#REF!</v>
      </c>
      <c r="AG35" s="276" t="e">
        <f>#REF!</f>
        <v>#REF!</v>
      </c>
      <c r="AH35" s="428" t="e">
        <f>#REF!</f>
        <v>#REF!</v>
      </c>
      <c r="AK35" s="260" t="str">
        <f>Uebersetzung!D86</f>
        <v>Verkauf</v>
      </c>
      <c r="AL35" s="553">
        <v>5</v>
      </c>
      <c r="BC35" s="816" t="str">
        <f t="shared" si="5"/>
        <v/>
      </c>
      <c r="BD35" s="817" t="str">
        <f t="shared" si="5"/>
        <v/>
      </c>
      <c r="BE35" s="817"/>
      <c r="BF35" s="817"/>
      <c r="BG35" s="817"/>
      <c r="BH35" s="817"/>
      <c r="BI35" s="813">
        <v>26</v>
      </c>
    </row>
    <row r="36" spans="1:61" ht="18" customHeight="1">
      <c r="A36" s="508" t="s">
        <v>2093</v>
      </c>
      <c r="B36" s="272" t="str">
        <f>Uebersetzung!D630</f>
        <v>Absorberfläche Solarthermie</v>
      </c>
      <c r="C36" s="666"/>
      <c r="D36" s="736" t="str">
        <f>IF(D31&lt;&gt;"",IF(OR(AR24=1,AR24=4),ROUND(AO3*0.02,0)," "),"")</f>
        <v/>
      </c>
      <c r="E36" s="705" t="s">
        <v>160</v>
      </c>
      <c r="F36" s="744"/>
      <c r="G36" s="748" t="str">
        <f>IF(AND(F36&lt;D36,D31=AN28),Uebersetzung!D657," ")</f>
        <v xml:space="preserve"> </v>
      </c>
      <c r="H36" s="641"/>
      <c r="I36" s="641"/>
      <c r="J36" s="664"/>
      <c r="K36" s="665"/>
      <c r="L36" s="42" t="s">
        <v>109</v>
      </c>
      <c r="N36" s="299" t="s">
        <v>1249</v>
      </c>
      <c r="O36" s="392">
        <f>IF(F75=$N$13,IF(_neu1,#REF!,#REF!),0)</f>
        <v>0</v>
      </c>
      <c r="P36" s="302">
        <f>IF(G75=$N$13,IF(_neu2,#REF!,#REF!),0)</f>
        <v>0</v>
      </c>
      <c r="Q36" s="302">
        <f>IF(H75=$N$13,IF(_neu3,#REF!,#REF!),0)</f>
        <v>0</v>
      </c>
      <c r="R36" s="393">
        <f>IF(I75=$N$13,IF(_neu4,#REF!,#REF!),0)</f>
        <v>0</v>
      </c>
      <c r="S36" s="381"/>
      <c r="T36" s="26"/>
      <c r="U36" s="301" t="s">
        <v>1855</v>
      </c>
      <c r="V36" s="290" t="e">
        <f>IF(Kategorie1&lt;13,#REF!,0)</f>
        <v>#REF!</v>
      </c>
      <c r="W36" s="290" t="e">
        <f>IF(Kategorie2&lt;13,#REF!,0)</f>
        <v>#REF!</v>
      </c>
      <c r="X36" s="290" t="e">
        <f>IF(Kategorie3&lt;13,#REF!,0)</f>
        <v>#REF!</v>
      </c>
      <c r="Y36" s="290" t="e">
        <f>IF(Kategorie4&lt;13,#REF!,0)</f>
        <v>#REF!</v>
      </c>
      <c r="Z36" s="159" t="e">
        <f>SUM(V36:Y36)</f>
        <v>#REF!</v>
      </c>
      <c r="AC36" s="427" t="s">
        <v>1935</v>
      </c>
      <c r="AD36" s="394" t="e">
        <f>IF($AH$17&gt;0,AD34*AD17*AD35/$AH$17,)</f>
        <v>#REF!</v>
      </c>
      <c r="AE36" s="395" t="e">
        <f t="shared" ref="AE36:AG36" si="8">IF($AH$17&gt;0,AE34*AE17*AE35/$AH$17,)</f>
        <v>#REF!</v>
      </c>
      <c r="AF36" s="395" t="e">
        <f t="shared" si="8"/>
        <v>#REF!</v>
      </c>
      <c r="AG36" s="395" t="e">
        <f t="shared" si="8"/>
        <v>#REF!</v>
      </c>
      <c r="AH36" s="415" t="e">
        <f>SUM(AD36:AG36)</f>
        <v>#REF!</v>
      </c>
      <c r="AI36" s="5" t="s">
        <v>251</v>
      </c>
      <c r="AK36" s="260" t="str">
        <f>Uebersetzung!D87</f>
        <v>Restaurant</v>
      </c>
      <c r="AL36" s="553">
        <v>6</v>
      </c>
      <c r="BC36" s="816" t="str">
        <f t="shared" si="5"/>
        <v/>
      </c>
      <c r="BD36" s="817" t="str">
        <f t="shared" si="5"/>
        <v/>
      </c>
      <c r="BE36" s="817"/>
      <c r="BF36" s="817"/>
      <c r="BG36" s="817"/>
      <c r="BH36" s="817"/>
      <c r="BI36" s="813">
        <v>27</v>
      </c>
    </row>
    <row r="37" spans="1:61" ht="18" customHeight="1">
      <c r="A37" s="508" t="s">
        <v>68</v>
      </c>
      <c r="B37" s="701" t="str">
        <f>Uebersetzung!D559</f>
        <v>Lüftungs-Typ</v>
      </c>
      <c r="C37" s="660"/>
      <c r="D37" s="976"/>
      <c r="E37" s="977"/>
      <c r="F37" s="978"/>
      <c r="G37" s="967" t="str">
        <f>IF(D31&lt;&gt;"",IF(D37&lt;&gt;"",IF(AND(D37=AQ40,F38&gt;33),Uebersetzung!D653,IF(AND(AL17=1,AR24=1,AU38=2),Uebersetzung!D655," ")),""),"")</f>
        <v/>
      </c>
      <c r="H37" s="968"/>
      <c r="I37" s="968"/>
      <c r="J37" s="968"/>
      <c r="K37" s="969"/>
      <c r="N37" s="300" t="s">
        <v>1250</v>
      </c>
      <c r="O37" s="278">
        <f>IF(F76=$N$13,IF(_neu1,#REF!,#REF!),0)</f>
        <v>0</v>
      </c>
      <c r="P37" s="276">
        <f>IF(G76=$N$13,IF(_neu2,#REF!,#REF!),0)</f>
        <v>0</v>
      </c>
      <c r="Q37" s="276">
        <f>IF(H76=$N$13,IF(_neu3,#REF!,#REF!),0)</f>
        <v>0</v>
      </c>
      <c r="R37" s="291">
        <f>IF(I76=$N$13,IF(_neu4,#REF!,#REF!),0)</f>
        <v>0</v>
      </c>
      <c r="S37" s="285"/>
      <c r="U37" s="340" t="s">
        <v>1297</v>
      </c>
      <c r="V37" s="336" t="e">
        <f>IF(minergiea,INDEX(#REF!,Kategorie1,1),IF(minergiep,IF(_neu1,INDEX(#REF!,Kategorie1,1),INDEX(#REF!,Kategorie1,1)),IF(_neu1,INDEX(#REF!,Kategorie1,1),INDEX(#REF!,Kategorie1,1))))</f>
        <v>#REF!</v>
      </c>
      <c r="W37" s="336" t="e">
        <f>IF(minergiea,INDEX(#REF!,Kategorie2,1),IF(minergiep,IF(_neu2,INDEX(#REF!,Kategorie2,1),INDEX(#REF!,Kategorie2,1)),IF(_neu2,INDEX(#REF!,Kategorie2,1),INDEX(#REF!,Kategorie2,1))))</f>
        <v>#REF!</v>
      </c>
      <c r="X37" s="336" t="e">
        <f>IF(minergiea,INDEX(#REF!,Kategorie3,1),IF(minergiep,IF(_neu3,INDEX(#REF!,Kategorie3,1),INDEX(#REF!,Kategorie3,1)),IF(_neu3,INDEX(#REF!,Kategorie3,1),INDEX(#REF!,Kategorie3,1))))</f>
        <v>#REF!</v>
      </c>
      <c r="Y37" s="336" t="e">
        <f>IF(minergiea,INDEX(#REF!,Kategorie4,1),IF(minergiep,IF(_neu4,INDEX(#REF!,Kategorie4,1),INDEX(#REF!,Kategorie4,1)),IF(_neu4,INDEX(#REF!,Kategorie4,1),INDEX(#REF!,Kategorie4,1))))</f>
        <v>#REF!</v>
      </c>
      <c r="Z37" s="339" t="e">
        <f>IF(EBF=0,0,(V37*_EBF1+W37*_EBF2+X37*_EBF3+Y37*_EBF4)/(_EBF1+_EBF2+_EBF3+_EBF4))</f>
        <v>#REF!</v>
      </c>
      <c r="AA37" s="5" t="s">
        <v>251</v>
      </c>
      <c r="AC37" s="422" t="s">
        <v>1632</v>
      </c>
      <c r="AD37" s="278" t="e">
        <f>#REF!</f>
        <v>#REF!</v>
      </c>
      <c r="AE37" s="276" t="e">
        <f>#REF!</f>
        <v>#REF!</v>
      </c>
      <c r="AF37" s="276" t="e">
        <f>#REF!</f>
        <v>#REF!</v>
      </c>
      <c r="AG37" s="276" t="e">
        <f>#REF!</f>
        <v>#REF!</v>
      </c>
      <c r="AH37" s="428" t="e">
        <f>#REF!</f>
        <v>#REF!</v>
      </c>
      <c r="AK37" s="260" t="str">
        <f>Uebersetzung!D88</f>
        <v>Vers.-Lokal</v>
      </c>
      <c r="AL37" s="553">
        <v>7</v>
      </c>
      <c r="BC37" s="816" t="str">
        <f t="shared" ref="BC37:BD46" si="9">IF(Kanton=29,BC84,"")</f>
        <v/>
      </c>
      <c r="BD37" s="817" t="str">
        <f t="shared" si="9"/>
        <v/>
      </c>
      <c r="BE37" s="817"/>
      <c r="BF37" s="817"/>
      <c r="BG37" s="817"/>
      <c r="BH37" s="817"/>
      <c r="BI37" s="813">
        <v>28</v>
      </c>
    </row>
    <row r="38" spans="1:61" ht="18" customHeight="1">
      <c r="A38" s="508" t="s">
        <v>2422</v>
      </c>
      <c r="B38" s="737" t="str">
        <f>Uebersetzung!D627</f>
        <v>Anzahl Zimmer mit Zuluft</v>
      </c>
      <c r="C38" s="654"/>
      <c r="D38" s="655"/>
      <c r="E38" s="655"/>
      <c r="F38" s="745"/>
      <c r="G38" s="970"/>
      <c r="H38" s="971"/>
      <c r="I38" s="971"/>
      <c r="J38" s="971"/>
      <c r="K38" s="972"/>
      <c r="N38" s="300" t="s">
        <v>1251</v>
      </c>
      <c r="O38" s="278">
        <f>IF(F77=$N$13,IF(_neu1,#REF!,#REF!),0)</f>
        <v>0</v>
      </c>
      <c r="P38" s="276">
        <f>IF(G77=$N$13,IF(_neu2,#REF!,#REF!),0)</f>
        <v>0</v>
      </c>
      <c r="Q38" s="276">
        <f>IF(H77=$N$13,IF(_neu3,#REF!,#REF!),0)</f>
        <v>0</v>
      </c>
      <c r="R38" s="291">
        <f>IF(I77=$N$13,IF(_neu4,#REF!,#REF!),0)</f>
        <v>0</v>
      </c>
      <c r="S38" s="285"/>
      <c r="U38" s="341" t="s">
        <v>1296</v>
      </c>
      <c r="V38" s="630" t="e">
        <f>IF(V36&gt;0,IF(Klima=1,0,INDEX(#REF!,#REF!,1)*(IF(_neu1,1,2))),0)</f>
        <v>#REF!</v>
      </c>
      <c r="W38" s="630" t="e">
        <f>IF(W36&gt;0,IF(Klima=1,0,INDEX(#REF!,#REF!,1)*(IF(_neu2,1,2))),0)</f>
        <v>#REF!</v>
      </c>
      <c r="X38" s="630" t="e">
        <f>IF(X36&gt;0,IF(Klima=1,0,INDEX(#REF!,#REF!,1)*(IF(_neu3,1,2))),0)</f>
        <v>#REF!</v>
      </c>
      <c r="Y38" s="630" t="e">
        <f>IF(Y36&gt;0,IF(Klima=1,0,INDEX(#REF!,#REF!,1)*(IF(_neu4,1,2))),0)</f>
        <v>#REF!</v>
      </c>
      <c r="Z38" s="300"/>
      <c r="AA38" s="5" t="s">
        <v>251</v>
      </c>
      <c r="AC38" s="427" t="s">
        <v>1632</v>
      </c>
      <c r="AD38" s="418" t="e">
        <f>AD20*#REF!</f>
        <v>#REF!</v>
      </c>
      <c r="AE38" s="408" t="e">
        <f>AE20*#REF!</f>
        <v>#REF!</v>
      </c>
      <c r="AF38" s="408" t="e">
        <f>AF20*#REF!</f>
        <v>#REF!</v>
      </c>
      <c r="AG38" s="408" t="e">
        <f>AG20*#REF!</f>
        <v>#REF!</v>
      </c>
      <c r="AH38" s="415" t="e">
        <f>SUM(AD38:AG38)</f>
        <v>#REF!</v>
      </c>
      <c r="AI38" s="5" t="s">
        <v>251</v>
      </c>
      <c r="AK38" s="260" t="str">
        <f>Uebersetzung!D89</f>
        <v>Spitäler</v>
      </c>
      <c r="AL38" s="553">
        <v>8</v>
      </c>
      <c r="AN38" s="87" t="s">
        <v>1982</v>
      </c>
      <c r="AO38" s="274">
        <f>IF(F30="",0,VLOOKUP(F30,AN39:AO46,2,0))</f>
        <v>0</v>
      </c>
      <c r="AU38" s="274">
        <f>IF(D37="",0,VLOOKUP(D37,AQ39:AU42,5,0))</f>
        <v>0</v>
      </c>
      <c r="BC38" s="816" t="str">
        <f t="shared" si="9"/>
        <v/>
      </c>
      <c r="BD38" s="817" t="str">
        <f t="shared" si="9"/>
        <v/>
      </c>
      <c r="BE38" s="817"/>
      <c r="BF38" s="817"/>
      <c r="BG38" s="817"/>
      <c r="BH38" s="817"/>
      <c r="BI38" s="813">
        <v>29</v>
      </c>
    </row>
    <row r="39" spans="1:61" ht="18" customHeight="1">
      <c r="A39" s="508"/>
      <c r="K39" s="86"/>
      <c r="N39" s="300" t="s">
        <v>1252</v>
      </c>
      <c r="O39" s="278">
        <f>IF(F78=$N$13,IF(_neu1,#REF!,#REF!),0)</f>
        <v>0</v>
      </c>
      <c r="P39" s="276">
        <f>IF(G78=$N$13,IF(_neu2,#REF!,#REF!),0)</f>
        <v>0</v>
      </c>
      <c r="Q39" s="276">
        <f>IF(H78=$N$13,IF(_neu3,#REF!,#REF!),0)</f>
        <v>0</v>
      </c>
      <c r="R39" s="291">
        <f>IF(I78=$N$13,IF(_neu4,#REF!,#REF!),0)</f>
        <v>0</v>
      </c>
      <c r="S39" s="285"/>
      <c r="U39" s="465" t="s">
        <v>1292</v>
      </c>
      <c r="V39" s="336" t="e">
        <f>V37+V38</f>
        <v>#REF!</v>
      </c>
      <c r="W39" s="336" t="e">
        <f>W37+W38</f>
        <v>#REF!</v>
      </c>
      <c r="X39" s="336" t="e">
        <f>X37+X38</f>
        <v>#REF!</v>
      </c>
      <c r="Y39" s="336" t="e">
        <f>Y37+Y38</f>
        <v>#REF!</v>
      </c>
      <c r="Z39" s="466" t="e">
        <f>IF(EBF=0,0,(V39*_EBF1+W39*_EBF2+X39*_EBF3+Y39*_EBF4)/(_EBF1+_EBF2+_EBF3+_EBF4))</f>
        <v>#REF!</v>
      </c>
      <c r="AA39" s="5" t="s">
        <v>251</v>
      </c>
      <c r="AC39" s="304" t="s">
        <v>1633</v>
      </c>
      <c r="AD39" s="287" t="e">
        <f>AD38+AD36</f>
        <v>#REF!</v>
      </c>
      <c r="AE39" s="281" t="e">
        <f>AE38+AE36</f>
        <v>#REF!</v>
      </c>
      <c r="AF39" s="281" t="e">
        <f>AF38+AF36</f>
        <v>#REF!</v>
      </c>
      <c r="AG39" s="288" t="e">
        <f>AG38+AG36</f>
        <v>#REF!</v>
      </c>
      <c r="AH39" s="409" t="e">
        <f t="shared" ref="AH39" si="10">SUM(AD39:AG39)</f>
        <v>#REF!</v>
      </c>
      <c r="AI39" s="5" t="s">
        <v>251</v>
      </c>
      <c r="AK39" s="260" t="str">
        <f>Uebersetzung!D90</f>
        <v>Industrie</v>
      </c>
      <c r="AL39" s="553">
        <v>9</v>
      </c>
      <c r="AN39" s="576" t="s">
        <v>1975</v>
      </c>
      <c r="AO39" s="577">
        <v>1</v>
      </c>
      <c r="AQ39" s="536" t="str">
        <f>Uebersetzung!D560</f>
        <v>mit Wärmerückgewinnung</v>
      </c>
      <c r="AR39" s="171"/>
      <c r="AS39" s="171"/>
      <c r="AT39" s="171"/>
      <c r="AU39" s="584">
        <v>1</v>
      </c>
      <c r="BC39" s="816" t="str">
        <f t="shared" si="9"/>
        <v/>
      </c>
      <c r="BD39" s="817" t="str">
        <f t="shared" si="9"/>
        <v/>
      </c>
      <c r="BE39" s="817"/>
      <c r="BF39" s="817"/>
      <c r="BG39" s="817"/>
      <c r="BH39" s="817"/>
      <c r="BI39" s="813">
        <v>30</v>
      </c>
    </row>
    <row r="40" spans="1:61" ht="18" customHeight="1">
      <c r="A40" s="508"/>
      <c r="B40" s="707" t="str">
        <f>Uebersetzung!D578</f>
        <v>Elektrizität</v>
      </c>
      <c r="C40" s="668"/>
      <c r="D40" s="668"/>
      <c r="E40" s="668"/>
      <c r="F40" s="669"/>
      <c r="G40" s="669"/>
      <c r="H40" s="669"/>
      <c r="I40" s="931" t="str">
        <f>IF(AP59,Uebersetzung!D582,Uebersetzung!D583)</f>
        <v>Nicht erfüllt</v>
      </c>
      <c r="J40" s="932"/>
      <c r="K40" s="933"/>
      <c r="N40" s="300" t="s">
        <v>1253</v>
      </c>
      <c r="O40" s="278">
        <f>IF(F79=$N$13,IF(_neu1,#REF!,#REF!),0)</f>
        <v>0</v>
      </c>
      <c r="P40" s="276">
        <f>IF(G79=$N$13,IF(_neu2,#REF!,#REF!),0)</f>
        <v>0</v>
      </c>
      <c r="Q40" s="276">
        <f>IF(H79=$N$13,IF(_neu3,#REF!,#REF!),0)</f>
        <v>0</v>
      </c>
      <c r="R40" s="291">
        <f>IF(I79=$N$13,IF(_neu4,#REF!,#REF!),0)</f>
        <v>0</v>
      </c>
      <c r="S40" s="285"/>
      <c r="U40" s="282" t="s">
        <v>1293</v>
      </c>
      <c r="V40" s="335" t="e">
        <f>IF(OR(O83,O85,O87),O92,0)</f>
        <v>#REF!</v>
      </c>
      <c r="W40" s="336" t="e">
        <f>IF(OR(P83,P85,P87),P92,0)</f>
        <v>#REF!</v>
      </c>
      <c r="X40" s="336" t="e">
        <f>IF(OR(Q83,Q85,Q87),Q92,0)</f>
        <v>#REF!</v>
      </c>
      <c r="Y40" s="461" t="e">
        <f>IF(OR(R83,R85,R87),R92,0)</f>
        <v>#REF!</v>
      </c>
      <c r="Z40" s="285"/>
      <c r="AA40" s="5" t="s">
        <v>251</v>
      </c>
      <c r="AC40" s="542" t="s">
        <v>1933</v>
      </c>
      <c r="AH40" s="275" t="e">
        <f>IF(AH22&gt;0,AH23/AH22*AH39,0)</f>
        <v>#REF!</v>
      </c>
      <c r="AK40" s="260" t="str">
        <f>Uebersetzung!D91</f>
        <v>Lager</v>
      </c>
      <c r="AL40" s="553">
        <v>10</v>
      </c>
      <c r="AN40" s="552" t="s">
        <v>1976</v>
      </c>
      <c r="AO40" s="553">
        <v>2</v>
      </c>
      <c r="AQ40" s="260" t="str">
        <f>Uebersetzung!D561</f>
        <v>ohne Wärmerückgewinnung</v>
      </c>
      <c r="AR40" s="26"/>
      <c r="AS40" s="26"/>
      <c r="AT40" s="26"/>
      <c r="AU40" s="158">
        <v>2</v>
      </c>
      <c r="BC40" s="816" t="str">
        <f t="shared" si="9"/>
        <v/>
      </c>
      <c r="BD40" s="817" t="str">
        <f t="shared" si="9"/>
        <v/>
      </c>
      <c r="BE40" s="817"/>
      <c r="BF40" s="817"/>
      <c r="BG40" s="817"/>
      <c r="BH40" s="817"/>
      <c r="BI40" s="813">
        <v>31</v>
      </c>
    </row>
    <row r="41" spans="1:61" ht="18" customHeight="1">
      <c r="A41" s="508" t="s">
        <v>2423</v>
      </c>
      <c r="B41" s="195" t="str">
        <f>Uebersetzung!D628</f>
        <v>Elektrizitätsnachweis Option</v>
      </c>
      <c r="C41" s="670"/>
      <c r="D41" s="671"/>
      <c r="E41" s="671"/>
      <c r="F41" s="671"/>
      <c r="G41" s="671"/>
      <c r="H41" s="671"/>
      <c r="I41" s="671"/>
      <c r="J41" s="671"/>
      <c r="K41" s="672"/>
      <c r="N41" s="300" t="s">
        <v>1254</v>
      </c>
      <c r="O41" s="278">
        <f>IF(F80=$N$13,IF(_neu1,#REF!,#REF!),0)</f>
        <v>0</v>
      </c>
      <c r="P41" s="276">
        <f>IF(G80=$N$13,IF(_neu2,#REF!,#REF!),0)</f>
        <v>0</v>
      </c>
      <c r="Q41" s="276">
        <f>IF(H80=$N$13,IF(_neu3,#REF!,#REF!),0)</f>
        <v>0</v>
      </c>
      <c r="R41" s="291">
        <f>IF(I80=$N$13,IF(_neu4,#REF!,#REF!),0)</f>
        <v>0</v>
      </c>
      <c r="S41" s="285"/>
      <c r="U41" s="260" t="s">
        <v>1294</v>
      </c>
      <c r="V41" s="338" t="e">
        <f>IF(OR(O83,O85,O87),O89,0)</f>
        <v>#REF!</v>
      </c>
      <c r="W41" s="334" t="e">
        <f>IF(OR(P83,P85,P87),P89,0)</f>
        <v>#REF!</v>
      </c>
      <c r="X41" s="334" t="e">
        <f>IF(OR(Q83,Q85,Q87),Q89,0)</f>
        <v>#REF!</v>
      </c>
      <c r="Y41" s="356" t="e">
        <f>IF(OR(R83,R85,R87),R89,0)</f>
        <v>#REF!</v>
      </c>
      <c r="Z41" s="285"/>
      <c r="AA41" s="5" t="s">
        <v>251</v>
      </c>
      <c r="AK41" s="260" t="str">
        <f>Uebersetzung!D92</f>
        <v>Sportbau</v>
      </c>
      <c r="AL41" s="553">
        <v>11</v>
      </c>
      <c r="AN41" s="552" t="s">
        <v>1977</v>
      </c>
      <c r="AO41" s="553">
        <v>3</v>
      </c>
      <c r="AQ41" s="260" t="str">
        <f>Uebersetzung!D621</f>
        <v>Abluft Wärmepumpe</v>
      </c>
      <c r="AR41" s="26"/>
      <c r="AS41" s="26"/>
      <c r="AT41" s="285"/>
      <c r="AU41" s="553">
        <v>3</v>
      </c>
      <c r="BC41" s="816" t="str">
        <f t="shared" si="9"/>
        <v/>
      </c>
      <c r="BD41" s="817" t="str">
        <f t="shared" si="9"/>
        <v/>
      </c>
      <c r="BE41" s="817"/>
      <c r="BF41" s="817"/>
      <c r="BG41" s="817"/>
      <c r="BH41" s="817"/>
      <c r="BI41" s="813">
        <v>32</v>
      </c>
    </row>
    <row r="42" spans="1:61" ht="27.95" customHeight="1">
      <c r="A42" s="508"/>
      <c r="B42" s="644"/>
      <c r="C42" s="708" t="str">
        <f>Uebersetzung!D579</f>
        <v>Anzahl Vorhanden</v>
      </c>
      <c r="D42" s="343" t="str">
        <f>Uebersetzung!D580</f>
        <v>Anforderung</v>
      </c>
      <c r="E42" s="647"/>
      <c r="F42" s="740" t="str">
        <f>IF(AND(C41=AK43,OR(I43&gt;C43,I44&gt;C44,I45&gt;C45,I46&gt;C46,I47&gt;C47)),Uebersetzung!D650," ")</f>
        <v xml:space="preserve"> </v>
      </c>
      <c r="G42" s="647"/>
      <c r="H42" s="647"/>
      <c r="I42" s="915" t="str">
        <f>Uebersetzung!D581</f>
        <v>Davon Anforderung erfüllt</v>
      </c>
      <c r="J42" s="915"/>
      <c r="K42" s="916"/>
      <c r="L42" s="28"/>
      <c r="N42" s="300" t="s">
        <v>1255</v>
      </c>
      <c r="O42" s="278">
        <f>IF(F81=$N$13,IF(_neu1,#REF!,#REF!),0)</f>
        <v>0</v>
      </c>
      <c r="P42" s="276">
        <f>IF(G81=$N$13,IF(_neu2,#REF!,#REF!),0)</f>
        <v>0</v>
      </c>
      <c r="Q42" s="276">
        <f>IF(H81=$N$13,IF(_neu3,#REF!,#REF!),0)</f>
        <v>0</v>
      </c>
      <c r="R42" s="291">
        <f>IF(I81=$N$13,IF(_neu4,#REF!,#REF!),0)</f>
        <v>0</v>
      </c>
      <c r="S42" s="285"/>
      <c r="U42" s="303" t="s">
        <v>1295</v>
      </c>
      <c r="V42" s="462" t="e">
        <f>V39+(-V40+V41)*2</f>
        <v>#REF!</v>
      </c>
      <c r="W42" s="463" t="e">
        <f>W39+(-W40+W41)*2</f>
        <v>#REF!</v>
      </c>
      <c r="X42" s="463" t="e">
        <f>X39+(-X40+X41)*2</f>
        <v>#REF!</v>
      </c>
      <c r="Y42" s="464" t="e">
        <f>Y39+(-Y40+Y41)*2</f>
        <v>#REF!</v>
      </c>
      <c r="Z42" s="306" t="e">
        <f>IF(Z36&gt;0,(V42*V36+W42*W36+X42*X36+Y42*Y36)/Z36,0)</f>
        <v>#REF!</v>
      </c>
      <c r="AA42" s="5" t="s">
        <v>251</v>
      </c>
      <c r="AK42" s="107" t="str">
        <f>Uebersetzung!D93</f>
        <v>Hallenbad</v>
      </c>
      <c r="AL42" s="555">
        <v>12</v>
      </c>
      <c r="AN42" s="552" t="s">
        <v>1978</v>
      </c>
      <c r="AO42" s="553">
        <v>4</v>
      </c>
      <c r="AQ42" s="107" t="str">
        <f>Uebersetzung!D622</f>
        <v>Auto. Fensterlüftung</v>
      </c>
      <c r="AR42" s="27"/>
      <c r="AS42" s="27"/>
      <c r="AT42" s="27"/>
      <c r="AU42" s="159">
        <v>4</v>
      </c>
      <c r="BC42" s="816" t="str">
        <f t="shared" si="9"/>
        <v/>
      </c>
      <c r="BD42" s="817" t="str">
        <f t="shared" si="9"/>
        <v/>
      </c>
      <c r="BE42" s="817"/>
      <c r="BF42" s="817"/>
      <c r="BG42" s="817"/>
      <c r="BH42" s="817"/>
      <c r="BI42" s="813">
        <v>33</v>
      </c>
    </row>
    <row r="43" spans="1:61" ht="18" customHeight="1">
      <c r="A43" s="508" t="s">
        <v>2094</v>
      </c>
      <c r="B43" s="711" t="str">
        <f>Uebersetzung!D562</f>
        <v>Geschirrspüler</v>
      </c>
      <c r="C43" s="746">
        <v>0</v>
      </c>
      <c r="D43" s="710" t="str">
        <f>Uebersetzung!D570</f>
        <v>Effizienzklasse A+++ / A++</v>
      </c>
      <c r="E43" s="709"/>
      <c r="F43" s="673"/>
      <c r="G43" s="739"/>
      <c r="H43" s="673"/>
      <c r="I43" s="842">
        <v>0</v>
      </c>
      <c r="J43" s="843"/>
      <c r="K43" s="844"/>
      <c r="L43" s="28"/>
      <c r="N43" s="301" t="s">
        <v>1382</v>
      </c>
      <c r="O43" s="279">
        <f>IF(F82=$N$13,IF(_neu1,#REF!,#REF!),0)</f>
        <v>0</v>
      </c>
      <c r="P43" s="292">
        <f>IF(G82=$N$13,IF(_neu2,#REF!,#REF!),0)</f>
        <v>0</v>
      </c>
      <c r="Q43" s="292">
        <f>IF(H82=$N$13,IF(_neu3,#REF!,#REF!),0)</f>
        <v>0</v>
      </c>
      <c r="R43" s="293">
        <f>IF(I82=$N$13,IF(_neu4,#REF!,#REF!),0)</f>
        <v>0</v>
      </c>
      <c r="S43" s="85"/>
      <c r="AK43" s="621" t="str">
        <f>Uebersetzung!D629</f>
        <v>Elektrogeräte</v>
      </c>
      <c r="AN43" s="552" t="s">
        <v>1979</v>
      </c>
      <c r="AO43" s="553">
        <v>5</v>
      </c>
      <c r="BC43" s="816" t="str">
        <f t="shared" si="9"/>
        <v/>
      </c>
      <c r="BD43" s="817" t="str">
        <f t="shared" si="9"/>
        <v/>
      </c>
      <c r="BE43" s="817"/>
      <c r="BF43" s="817"/>
      <c r="BG43" s="817"/>
      <c r="BH43" s="817"/>
      <c r="BI43" s="813">
        <v>34</v>
      </c>
    </row>
    <row r="44" spans="1:61" ht="18" customHeight="1">
      <c r="A44" s="508" t="s">
        <v>2095</v>
      </c>
      <c r="B44" s="711" t="str">
        <f>Uebersetzung!D563</f>
        <v>Kühl- und Gefrierschrank</v>
      </c>
      <c r="C44" s="746">
        <v>0</v>
      </c>
      <c r="D44" s="638" t="str">
        <f>Uebersetzung!D570</f>
        <v>Effizienzklasse A+++ / A++</v>
      </c>
      <c r="E44" s="674"/>
      <c r="F44" s="674"/>
      <c r="G44" s="739"/>
      <c r="H44" s="674"/>
      <c r="I44" s="842">
        <v>0</v>
      </c>
      <c r="J44" s="843"/>
      <c r="K44" s="844"/>
      <c r="L44" s="28"/>
      <c r="N44" s="300"/>
      <c r="O44" s="276">
        <f>IF(F83=$N$13,IF(_neu1,#REF!,#REF!),0)</f>
        <v>0</v>
      </c>
      <c r="AK44" s="301" t="str">
        <f>Uebersetzung!D584</f>
        <v>PV-Anlage</v>
      </c>
      <c r="AN44" s="552" t="s">
        <v>1980</v>
      </c>
      <c r="AO44" s="553">
        <v>6</v>
      </c>
      <c r="BC44" s="816" t="str">
        <f t="shared" si="9"/>
        <v/>
      </c>
      <c r="BD44" s="817" t="str">
        <f t="shared" si="9"/>
        <v/>
      </c>
      <c r="BE44" s="817"/>
      <c r="BF44" s="817"/>
      <c r="BG44" s="817"/>
      <c r="BH44" s="817"/>
      <c r="BI44" s="813">
        <v>35</v>
      </c>
    </row>
    <row r="45" spans="1:61" ht="20.100000000000001" customHeight="1">
      <c r="A45" s="508" t="s">
        <v>2096</v>
      </c>
      <c r="B45" s="711" t="str">
        <f>Uebersetzung!D564</f>
        <v>Waschmaschine</v>
      </c>
      <c r="C45" s="746">
        <v>0</v>
      </c>
      <c r="D45" s="638" t="str">
        <f>Uebersetzung!D570</f>
        <v>Effizienzklasse A+++ / A++</v>
      </c>
      <c r="E45" s="674"/>
      <c r="F45" s="674"/>
      <c r="G45" s="739"/>
      <c r="H45" s="674"/>
      <c r="I45" s="842">
        <v>0</v>
      </c>
      <c r="J45" s="843"/>
      <c r="K45" s="844"/>
      <c r="L45" s="28"/>
      <c r="N45" s="300" t="s">
        <v>333</v>
      </c>
      <c r="O45" s="294" t="e">
        <f>IF(wohnen1,MIN(SUM(O36:O44),IF(_neu1,#REF!,#REF!)),0)</f>
        <v>#REF!</v>
      </c>
      <c r="P45" s="294" t="e">
        <f>IF(wohnen2,MIN(SUM(P36:P44),IF(_neu2,#REF!,#REF!)),0)</f>
        <v>#REF!</v>
      </c>
      <c r="Q45" s="294" t="e">
        <f>IF(wohnen3,MIN(SUM(Q36:Q44),IF(_neu3,#REF!,#REF!)),0)</f>
        <v>#REF!</v>
      </c>
      <c r="R45" s="294" t="e">
        <f>IF(wohnen4,MIN(SUM(R36:R44),IF(_neu4,#REF!,#REF!)),0)</f>
        <v>#REF!</v>
      </c>
      <c r="S45" s="275" t="e">
        <f>IF(S32&gt;0,(O45*O32+P45*P32+Q45*Q32+R45*R32)/S32,0)</f>
        <v>#REF!</v>
      </c>
      <c r="U45" s="42" t="s">
        <v>1684</v>
      </c>
      <c r="V45" s="26"/>
      <c r="W45" s="26"/>
      <c r="X45" s="26"/>
      <c r="Y45" s="26"/>
      <c r="Z45" s="26"/>
      <c r="AA45" s="26"/>
      <c r="AN45" s="554" t="s">
        <v>1981</v>
      </c>
      <c r="AO45" s="555">
        <v>7</v>
      </c>
      <c r="BC45" s="816" t="str">
        <f t="shared" si="9"/>
        <v/>
      </c>
      <c r="BD45" s="817" t="str">
        <f t="shared" si="9"/>
        <v/>
      </c>
      <c r="BE45" s="817"/>
      <c r="BF45" s="817"/>
      <c r="BG45" s="817"/>
      <c r="BH45" s="817"/>
      <c r="BI45" s="813">
        <v>36</v>
      </c>
    </row>
    <row r="46" spans="1:61" ht="20.100000000000001" customHeight="1">
      <c r="A46" s="508" t="s">
        <v>615</v>
      </c>
      <c r="B46" s="711" t="str">
        <f>Uebersetzung!D565</f>
        <v>Wäschetrockner</v>
      </c>
      <c r="C46" s="746">
        <v>0</v>
      </c>
      <c r="D46" s="638" t="str">
        <f>Uebersetzung!D570</f>
        <v>Effizienzklasse A+++ / A++</v>
      </c>
      <c r="E46" s="674"/>
      <c r="F46" s="674"/>
      <c r="G46" s="739"/>
      <c r="H46" s="674"/>
      <c r="I46" s="842">
        <v>0</v>
      </c>
      <c r="J46" s="843"/>
      <c r="K46" s="844"/>
      <c r="L46" s="28"/>
      <c r="N46" s="300"/>
      <c r="U46" s="26"/>
      <c r="V46" s="26"/>
      <c r="W46" s="26"/>
      <c r="X46" s="26"/>
      <c r="Y46" s="26"/>
      <c r="Z46" s="26"/>
      <c r="AA46" s="26"/>
      <c r="AN46" s="5" t="s">
        <v>116</v>
      </c>
      <c r="AO46" s="5">
        <v>8</v>
      </c>
      <c r="AP46" s="5" t="e">
        <f>IF(AL17=1,IF(AND(AO38&lt;=2,D37=AQ39),TRUE,FALSE),IF(AL17&gt;1,IF(AO38&lt;=3,TRUE,FALSE),error))</f>
        <v>#NAME?</v>
      </c>
      <c r="BC46" s="816" t="str">
        <f t="shared" si="9"/>
        <v/>
      </c>
      <c r="BD46" s="817" t="str">
        <f t="shared" si="9"/>
        <v/>
      </c>
      <c r="BE46" s="817"/>
      <c r="BF46" s="817"/>
      <c r="BG46" s="817"/>
      <c r="BH46" s="817"/>
      <c r="BI46" s="813">
        <v>37</v>
      </c>
    </row>
    <row r="47" spans="1:61" ht="20.100000000000001" customHeight="1">
      <c r="A47" s="508" t="s">
        <v>2424</v>
      </c>
      <c r="B47" s="711" t="str">
        <f>Uebersetzung!D566</f>
        <v>Kochherd</v>
      </c>
      <c r="C47" s="746">
        <v>0</v>
      </c>
      <c r="D47" s="638" t="str">
        <f>Uebersetzung!D571</f>
        <v>Induktionsherd [heisst: Neue Küche]</v>
      </c>
      <c r="E47" s="674"/>
      <c r="F47" s="674"/>
      <c r="G47" s="739"/>
      <c r="H47" s="674"/>
      <c r="I47" s="842">
        <v>0</v>
      </c>
      <c r="J47" s="843"/>
      <c r="K47" s="844"/>
      <c r="L47" s="28"/>
      <c r="N47" s="307" t="s">
        <v>1263</v>
      </c>
      <c r="O47" s="298" t="e">
        <f>IF(_EBF1&gt;0,IF(wohnen1,O31*(#REF!*800+O34*20)*(1-O45)+O35+O22,0)/_EBF1*2,0)</f>
        <v>#REF!</v>
      </c>
      <c r="P47" s="298" t="e">
        <f>IF(_EBF2&gt;0,IF(wohnen2,P31*(G33*800+P34*20)*(1-P45)+P35+P22,0)/_EBF2*2,0)</f>
        <v>#REF!</v>
      </c>
      <c r="Q47" s="298" t="e">
        <f>IF(_EBF3&gt;0,IF(wohnen3,Q31*(H33*800+Q34*20)*(1-Q45)+Q35+Q22,0)/_EBF3*2,0)</f>
        <v>#REF!</v>
      </c>
      <c r="R47" s="298" t="e">
        <f>IF(_EBF4&gt;0,IF(wohnen4,R31*(I33*800+R34*20)*(1-R45)+R35+R22,0)/_EBF4*2,0)</f>
        <v>#REF!</v>
      </c>
      <c r="S47" s="308" t="e">
        <f>IF(S32=0,0,(O47*O32+P47*P32+Q47*Q32+R47*R32)/(_EBF1+_EBF2+_EBF3+_EBF4))+IF(S32&gt;0,H97*J97*2/(_EBF1+_EBF2+_EBF3+_EBF4))</f>
        <v>#REF!</v>
      </c>
      <c r="T47" s="5" t="s">
        <v>251</v>
      </c>
      <c r="U47" s="282" t="s">
        <v>1241</v>
      </c>
      <c r="V47" s="527">
        <v>1</v>
      </c>
      <c r="W47" s="283">
        <v>2</v>
      </c>
      <c r="X47" s="283">
        <v>3</v>
      </c>
      <c r="Y47" s="528">
        <v>4</v>
      </c>
      <c r="Z47" s="528" t="s">
        <v>1247</v>
      </c>
      <c r="AA47" s="26"/>
      <c r="BC47" s="816" t="str">
        <f t="shared" ref="BC47:BD50" si="11">IF(Kanton=29,BC94,"")</f>
        <v/>
      </c>
      <c r="BD47" s="817" t="str">
        <f t="shared" si="11"/>
        <v/>
      </c>
      <c r="BE47" s="817"/>
      <c r="BF47" s="817"/>
      <c r="BG47" s="817"/>
      <c r="BH47" s="817"/>
      <c r="BI47" s="813">
        <v>38</v>
      </c>
    </row>
    <row r="48" spans="1:61" ht="18.95" customHeight="1">
      <c r="A48" s="508"/>
      <c r="B48" s="662"/>
      <c r="C48" s="663"/>
      <c r="D48" s="663"/>
      <c r="E48" s="663"/>
      <c r="F48" s="663"/>
      <c r="G48" s="663"/>
      <c r="H48" s="663"/>
      <c r="I48" s="663"/>
      <c r="J48" s="675"/>
      <c r="K48" s="225"/>
      <c r="L48" s="28"/>
      <c r="N48" s="42" t="s">
        <v>1676</v>
      </c>
      <c r="O48" s="82"/>
      <c r="P48" s="82"/>
      <c r="Q48" s="82"/>
      <c r="R48" s="82"/>
      <c r="S48" s="82"/>
      <c r="T48" s="82"/>
      <c r="U48" s="280" t="s">
        <v>1685</v>
      </c>
      <c r="V48" s="336" t="e">
        <f>#REF!</f>
        <v>#REF!</v>
      </c>
      <c r="W48" s="336" t="e">
        <f>#REF!</f>
        <v>#REF!</v>
      </c>
      <c r="X48" s="336" t="e">
        <f>#REF!</f>
        <v>#REF!</v>
      </c>
      <c r="Y48" s="336" t="e">
        <f>#REF!</f>
        <v>#REF!</v>
      </c>
      <c r="Z48" s="476" t="e">
        <f>IF(EBF&gt;0,(V48*_EBF1+W48*_EBF2+X48*_EBF3+Y48*_EBF4)/(_EBF1+_EBF2+_EBF3+_EBF4),0)</f>
        <v>#REF!</v>
      </c>
      <c r="AA48" s="26"/>
      <c r="BC48" s="816" t="str">
        <f t="shared" si="11"/>
        <v/>
      </c>
      <c r="BD48" s="817" t="str">
        <f t="shared" si="11"/>
        <v/>
      </c>
      <c r="BE48" s="817"/>
      <c r="BF48" s="817"/>
      <c r="BG48" s="817"/>
      <c r="BH48" s="817"/>
      <c r="BI48" s="813">
        <v>39</v>
      </c>
    </row>
    <row r="49" spans="1:61" ht="18" customHeight="1">
      <c r="A49" s="508" t="s">
        <v>2097</v>
      </c>
      <c r="B49" s="840" t="str">
        <f>Uebersetzung!D567</f>
        <v>Wohnbeleuchtung [fest installiert]</v>
      </c>
      <c r="C49" s="841"/>
      <c r="D49" s="713" t="str">
        <f>Uebersetzung!D572</f>
        <v>LED Effizienzklasse A++ / A+ [Leuchten austauschen]</v>
      </c>
      <c r="E49" s="712"/>
      <c r="F49" s="712"/>
      <c r="G49" s="676"/>
      <c r="H49" s="676"/>
      <c r="I49" s="676"/>
      <c r="J49" s="677"/>
      <c r="K49" s="678" t="s">
        <v>72</v>
      </c>
      <c r="L49" s="5"/>
      <c r="N49" s="88" t="s">
        <v>1241</v>
      </c>
      <c r="O49" s="87">
        <v>1</v>
      </c>
      <c r="P49" s="94">
        <v>2</v>
      </c>
      <c r="Q49" s="94">
        <v>3</v>
      </c>
      <c r="R49" s="277">
        <v>4</v>
      </c>
      <c r="S49" s="277" t="s">
        <v>1247</v>
      </c>
      <c r="T49" s="82"/>
      <c r="U49" s="479" t="s">
        <v>1263</v>
      </c>
      <c r="V49" s="630" t="e">
        <f>IF(_EBF1&gt;0,IF(wohnen1,O31*(#REF!*800+O34*20),0)/_EBF1*2,0)</f>
        <v>#REF!</v>
      </c>
      <c r="W49" s="630" t="e">
        <f>IF(_EBF1&gt;0,IF(wohnen1,P31*(G33*800+P34*20),0)/_EBF1*2,0)</f>
        <v>#REF!</v>
      </c>
      <c r="X49" s="630" t="e">
        <f>IF(_EBF1&gt;0,IF(wohnen1,Q31*(H33*800+Q34*20),0)/_EBF1*2,0)</f>
        <v>#REF!</v>
      </c>
      <c r="Y49" s="630" t="e">
        <f>IF(_EBF1&gt;0,IF(wohnen1,R31*(I33*800+R34*20),0)/_EBF1*2,0)</f>
        <v>#REF!</v>
      </c>
      <c r="Z49" s="477" t="e">
        <f>IF(S34&gt;0,(V49*O34+W49*P34+X49*Q34+Y49*R34)/(S34),0)</f>
        <v>#REF!</v>
      </c>
      <c r="AK49" s="589"/>
      <c r="AL49" s="590"/>
      <c r="AM49" s="729" t="str">
        <f>Uebersetzung!D576</f>
        <v>Neubauten</v>
      </c>
      <c r="AN49" s="590" t="str">
        <f>Uebersetzung!D577</f>
        <v>Erneuerungen</v>
      </c>
      <c r="AO49" s="171" t="s">
        <v>2006</v>
      </c>
      <c r="AP49" s="381" t="s">
        <v>2056</v>
      </c>
      <c r="BC49" s="816" t="str">
        <f t="shared" si="11"/>
        <v/>
      </c>
      <c r="BD49" s="817" t="str">
        <f t="shared" si="11"/>
        <v/>
      </c>
      <c r="BE49" s="817"/>
      <c r="BF49" s="817"/>
      <c r="BG49" s="817"/>
      <c r="BH49" s="817"/>
      <c r="BI49" s="813">
        <v>40</v>
      </c>
    </row>
    <row r="50" spans="1:61" ht="27.95" customHeight="1">
      <c r="A50" s="508" t="s">
        <v>2098</v>
      </c>
      <c r="B50" s="840" t="str">
        <f>Uebersetzung!D568</f>
        <v>Allgemeine Beleuchtung [wie Korridor, Keller ausserhalb WEH]</v>
      </c>
      <c r="C50" s="841"/>
      <c r="D50" s="638" t="str">
        <f>Uebersetzung!D573</f>
        <v>LED Effizienzklasse A++ / A+ und Regulierung [z.B. PIR, Minuterie]</v>
      </c>
      <c r="E50" s="674"/>
      <c r="F50" s="674"/>
      <c r="G50" s="674"/>
      <c r="H50" s="674"/>
      <c r="I50" s="674"/>
      <c r="J50" s="679"/>
      <c r="K50" s="680" t="s">
        <v>72</v>
      </c>
      <c r="L50" s="5"/>
      <c r="M50" s="74"/>
      <c r="N50" s="442" t="s">
        <v>1652</v>
      </c>
      <c r="O50" s="82" t="e">
        <f>IF(Kategorie1&gt;3,TRUE,FALSE)</f>
        <v>#REF!</v>
      </c>
      <c r="P50" s="82" t="e">
        <f>IF(Kategorie2&gt;3,TRUE,FALSE)</f>
        <v>#REF!</v>
      </c>
      <c r="Q50" s="82" t="e">
        <f>IF(Kategorie3&gt;3,TRUE,FALSE)</f>
        <v>#REF!</v>
      </c>
      <c r="R50" s="82" t="e">
        <f>IF(Kategorie4&gt;3,TRUE,FALSE)</f>
        <v>#REF!</v>
      </c>
      <c r="S50" s="442" t="e">
        <f>OR(O50,P50,Q50,R50)</f>
        <v>#REF!</v>
      </c>
      <c r="T50" s="82"/>
      <c r="U50" s="479" t="s">
        <v>1276</v>
      </c>
      <c r="V50" s="334" t="e">
        <f>INDEX(#REF!,Kategorie1,1)</f>
        <v>#REF!</v>
      </c>
      <c r="W50" s="334" t="e">
        <f>INDEX(#REF!,Kategorie2,1)</f>
        <v>#REF!</v>
      </c>
      <c r="X50" s="334" t="e">
        <f>INDEX(#REF!,Kategorie3,1)</f>
        <v>#REF!</v>
      </c>
      <c r="Y50" s="334" t="e">
        <f>INDEX(#REF!,Kategorie4,1)</f>
        <v>#REF!</v>
      </c>
      <c r="Z50" s="477" t="e">
        <f>IF(EBF&gt;0,(V50*_EBF1+W50*_EBF2+X50*_EBF3+Y50*_EBF4)/(_EBF1+_EBF2+_EBF3+_EBF4),0)</f>
        <v>#REF!</v>
      </c>
      <c r="AJ50" s="521"/>
      <c r="AK50" s="591" t="str">
        <f>Uebersetzung!D562</f>
        <v>Geschirrspüler</v>
      </c>
      <c r="AL50" s="592" t="str">
        <f>Uebersetzung!D570</f>
        <v>Effizienzklasse A+++ / A++</v>
      </c>
      <c r="AM50" s="730">
        <v>0.01</v>
      </c>
      <c r="AN50" s="593">
        <v>0.04</v>
      </c>
      <c r="AO50" s="622">
        <f>IF(C43&gt;0,AN50,0)</f>
        <v>0</v>
      </c>
      <c r="AP50" s="623">
        <f t="shared" ref="AP50:AP54" si="12">IF(C43&lt;&gt;0,IF(AO50*I43/C43&lt;AO50,AO50*I43/C43,AO50),0)</f>
        <v>0</v>
      </c>
      <c r="BC50" s="818" t="str">
        <f t="shared" si="11"/>
        <v/>
      </c>
      <c r="BD50" s="817" t="str">
        <f>IF(Kanton=29,BD97,"")</f>
        <v/>
      </c>
      <c r="BE50" s="819"/>
      <c r="BF50" s="819"/>
      <c r="BG50" s="819"/>
      <c r="BH50" s="819"/>
      <c r="BI50" s="813">
        <v>41</v>
      </c>
    </row>
    <row r="51" spans="1:61" ht="27.95" customHeight="1">
      <c r="A51" s="508" t="s">
        <v>2425</v>
      </c>
      <c r="B51" s="840" t="str">
        <f>Uebersetzung!D569</f>
        <v>Allgemeinstrom und Geräte [v.a. Umwälzpumpen etc. ausserhalb WEH]</v>
      </c>
      <c r="C51" s="841"/>
      <c r="D51" s="638" t="str">
        <f>Uebersetzung!D574</f>
        <v>Effiziente Geräte für Gebäudebetrieb und Wohnnutzung</v>
      </c>
      <c r="E51" s="674"/>
      <c r="F51" s="674"/>
      <c r="G51" s="674"/>
      <c r="H51" s="674"/>
      <c r="I51" s="674"/>
      <c r="J51" s="679"/>
      <c r="K51" s="680" t="s">
        <v>72</v>
      </c>
      <c r="L51" s="5"/>
      <c r="M51" s="74"/>
      <c r="N51" s="300" t="s">
        <v>1674</v>
      </c>
      <c r="O51" s="630" t="e">
        <f>IF(Kategorie1&gt;3,#REF!,0)</f>
        <v>#REF!</v>
      </c>
      <c r="P51" s="630" t="e">
        <f>IF(Kategorie2&gt;3,#REF!,0)</f>
        <v>#REF!</v>
      </c>
      <c r="Q51" s="630" t="e">
        <f>IF(Kategorie3&gt;3,#REF!,0)</f>
        <v>#REF!</v>
      </c>
      <c r="R51" s="630" t="e">
        <f>IF(Kategorie4&gt;3,#REF!,0)</f>
        <v>#REF!</v>
      </c>
      <c r="S51" s="158" t="e">
        <f>SUM(O51:R51)</f>
        <v>#REF!</v>
      </c>
      <c r="T51" s="5" t="s">
        <v>160</v>
      </c>
      <c r="U51" s="480" t="s">
        <v>1279</v>
      </c>
      <c r="V51" s="334" t="e">
        <f>O61</f>
        <v>#REF!</v>
      </c>
      <c r="W51" s="334" t="e">
        <f>P61</f>
        <v>#REF!</v>
      </c>
      <c r="X51" s="334" t="e">
        <f>Q61</f>
        <v>#REF!</v>
      </c>
      <c r="Y51" s="334" t="e">
        <f>R61</f>
        <v>#REF!</v>
      </c>
      <c r="Z51" s="482" t="e">
        <f>S61</f>
        <v>#REF!</v>
      </c>
      <c r="AJ51" s="521"/>
      <c r="AK51" s="591" t="str">
        <f>Uebersetzung!D563</f>
        <v>Kühl- und Gefrierschrank</v>
      </c>
      <c r="AL51" s="592" t="str">
        <f>Uebersetzung!D570</f>
        <v>Effizienzklasse A+++ / A++</v>
      </c>
      <c r="AM51" s="730">
        <v>0.03</v>
      </c>
      <c r="AN51" s="593">
        <v>0.05</v>
      </c>
      <c r="AO51" s="622">
        <f>IF(C44&gt;0,AN51,0)</f>
        <v>0</v>
      </c>
      <c r="AP51" s="623">
        <f t="shared" si="12"/>
        <v>0</v>
      </c>
      <c r="BC51" s="17"/>
      <c r="BD51" s="17"/>
      <c r="BE51" s="17"/>
      <c r="BF51" s="17"/>
      <c r="BG51" s="17"/>
      <c r="BH51" s="17"/>
      <c r="BI51" s="17" t="e">
        <f>Klima</f>
        <v>#REF!</v>
      </c>
    </row>
    <row r="52" spans="1:61" ht="20.100000000000001" customHeight="1">
      <c r="A52" s="508"/>
      <c r="B52" s="681"/>
      <c r="C52" s="652"/>
      <c r="D52" s="652"/>
      <c r="E52" s="652"/>
      <c r="F52" s="652"/>
      <c r="G52" s="652"/>
      <c r="H52" s="652"/>
      <c r="I52" s="652"/>
      <c r="J52" s="652"/>
      <c r="K52" s="653"/>
      <c r="L52" s="5"/>
      <c r="M52" s="74"/>
      <c r="N52" s="446" t="s">
        <v>101</v>
      </c>
      <c r="O52" s="101" t="e">
        <f>IF(O50,Uebersetzung!D25,Uebersetzung!D26)</f>
        <v>#REF!</v>
      </c>
      <c r="P52" s="102" t="e">
        <f>IF(P50,Uebersetzung!D25,Uebersetzung!D26)</f>
        <v>#REF!</v>
      </c>
      <c r="Q52" s="102" t="e">
        <f>IF(Q50,Uebersetzung!D25,Uebersetzung!D26)</f>
        <v>#REF!</v>
      </c>
      <c r="R52" s="102" t="e">
        <f>IF(R50,Uebersetzung!D25,Uebersetzung!D26)</f>
        <v>#REF!</v>
      </c>
      <c r="S52" s="442"/>
      <c r="T52" s="82"/>
      <c r="U52" s="481" t="s">
        <v>1281</v>
      </c>
      <c r="V52" s="314" t="e">
        <f>O70</f>
        <v>#REF!</v>
      </c>
      <c r="W52" s="314" t="e">
        <f>P70</f>
        <v>#REF!</v>
      </c>
      <c r="X52" s="314" t="e">
        <f>Q70</f>
        <v>#REF!</v>
      </c>
      <c r="Y52" s="314" t="e">
        <f>R70</f>
        <v>#REF!</v>
      </c>
      <c r="Z52" s="360" t="e">
        <f>S70</f>
        <v>#REF!</v>
      </c>
      <c r="AK52" s="591" t="str">
        <f>Uebersetzung!D564</f>
        <v>Waschmaschine</v>
      </c>
      <c r="AL52" s="592" t="str">
        <f>Uebersetzung!D570</f>
        <v>Effizienzklasse A+++ / A++</v>
      </c>
      <c r="AM52" s="730">
        <v>0.01</v>
      </c>
      <c r="AN52" s="593">
        <v>0.03</v>
      </c>
      <c r="AO52" s="622">
        <f>IF(C45&gt;0,AN52,0)</f>
        <v>0</v>
      </c>
      <c r="AP52" s="623">
        <f>IF(C45&lt;&gt;0,IF(AO52*I45/C45&lt;AO52,AO52*I45/C45,AO52),0)</f>
        <v>0</v>
      </c>
      <c r="AR52" s="5" t="s">
        <v>2193</v>
      </c>
      <c r="BC52" s="800" t="s">
        <v>2172</v>
      </c>
      <c r="BD52" s="17"/>
      <c r="BE52" s="17"/>
      <c r="BF52" s="17"/>
      <c r="BG52" s="17"/>
      <c r="BH52" s="17"/>
      <c r="BI52" s="17"/>
    </row>
    <row r="53" spans="1:61" ht="20.100000000000001" customHeight="1">
      <c r="A53" s="508" t="s">
        <v>2426</v>
      </c>
      <c r="B53" s="714" t="str">
        <f>Uebersetzung!D584</f>
        <v>PV-Anlage</v>
      </c>
      <c r="C53" s="747"/>
      <c r="D53" s="743" t="s">
        <v>2050</v>
      </c>
      <c r="E53" s="847" t="str">
        <f>Uebersetzung!D656</f>
        <v>Anforderunng:</v>
      </c>
      <c r="F53" s="848"/>
      <c r="G53" s="743" t="str">
        <f>IF(C41=AK44,ROUND(AO3*5/1000,1)," ")</f>
        <v xml:space="preserve"> </v>
      </c>
      <c r="H53" s="344" t="s">
        <v>2050</v>
      </c>
      <c r="I53" s="682"/>
      <c r="J53" s="682"/>
      <c r="K53" s="683"/>
      <c r="L53" s="5"/>
      <c r="M53" s="74"/>
      <c r="N53" s="447"/>
      <c r="O53" s="449" t="str">
        <f>Uebersetzung!D26</f>
        <v>Nein</v>
      </c>
      <c r="P53" s="367" t="str">
        <f>Uebersetzung!D26</f>
        <v>Nein</v>
      </c>
      <c r="Q53" s="367" t="str">
        <f>Uebersetzung!D26</f>
        <v>Nein</v>
      </c>
      <c r="R53" s="367" t="str">
        <f>Uebersetzung!D26</f>
        <v>Nein</v>
      </c>
      <c r="S53" s="445"/>
      <c r="T53" s="82"/>
      <c r="AK53" s="591" t="str">
        <f>Uebersetzung!D565</f>
        <v>Wäschetrockner</v>
      </c>
      <c r="AL53" s="592" t="str">
        <f>Uebersetzung!D570</f>
        <v>Effizienzklasse A+++ / A++</v>
      </c>
      <c r="AM53" s="730">
        <v>0.03</v>
      </c>
      <c r="AN53" s="593">
        <v>7.0000000000000007E-2</v>
      </c>
      <c r="AO53" s="622">
        <f>IF(C46&gt;0,AN53,0)</f>
        <v>0</v>
      </c>
      <c r="AP53" s="623">
        <f t="shared" si="12"/>
        <v>0</v>
      </c>
      <c r="AR53" s="5" t="e">
        <f>OR(OR(AR18:AR22),AP46)</f>
        <v>#NAME?</v>
      </c>
      <c r="BC53" s="17"/>
      <c r="BD53" s="29"/>
      <c r="BE53" s="17"/>
      <c r="BF53" s="17"/>
      <c r="BG53" s="17"/>
      <c r="BH53" s="17"/>
      <c r="BI53" s="17"/>
    </row>
    <row r="54" spans="1:61" ht="20.100000000000001" customHeight="1">
      <c r="B54" s="646"/>
      <c r="C54" s="646"/>
      <c r="D54" s="646"/>
      <c r="E54" s="646"/>
      <c r="F54" s="646"/>
      <c r="G54" s="646"/>
      <c r="H54" s="646"/>
      <c r="I54" s="646"/>
      <c r="J54" s="646"/>
      <c r="K54" s="646"/>
      <c r="L54" s="5"/>
      <c r="M54" s="74"/>
      <c r="AK54" s="591" t="str">
        <f>Uebersetzung!D566</f>
        <v>Kochherd</v>
      </c>
      <c r="AL54" s="592" t="str">
        <f>Uebersetzung!D571</f>
        <v>Induktionsherd [heisst: Neue Küche]</v>
      </c>
      <c r="AM54" s="730">
        <v>0.01</v>
      </c>
      <c r="AN54" s="593">
        <v>0.02</v>
      </c>
      <c r="AO54" s="622">
        <f>IF(C47&gt;0,AN54,0)</f>
        <v>0</v>
      </c>
      <c r="AP54" s="623">
        <f t="shared" si="12"/>
        <v>0</v>
      </c>
      <c r="BC54" s="801" t="s">
        <v>344</v>
      </c>
      <c r="BD54" s="802"/>
      <c r="BE54" s="803" t="e">
        <f>IF(Klima&gt;0,INDEX(BD57:BD160,Klima,1),)</f>
        <v>#REF!</v>
      </c>
      <c r="BF54" s="804" t="e">
        <f>IF(Klima&gt;0,INDEX(BH57:BH160,Klima,1),)</f>
        <v>#REF!</v>
      </c>
      <c r="BG54" s="805" t="s">
        <v>134</v>
      </c>
      <c r="BH54" s="820" t="e">
        <f>IF(Klima&gt;0,INDEX(BI57:BI160,Klima,1),)</f>
        <v>#REF!</v>
      </c>
      <c r="BI54" s="17"/>
    </row>
    <row r="55" spans="1:61" ht="27.95" customHeight="1">
      <c r="B55" s="855" t="str">
        <f>IF(AND('Hülle &amp; Elektrizität'!AT18,'Hülle &amp; Elektrizität'!AU18,'Hülle &amp; Elektrizität'!AV18,'Hülle &amp; Elektrizität'!AW18,'Hülle &amp; Elektrizität'!AP59,'Sommer &amp; Unterlagen'!Q29),Uebersetzung!D617,Uebersetzung!D618)</f>
        <v>Anforderungen MINERGIE nicht erfüllt</v>
      </c>
      <c r="C55" s="856"/>
      <c r="D55" s="856"/>
      <c r="E55" s="856"/>
      <c r="F55" s="856"/>
      <c r="G55" s="856"/>
      <c r="H55" s="856"/>
      <c r="I55" s="856"/>
      <c r="J55" s="856"/>
      <c r="K55" s="857"/>
      <c r="L55" s="5"/>
      <c r="M55" s="74"/>
      <c r="N55" s="467" t="s">
        <v>1650</v>
      </c>
      <c r="O55" s="467" t="b">
        <f>IF(F31=Uebersetzung!$D$25,TRUE,FALSE)</f>
        <v>0</v>
      </c>
      <c r="P55" s="468" t="b">
        <f>IF(G19=Uebersetzung!$D$25,TRUE,FALSE)</f>
        <v>0</v>
      </c>
      <c r="Q55" s="468" t="b">
        <f>IF(H19=Uebersetzung!$D$25,TRUE,FALSE)</f>
        <v>0</v>
      </c>
      <c r="R55" s="468" t="b">
        <f>IF(I19=Uebersetzung!$D$25,TRUE,FALSE)</f>
        <v>0</v>
      </c>
      <c r="S55" s="469"/>
      <c r="T55" s="364" t="s">
        <v>1650</v>
      </c>
      <c r="AK55" s="591" t="str">
        <f>Uebersetzung!D567</f>
        <v>Wohnbeleuchtung [fest installiert]</v>
      </c>
      <c r="AL55" s="592" t="str">
        <f>Uebersetzung!D572</f>
        <v>LED Effizienzklasse A++ / A+ [Leuchten austauschen]</v>
      </c>
      <c r="AM55" s="730">
        <v>0.02</v>
      </c>
      <c r="AN55" s="593">
        <v>0.04</v>
      </c>
      <c r="AO55" s="622">
        <f>IF(K49=AK$13,AN55,0)</f>
        <v>0</v>
      </c>
      <c r="AP55" s="623">
        <f>AO55</f>
        <v>0</v>
      </c>
      <c r="BC55" s="807" t="s">
        <v>2163</v>
      </c>
      <c r="BD55" s="808" t="s">
        <v>2164</v>
      </c>
      <c r="BE55" s="808" t="s">
        <v>2165</v>
      </c>
      <c r="BF55" s="809" t="s">
        <v>2166</v>
      </c>
      <c r="BG55" s="808" t="s">
        <v>2167</v>
      </c>
      <c r="BH55" s="810" t="s">
        <v>2168</v>
      </c>
      <c r="BI55" s="17"/>
    </row>
    <row r="56" spans="1:61" ht="13.9" customHeight="1">
      <c r="L56" s="5"/>
      <c r="M56" s="24"/>
      <c r="N56" s="370" t="s">
        <v>1673</v>
      </c>
      <c r="O56" s="101">
        <f>IF(Mieter1,INDEX(#REF!,Kategorie1,1)/2*1.2,0)</f>
        <v>0</v>
      </c>
      <c r="P56" s="102">
        <f>IF(Mieter2,INDEX(#REF!,Kategorie2,1)/2*1.2,0)</f>
        <v>0</v>
      </c>
      <c r="Q56" s="102">
        <f>IF(Mieter3,INDEX(#REF!,Kategorie3,1)/2*1.2,0)</f>
        <v>0</v>
      </c>
      <c r="R56" s="438">
        <f>IF(Mieter4,INDEX(#REF!,Kategorie4,1)/2*1.2,0)</f>
        <v>0</v>
      </c>
      <c r="S56" s="442"/>
      <c r="T56" s="82" t="s">
        <v>251</v>
      </c>
      <c r="AK56" s="591" t="str">
        <f>Uebersetzung!D568</f>
        <v>Allgemeine Beleuchtung [wie Korridor, Keller ausserhalb WEH]</v>
      </c>
      <c r="AL56" s="592" t="str">
        <f>Uebersetzung!D573</f>
        <v>LED Effizienzklasse A++ / A+ und Regulierung [z.B. PIR, Minuterie]</v>
      </c>
      <c r="AM56" s="730">
        <v>0.01</v>
      </c>
      <c r="AN56" s="593">
        <v>0.02</v>
      </c>
      <c r="AO56" s="622">
        <f>IF(K50=AK$13,AN56,0)</f>
        <v>0</v>
      </c>
      <c r="AP56" s="623">
        <f t="shared" ref="AP56:AP57" si="13">AO56</f>
        <v>0</v>
      </c>
      <c r="BC56" s="811"/>
      <c r="BD56" s="808"/>
      <c r="BE56" s="808" t="s">
        <v>2169</v>
      </c>
      <c r="BF56" s="809" t="s">
        <v>2170</v>
      </c>
      <c r="BG56" s="808" t="s">
        <v>134</v>
      </c>
      <c r="BH56" s="812" t="s">
        <v>2171</v>
      </c>
      <c r="BI56" s="17"/>
    </row>
    <row r="57" spans="1:61" ht="18.95" customHeight="1">
      <c r="L57" s="5"/>
      <c r="M57" s="78"/>
      <c r="N57" s="443" t="s">
        <v>238</v>
      </c>
      <c r="O57" s="449">
        <f>IF(Mieter1,_EBF1,0)</f>
        <v>0</v>
      </c>
      <c r="P57" s="367">
        <f>IF(Mieter2,_EBF2,0)</f>
        <v>0</v>
      </c>
      <c r="Q57" s="367">
        <f>IF(Mieter3,_EBF3,0)</f>
        <v>0</v>
      </c>
      <c r="R57" s="450">
        <f>IF(Mieter4,_EBF4,0)</f>
        <v>0</v>
      </c>
      <c r="S57" s="443"/>
      <c r="T57" s="82" t="s">
        <v>160</v>
      </c>
      <c r="AK57" s="591" t="str">
        <f>Uebersetzung!D569</f>
        <v>Allgemeinstrom und Geräte [v.a. Umwälzpumpen etc. ausserhalb WEH]</v>
      </c>
      <c r="AL57" s="592" t="str">
        <f>Uebersetzung!D574</f>
        <v>Effiziente Geräte für Gebäudebetrieb und Wohnnutzung</v>
      </c>
      <c r="AM57" s="730">
        <v>0.04</v>
      </c>
      <c r="AN57" s="593">
        <v>0.08</v>
      </c>
      <c r="AO57" s="622">
        <f>IF(K51=AK$13,AN57,0)</f>
        <v>0</v>
      </c>
      <c r="AP57" s="623">
        <f t="shared" si="13"/>
        <v>0</v>
      </c>
      <c r="BC57" s="814" t="s">
        <v>109</v>
      </c>
      <c r="BD57" s="815" t="s">
        <v>109</v>
      </c>
      <c r="BE57" s="815" t="s">
        <v>109</v>
      </c>
      <c r="BF57" s="815" t="s">
        <v>109</v>
      </c>
      <c r="BG57" s="548"/>
      <c r="BH57" s="789"/>
      <c r="BI57" s="813">
        <v>1</v>
      </c>
    </row>
    <row r="58" spans="1:61" ht="24" hidden="1" customHeight="1">
      <c r="L58" s="5"/>
      <c r="M58" s="24"/>
      <c r="N58" s="303" t="s">
        <v>1665</v>
      </c>
      <c r="O58" s="457">
        <f>IF(Mieter1,O56*2,0)</f>
        <v>0</v>
      </c>
      <c r="P58" s="298">
        <f>IF(Mieter2,P56*2,0)</f>
        <v>0</v>
      </c>
      <c r="Q58" s="298">
        <f>IF(Mieter3,Q56*2,0)</f>
        <v>0</v>
      </c>
      <c r="R58" s="384">
        <f>IF(Mieter4,R56*2,0)</f>
        <v>0</v>
      </c>
      <c r="S58" s="306" t="e">
        <f>IF(EBF&gt;0,(O56*O57+P56*P57+Q56*Q57+R56*R57)*2/(_EBF1+_EBF2+_EBF3+_EBF4),0)</f>
        <v>#REF!</v>
      </c>
      <c r="T58" s="5" t="s">
        <v>251</v>
      </c>
      <c r="U58" s="42" t="s">
        <v>1355</v>
      </c>
      <c r="V58" s="17"/>
      <c r="W58" s="17"/>
      <c r="X58" s="17"/>
      <c r="Y58" s="17"/>
      <c r="Z58" s="17"/>
      <c r="AC58" s="42" t="s">
        <v>1915</v>
      </c>
      <c r="AK58" s="594"/>
      <c r="AL58" s="595" t="str">
        <f>Uebersetzung!D575</f>
        <v>Max</v>
      </c>
      <c r="AM58" s="731"/>
      <c r="AN58" s="624">
        <f>SUM(AN50:AN57)</f>
        <v>0.35000000000000003</v>
      </c>
      <c r="AO58" s="625">
        <f>SUM(AO50:AO57)</f>
        <v>0</v>
      </c>
      <c r="AP58" s="626">
        <f>SUM(AP50:AP57)</f>
        <v>0</v>
      </c>
      <c r="BC58" s="799" t="s">
        <v>2128</v>
      </c>
      <c r="BD58" s="791" t="s">
        <v>2173</v>
      </c>
      <c r="BE58" s="791">
        <v>8</v>
      </c>
      <c r="BF58" s="791">
        <v>0</v>
      </c>
      <c r="BG58" s="791">
        <v>1320</v>
      </c>
      <c r="BH58" s="821">
        <v>6.1</v>
      </c>
      <c r="BI58" s="813">
        <v>2</v>
      </c>
    </row>
    <row r="59" spans="1:61" ht="20.100000000000001" hidden="1" customHeight="1">
      <c r="M59" s="24"/>
      <c r="N59" s="42" t="s">
        <v>1278</v>
      </c>
      <c r="U59" s="282" t="s">
        <v>1241</v>
      </c>
      <c r="V59" s="289">
        <v>1</v>
      </c>
      <c r="W59" s="283">
        <v>2</v>
      </c>
      <c r="X59" s="283">
        <v>3</v>
      </c>
      <c r="Y59" s="54">
        <v>4</v>
      </c>
      <c r="Z59" s="359" t="s">
        <v>1262</v>
      </c>
      <c r="AC59" s="88"/>
      <c r="AD59" s="94" t="s">
        <v>1917</v>
      </c>
      <c r="AE59" s="94" t="s">
        <v>1918</v>
      </c>
      <c r="AF59" s="94" t="s">
        <v>1919</v>
      </c>
      <c r="AG59" s="94" t="s">
        <v>1920</v>
      </c>
      <c r="AH59" s="94" t="s">
        <v>1921</v>
      </c>
      <c r="AI59" s="277" t="s">
        <v>235</v>
      </c>
      <c r="AN59" s="407"/>
      <c r="AP59" s="5" t="b">
        <f>IF(AND(C41=AK43,$AP$58&gt;=$AN$58*0.4),TRUE,IF(AND(C41=AK44,$C$53&gt;=ROUND(0.005*$AO$3,1)),TRUE,FALSE))</f>
        <v>0</v>
      </c>
      <c r="BC59" s="799" t="s">
        <v>2129</v>
      </c>
      <c r="BD59" s="791" t="s">
        <v>2174</v>
      </c>
      <c r="BE59" s="791">
        <v>8</v>
      </c>
      <c r="BF59" s="791">
        <v>0</v>
      </c>
      <c r="BG59" s="791">
        <v>381</v>
      </c>
      <c r="BH59" s="821">
        <v>10.1</v>
      </c>
      <c r="BI59" s="813">
        <v>3</v>
      </c>
    </row>
    <row r="60" spans="1:61" ht="24" hidden="1" customHeight="1">
      <c r="M60" s="5"/>
      <c r="N60" s="315" t="s">
        <v>1278</v>
      </c>
      <c r="O60" s="316"/>
      <c r="P60" s="316"/>
      <c r="Q60" s="317"/>
      <c r="R60" s="317"/>
      <c r="S60" s="318"/>
      <c r="U60" s="370" t="s">
        <v>1345</v>
      </c>
      <c r="V60" s="98" t="e">
        <f>IF(_neu1,#REF!,0)</f>
        <v>#REF!</v>
      </c>
      <c r="W60" s="98">
        <f>IF(_neu2,#REF!,0)</f>
        <v>0</v>
      </c>
      <c r="X60" s="98">
        <f>IF(_neu3,#REF!,0)</f>
        <v>0</v>
      </c>
      <c r="Y60" s="98">
        <f>IF(_neu4,#REF!,0)</f>
        <v>0</v>
      </c>
      <c r="Z60" s="372" t="e">
        <f>SUM(V60:Y60)</f>
        <v>#REF!</v>
      </c>
      <c r="AA60" s="364" t="s">
        <v>160</v>
      </c>
      <c r="AC60" s="536" t="s">
        <v>1916</v>
      </c>
      <c r="AD60" s="538" t="e">
        <f>WaermebedarfA</f>
        <v>#REF!</v>
      </c>
      <c r="AE60" s="336" t="e">
        <f>WaermebedarfB</f>
        <v>#REF!</v>
      </c>
      <c r="AF60" s="336" t="e">
        <f>WaermebedarfC</f>
        <v>#REF!</v>
      </c>
      <c r="AG60" s="336" t="e">
        <f>WaermebedarfD</f>
        <v>#REF!</v>
      </c>
      <c r="AH60" s="461" t="e">
        <f>WaermebedarfE</f>
        <v>#REF!</v>
      </c>
      <c r="AI60" s="461" t="e">
        <f>SUM(AD60:AH60)</f>
        <v>#REF!</v>
      </c>
      <c r="AJ60" s="5" t="s">
        <v>251</v>
      </c>
      <c r="BC60" s="799" t="s">
        <v>2130</v>
      </c>
      <c r="BD60" s="791" t="s">
        <v>2175</v>
      </c>
      <c r="BE60" s="791">
        <v>7</v>
      </c>
      <c r="BF60" s="791">
        <v>0</v>
      </c>
      <c r="BG60" s="791">
        <v>449</v>
      </c>
      <c r="BH60" s="821">
        <v>9.9</v>
      </c>
      <c r="BI60" s="813">
        <v>4</v>
      </c>
    </row>
    <row r="61" spans="1:61" ht="18.95" hidden="1" customHeight="1">
      <c r="M61" s="105"/>
      <c r="N61" s="315" t="s">
        <v>1279</v>
      </c>
      <c r="O61" s="321" t="e">
        <f>INDEX(#REF!,Kategorie1,1)*IF(Mieter1,1.2,1)</f>
        <v>#REF!</v>
      </c>
      <c r="P61" s="319" t="e">
        <f>INDEX(#REF!,Kategorie2,1)*IF(Mieter2,1.2,1)</f>
        <v>#REF!</v>
      </c>
      <c r="Q61" s="319" t="e">
        <f>INDEX(#REF!,Kategorie3,1)*IF(Mieter3,1.2,1)</f>
        <v>#REF!</v>
      </c>
      <c r="R61" s="320" t="e">
        <f>INDEX(#REF!,Kategorie4,1)*IF(Mieter4,1.2,1)</f>
        <v>#REF!</v>
      </c>
      <c r="S61" s="306" t="e">
        <f>IF(EBF&gt;0,(O61*_EBF1+P61*_EBF2+Q61*_EBF3+R61*_EBF4)/(_EBF1+_EBF2+_EBF3+_EBF4),0)</f>
        <v>#REF!</v>
      </c>
      <c r="T61" s="5" t="s">
        <v>251</v>
      </c>
      <c r="U61" s="371" t="s">
        <v>1346</v>
      </c>
      <c r="V61" s="18" t="e">
        <f>#REF!-V69</f>
        <v>#REF!</v>
      </c>
      <c r="W61" s="18" t="e">
        <f>#REF!-W69</f>
        <v>#REF!</v>
      </c>
      <c r="X61" s="18" t="e">
        <f>#REF!-X69</f>
        <v>#REF!</v>
      </c>
      <c r="Y61" s="18" t="e">
        <f>#REF!-Y69</f>
        <v>#REF!</v>
      </c>
      <c r="Z61" s="96" t="e">
        <f>SUM(V61:Y61)</f>
        <v>#REF!</v>
      </c>
      <c r="AA61" s="364" t="s">
        <v>160</v>
      </c>
      <c r="AC61" s="260" t="s">
        <v>1922</v>
      </c>
      <c r="AD61" s="260" t="e">
        <f>INDEX(#REF!,#REF!,1)</f>
        <v>#REF!</v>
      </c>
      <c r="AE61" s="26" t="e">
        <f>INDEX(#REF!,#REF!,1)</f>
        <v>#REF!</v>
      </c>
      <c r="AF61" s="26" t="e">
        <f>INDEX(#REF!,#REF!,1)</f>
        <v>#REF!</v>
      </c>
      <c r="AG61" s="26" t="e">
        <f>INDEX(#REF!,#REF!,1)</f>
        <v>#REF!</v>
      </c>
      <c r="AH61" s="285" t="b">
        <v>0</v>
      </c>
      <c r="AI61" s="285"/>
      <c r="BC61" s="799" t="s">
        <v>2131</v>
      </c>
      <c r="BD61" s="791" t="s">
        <v>2176</v>
      </c>
      <c r="BE61" s="791">
        <v>1</v>
      </c>
      <c r="BF61" s="791">
        <v>0</v>
      </c>
      <c r="BG61" s="791">
        <v>316</v>
      </c>
      <c r="BH61" s="821">
        <v>10.5</v>
      </c>
      <c r="BI61" s="813">
        <v>5</v>
      </c>
    </row>
    <row r="62" spans="1:61" ht="18" hidden="1" customHeight="1">
      <c r="M62" s="105"/>
      <c r="U62" s="301"/>
      <c r="V62" s="27"/>
      <c r="W62" s="27"/>
      <c r="X62" s="27"/>
      <c r="Y62" s="27"/>
      <c r="Z62" s="301"/>
      <c r="AC62" s="260"/>
      <c r="AD62" s="260"/>
      <c r="AE62" s="26"/>
      <c r="AF62" s="26"/>
      <c r="AG62" s="26"/>
      <c r="AH62" s="285"/>
      <c r="AI62" s="285"/>
      <c r="BC62" s="799" t="s">
        <v>2132</v>
      </c>
      <c r="BD62" s="791" t="s">
        <v>2173</v>
      </c>
      <c r="BE62" s="791">
        <v>4</v>
      </c>
      <c r="BF62" s="791">
        <v>0</v>
      </c>
      <c r="BG62" s="791">
        <v>565</v>
      </c>
      <c r="BH62" s="821">
        <v>9.1</v>
      </c>
      <c r="BI62" s="813">
        <v>6</v>
      </c>
    </row>
    <row r="63" spans="1:61" ht="6" hidden="1" customHeight="1">
      <c r="M63" s="74"/>
      <c r="N63" s="470"/>
      <c r="U63" s="299"/>
      <c r="V63" s="282"/>
      <c r="W63" s="171"/>
      <c r="X63" s="171"/>
      <c r="Y63" s="381"/>
      <c r="Z63" s="299"/>
      <c r="AC63" s="260"/>
      <c r="AD63" s="260"/>
      <c r="AE63" s="26"/>
      <c r="AF63" s="26"/>
      <c r="AG63" s="26"/>
      <c r="AH63" s="285"/>
      <c r="AI63" s="285"/>
      <c r="BC63" s="799" t="s">
        <v>2133</v>
      </c>
      <c r="BD63" s="791" t="s">
        <v>2177</v>
      </c>
      <c r="BE63" s="791">
        <v>4</v>
      </c>
      <c r="BF63" s="791">
        <v>0</v>
      </c>
      <c r="BG63" s="791">
        <v>387</v>
      </c>
      <c r="BH63" s="821">
        <v>9.6999999999999993</v>
      </c>
      <c r="BI63" s="813">
        <v>7</v>
      </c>
    </row>
    <row r="64" spans="1:61" ht="21.95" hidden="1" customHeight="1">
      <c r="U64" s="361" t="s">
        <v>1358</v>
      </c>
      <c r="V64" s="107"/>
      <c r="W64" s="27"/>
      <c r="X64" s="27"/>
      <c r="Y64" s="85"/>
      <c r="Z64" s="361" t="e">
        <f>IF(OR(minergiea,Z60&gt;2000,AND(EBF&gt;2000,I111=N13)),TRUE,FALSE)</f>
        <v>#REF!</v>
      </c>
      <c r="AA64" s="17"/>
      <c r="AC64" s="107" t="s">
        <v>1923</v>
      </c>
      <c r="AD64" s="279" t="e">
        <f>IF(AND(AD61,$AI$60&gt;0),AD60/$AI$60,0)</f>
        <v>#REF!</v>
      </c>
      <c r="AE64" s="292" t="e">
        <f>IF(AND(AE61,$AI$60),AE60/$AI$60,0)</f>
        <v>#REF!</v>
      </c>
      <c r="AF64" s="292" t="e">
        <f>IF(AND(AF61,$AI$60&gt;0),AF60/$AI$60,0)</f>
        <v>#REF!</v>
      </c>
      <c r="AG64" s="292" t="e">
        <f>IF(AND(AG61,$AI$60&gt;0),AG60/$AI$60,0)</f>
        <v>#REF!</v>
      </c>
      <c r="AH64" s="293">
        <f t="shared" ref="AH64" si="14">IF(AH61,AH60/$AI$60,0)</f>
        <v>0</v>
      </c>
      <c r="AI64" s="537" t="e">
        <f>SUM(AD64:AH64)</f>
        <v>#REF!</v>
      </c>
      <c r="BC64" s="799" t="s">
        <v>2134</v>
      </c>
      <c r="BD64" s="791" t="s">
        <v>2178</v>
      </c>
      <c r="BE64" s="791">
        <v>9</v>
      </c>
      <c r="BF64" s="791">
        <v>0</v>
      </c>
      <c r="BG64" s="791">
        <v>555</v>
      </c>
      <c r="BH64" s="821">
        <v>9.6</v>
      </c>
      <c r="BI64" s="813">
        <v>8</v>
      </c>
    </row>
    <row r="65" spans="1:61" ht="18" hidden="1" customHeight="1">
      <c r="M65" s="28"/>
      <c r="U65" s="42" t="s">
        <v>1344</v>
      </c>
      <c r="AA65" s="17"/>
      <c r="AC65" s="541" t="s">
        <v>1926</v>
      </c>
      <c r="AD65" s="171"/>
      <c r="AE65" s="171"/>
      <c r="AF65" s="171"/>
      <c r="AG65" s="171"/>
      <c r="AH65" s="171"/>
      <c r="AI65" s="539" t="e">
        <f>(#REF!+#REF!+#REF!+#REF!+S103+#REF!+#REF!+#REF!+#REF!+#REF!)/2</f>
        <v>#REF!</v>
      </c>
      <c r="AJ65" s="5" t="s">
        <v>251</v>
      </c>
      <c r="BC65" s="799" t="s">
        <v>2135</v>
      </c>
      <c r="BD65" s="791" t="s">
        <v>2178</v>
      </c>
      <c r="BE65" s="791">
        <v>9</v>
      </c>
      <c r="BF65" s="791">
        <v>4</v>
      </c>
      <c r="BG65" s="791">
        <v>1590</v>
      </c>
      <c r="BH65" s="821">
        <v>3.6</v>
      </c>
      <c r="BI65" s="813">
        <v>9</v>
      </c>
    </row>
    <row r="66" spans="1:61" ht="18" hidden="1" customHeight="1">
      <c r="M66" s="28"/>
      <c r="N66" s="42" t="s">
        <v>1282</v>
      </c>
      <c r="AC66" s="300"/>
      <c r="AD66" s="26"/>
      <c r="AE66" s="26"/>
      <c r="AF66" s="26"/>
      <c r="AG66" s="26"/>
      <c r="AH66" s="26"/>
      <c r="AI66" s="300"/>
      <c r="BC66" s="799" t="s">
        <v>2136</v>
      </c>
      <c r="BD66" s="791" t="s">
        <v>2178</v>
      </c>
      <c r="BE66" s="791">
        <v>9</v>
      </c>
      <c r="BF66" s="791">
        <v>0</v>
      </c>
      <c r="BG66" s="791">
        <v>1190</v>
      </c>
      <c r="BH66" s="821">
        <v>6.7</v>
      </c>
      <c r="BI66" s="813">
        <v>10</v>
      </c>
    </row>
    <row r="67" spans="1:61" ht="18" hidden="1" customHeight="1">
      <c r="M67" s="28"/>
      <c r="N67" s="470" t="s">
        <v>1677</v>
      </c>
      <c r="U67" s="282" t="s">
        <v>1241</v>
      </c>
      <c r="V67" s="87">
        <v>1</v>
      </c>
      <c r="W67" s="94">
        <v>2</v>
      </c>
      <c r="X67" s="94">
        <v>3</v>
      </c>
      <c r="Y67" s="277">
        <v>4</v>
      </c>
      <c r="Z67" s="359" t="s">
        <v>1262</v>
      </c>
      <c r="AC67" s="300" t="s">
        <v>1927</v>
      </c>
      <c r="AD67" s="26"/>
      <c r="AE67" s="26"/>
      <c r="AF67" s="26"/>
      <c r="AG67" s="26"/>
      <c r="AH67" s="26"/>
      <c r="AI67" s="482" t="e">
        <f>IF(EBF&gt;0,E96*G96/EBF,0)</f>
        <v>#REF!</v>
      </c>
      <c r="AJ67" s="5" t="s">
        <v>251</v>
      </c>
      <c r="BC67" s="799" t="s">
        <v>2137</v>
      </c>
      <c r="BD67" s="791" t="s">
        <v>2179</v>
      </c>
      <c r="BE67" s="791">
        <v>7</v>
      </c>
      <c r="BF67" s="791">
        <v>2</v>
      </c>
      <c r="BG67" s="791">
        <v>1035</v>
      </c>
      <c r="BH67" s="821">
        <v>6.4</v>
      </c>
      <c r="BI67" s="813">
        <v>11</v>
      </c>
    </row>
    <row r="68" spans="1:61" ht="18" hidden="1" customHeight="1">
      <c r="M68" s="28" t="b">
        <v>0</v>
      </c>
      <c r="U68" s="370"/>
      <c r="V68" s="82"/>
      <c r="W68" s="82"/>
      <c r="X68" s="82"/>
      <c r="Y68" s="82"/>
      <c r="Z68" s="522"/>
      <c r="AC68" s="300"/>
      <c r="AD68" s="26"/>
      <c r="AE68" s="26"/>
      <c r="AF68" s="26"/>
      <c r="AG68" s="26"/>
      <c r="AH68" s="26"/>
      <c r="AI68" s="300"/>
      <c r="BC68" s="799" t="s">
        <v>150</v>
      </c>
      <c r="BD68" s="791" t="s">
        <v>2180</v>
      </c>
      <c r="BE68" s="791">
        <v>5</v>
      </c>
      <c r="BF68" s="791">
        <v>0</v>
      </c>
      <c r="BG68" s="791">
        <v>420</v>
      </c>
      <c r="BH68" s="821">
        <v>10.7</v>
      </c>
      <c r="BI68" s="813">
        <v>12</v>
      </c>
    </row>
    <row r="69" spans="1:61" ht="18" hidden="1" customHeight="1">
      <c r="M69" s="28" t="b">
        <v>0</v>
      </c>
      <c r="N69" s="315" t="s">
        <v>1280</v>
      </c>
      <c r="O69" s="323"/>
      <c r="P69" s="323"/>
      <c r="Q69" s="324"/>
      <c r="R69" s="324"/>
      <c r="S69" s="318"/>
      <c r="U69" s="371" t="s">
        <v>1345</v>
      </c>
      <c r="V69" s="101" t="e">
        <f>IF(_neu1,#REF!,0)</f>
        <v>#REF!</v>
      </c>
      <c r="W69" s="102">
        <f>IF(_neu2,#REF!,0)</f>
        <v>0</v>
      </c>
      <c r="X69" s="102">
        <f>IF(_neu3,#REF!,0)</f>
        <v>0</v>
      </c>
      <c r="Y69" s="438">
        <f>IF(_neu4,#REF!,0)</f>
        <v>0</v>
      </c>
      <c r="Z69" s="96" t="e">
        <f>SUM(V69:Y69)</f>
        <v>#REF!</v>
      </c>
      <c r="AA69" s="364" t="s">
        <v>160</v>
      </c>
      <c r="AC69" s="300" t="s">
        <v>1925</v>
      </c>
      <c r="AD69" s="26"/>
      <c r="AE69" s="26"/>
      <c r="AF69" s="26"/>
      <c r="AG69" s="26"/>
      <c r="AH69" s="26"/>
      <c r="AI69" s="540" t="e">
        <f>IF(AI65&gt;0,AI67/AI65,0)</f>
        <v>#REF!</v>
      </c>
      <c r="BC69" s="799" t="s">
        <v>152</v>
      </c>
      <c r="BD69" s="791" t="s">
        <v>2181</v>
      </c>
      <c r="BE69" s="791">
        <v>6</v>
      </c>
      <c r="BF69" s="791">
        <v>0</v>
      </c>
      <c r="BG69" s="791">
        <v>515</v>
      </c>
      <c r="BH69" s="821">
        <v>8.8000000000000007</v>
      </c>
      <c r="BI69" s="813">
        <v>13</v>
      </c>
    </row>
    <row r="70" spans="1:61" ht="18" hidden="1" customHeight="1">
      <c r="M70" s="28" t="b">
        <v>1</v>
      </c>
      <c r="N70" s="315" t="s">
        <v>1281</v>
      </c>
      <c r="O70" s="321" t="e">
        <f>INDEX(#REF!,Kategorie1,1)</f>
        <v>#REF!</v>
      </c>
      <c r="P70" s="319" t="e">
        <f>INDEX(#REF!,Kategorie2,1)</f>
        <v>#REF!</v>
      </c>
      <c r="Q70" s="319" t="e">
        <f>INDEX(#REF!,Kategorie3,1)</f>
        <v>#REF!</v>
      </c>
      <c r="R70" s="320" t="e">
        <f>INDEX(#REF!,Kategorie4,1)</f>
        <v>#REF!</v>
      </c>
      <c r="S70" s="306" t="e">
        <f>IF(EBF&gt;0,(O70*_EBF1+P70*_EBF2+Q70*_EBF3+R70*_EBF4)/(_EBF1+_EBF2+_EBF3+_EBF4)+IF(S32=0,H97*J97*2/(_EBF1+_EBF2+_EBF3+_EBF4)),0)</f>
        <v>#REF!</v>
      </c>
      <c r="T70" s="5" t="s">
        <v>251</v>
      </c>
      <c r="U70" s="371" t="s">
        <v>1346</v>
      </c>
      <c r="V70" s="449" t="e">
        <f>#REF!-V69</f>
        <v>#REF!</v>
      </c>
      <c r="W70" s="367" t="e">
        <f>#REF!-W69</f>
        <v>#REF!</v>
      </c>
      <c r="X70" s="367" t="e">
        <f>#REF!-X69</f>
        <v>#REF!</v>
      </c>
      <c r="Y70" s="450" t="e">
        <f>#REF!-Y69</f>
        <v>#REF!</v>
      </c>
      <c r="Z70" s="96" t="e">
        <f>SUM(V70:Y70)</f>
        <v>#REF!</v>
      </c>
      <c r="AA70" s="364" t="s">
        <v>160</v>
      </c>
      <c r="AC70" s="301" t="s">
        <v>1928</v>
      </c>
      <c r="AD70" s="27"/>
      <c r="AE70" s="27"/>
      <c r="AF70" s="27"/>
      <c r="AG70" s="27"/>
      <c r="AH70" s="27"/>
      <c r="AI70" s="159">
        <f>IF(H97&gt;0,H97,0)</f>
        <v>0</v>
      </c>
      <c r="AJ70" s="5" t="s">
        <v>328</v>
      </c>
      <c r="BC70" s="799" t="s">
        <v>2138</v>
      </c>
      <c r="BD70" s="791" t="s">
        <v>2182</v>
      </c>
      <c r="BE70" s="791">
        <v>12</v>
      </c>
      <c r="BF70" s="791">
        <v>8</v>
      </c>
      <c r="BG70" s="791">
        <v>2472</v>
      </c>
      <c r="BH70" s="821">
        <v>-0.5</v>
      </c>
      <c r="BI70" s="813">
        <v>14</v>
      </c>
    </row>
    <row r="71" spans="1:61" ht="18" hidden="1" customHeight="1">
      <c r="B71" s="886" t="str">
        <f>Uebersetzung!D364</f>
        <v>Elektrizität</v>
      </c>
      <c r="C71" s="887"/>
      <c r="D71" s="69"/>
      <c r="E71" s="69"/>
      <c r="F71" s="69"/>
      <c r="G71" s="69"/>
      <c r="H71" s="69"/>
      <c r="I71" s="69"/>
      <c r="J71" s="131"/>
      <c r="K71" s="170"/>
      <c r="M71" s="28"/>
      <c r="U71" s="300"/>
      <c r="V71" s="260"/>
      <c r="W71" s="26"/>
      <c r="X71" s="26"/>
      <c r="Y71" s="285"/>
      <c r="Z71" s="300"/>
      <c r="AC71" s="536" t="s">
        <v>1930</v>
      </c>
      <c r="AD71" s="171"/>
      <c r="AE71" s="171"/>
      <c r="AF71" s="171"/>
      <c r="AG71" s="171"/>
      <c r="AH71" s="171"/>
      <c r="AI71" s="550" t="e">
        <f>IF(f_fr_PV=0,0,MIN(IF(OR(H97="",H97&lt;=5),(f_fr_PV^_x0*_a0+_b0+C_Bat*((f_fr_PV^_x5*_a5+_b5)-(f_fr_PV^_x0*_a0+_b0))/5)/100,(f_fr_PV^_x5*_a5+_b5+(C_Bat-5)*((f_fr_PV^_x10*_a10+_b10)-(f_fr_PV^_x5*_a5+_b5))/5)/100),0.8))</f>
        <v>#REF!</v>
      </c>
      <c r="BC71" s="799" t="s">
        <v>2139</v>
      </c>
      <c r="BD71" s="791" t="s">
        <v>2183</v>
      </c>
      <c r="BE71" s="791">
        <v>3</v>
      </c>
      <c r="BF71" s="791">
        <v>0</v>
      </c>
      <c r="BG71" s="791">
        <v>440</v>
      </c>
      <c r="BH71" s="821">
        <v>9.1999999999999993</v>
      </c>
      <c r="BI71" s="813">
        <v>15</v>
      </c>
    </row>
    <row r="72" spans="1:61" ht="18" hidden="1" customHeight="1">
      <c r="B72" s="10"/>
      <c r="C72" s="15"/>
      <c r="D72" s="12"/>
      <c r="E72" s="12"/>
      <c r="F72" s="11"/>
      <c r="G72" s="11"/>
      <c r="H72" s="13"/>
      <c r="I72" s="14"/>
      <c r="J72" s="15"/>
      <c r="K72" s="16"/>
      <c r="M72" s="28"/>
      <c r="N72" s="315" t="s">
        <v>1282</v>
      </c>
      <c r="O72" s="316"/>
      <c r="P72" s="316"/>
      <c r="Q72" s="317"/>
      <c r="R72" s="317"/>
      <c r="S72" s="318"/>
      <c r="U72" s="371" t="s">
        <v>1348</v>
      </c>
      <c r="V72" s="447"/>
      <c r="W72" s="444"/>
      <c r="X72" s="444"/>
      <c r="Y72" s="452"/>
      <c r="Z72" s="373" t="e">
        <f>#REF!</f>
        <v>#REF!</v>
      </c>
      <c r="AA72" s="5" t="s">
        <v>251</v>
      </c>
      <c r="AC72" s="260" t="s">
        <v>1931</v>
      </c>
      <c r="AD72" s="26"/>
      <c r="AE72" s="26"/>
      <c r="AF72" s="26"/>
      <c r="AG72" s="26"/>
      <c r="AH72" s="26"/>
      <c r="AI72" s="540" t="e">
        <f>IF(f_fr_PV=0,0,MIN(IF(OR(H97="",H97&lt;=5),(f_fr_PV^_x0WP*_a0WP+_b0WP+C_Bat*((f_fr_PV^_x5WP*_a5WP+_b5WP)-(f_fr_PV^_x0WP*_a0WP+_b0WP))/5)/100,(f_fr_PV^_x5WP*_a5WP+_b5WP+(C_Bat-5)*((f_fr_PV^_x10WP*_a10WP+_b10WP)-(f_fr_PV^_x5WP*_a5WP+_b5WP))/5)/100),0.8))</f>
        <v>#REF!</v>
      </c>
      <c r="BC72" s="799" t="s">
        <v>2140</v>
      </c>
      <c r="BD72" s="791" t="s">
        <v>2173</v>
      </c>
      <c r="BE72" s="791">
        <v>8</v>
      </c>
      <c r="BF72" s="791">
        <v>0</v>
      </c>
      <c r="BG72" s="791">
        <v>580</v>
      </c>
      <c r="BH72" s="821">
        <v>8.6999999999999993</v>
      </c>
      <c r="BI72" s="813">
        <v>16</v>
      </c>
    </row>
    <row r="73" spans="1:61" ht="18" hidden="1" customHeight="1">
      <c r="B73" s="166" t="str">
        <f>Uebersetzung!D365</f>
        <v>Angaben für Wohnungsnutzung:</v>
      </c>
      <c r="C73" s="89"/>
      <c r="D73" s="12"/>
      <c r="E73" s="71">
        <f>B15</f>
        <v>0</v>
      </c>
      <c r="F73" s="551"/>
      <c r="G73" s="586"/>
      <c r="H73" s="587"/>
      <c r="I73" s="587"/>
      <c r="J73" s="588"/>
      <c r="K73" s="70">
        <f>K17</f>
        <v>0</v>
      </c>
      <c r="M73" s="28" t="b">
        <v>0</v>
      </c>
      <c r="N73" s="325" t="s">
        <v>1284</v>
      </c>
      <c r="O73" s="17"/>
      <c r="P73" s="17"/>
      <c r="Q73" s="17"/>
      <c r="R73" s="17"/>
      <c r="S73" s="21" t="e">
        <f>IF(EBF&gt;0,G96*E96/EBF-#REF!,0)*2*I96</f>
        <v>#REF!</v>
      </c>
      <c r="T73" s="5" t="s">
        <v>251</v>
      </c>
      <c r="U73" s="371" t="s">
        <v>1349</v>
      </c>
      <c r="V73" s="447"/>
      <c r="W73" s="444"/>
      <c r="X73" s="444"/>
      <c r="Y73" s="452"/>
      <c r="Z73" s="373" t="e">
        <f>#REF!</f>
        <v>#REF!</v>
      </c>
      <c r="AA73" s="5" t="s">
        <v>251</v>
      </c>
      <c r="AC73" s="107" t="s">
        <v>1932</v>
      </c>
      <c r="AD73" s="27"/>
      <c r="AE73" s="27"/>
      <c r="AF73" s="27"/>
      <c r="AG73" s="27"/>
      <c r="AH73" s="290"/>
      <c r="AI73" s="549" t="e">
        <f>IF(OR(J96="",J96=0),IF(AI77,ROUND((AI72*Anteil_WP+AI71*(1-Anteil_WP))*20,0)/20,0.2),MIN(J96,1))</f>
        <v>#REF!</v>
      </c>
      <c r="BC73" s="799" t="s">
        <v>2141</v>
      </c>
      <c r="BD73" s="791" t="s">
        <v>2184</v>
      </c>
      <c r="BE73" s="791">
        <v>2</v>
      </c>
      <c r="BF73" s="791">
        <v>0</v>
      </c>
      <c r="BG73" s="791">
        <v>1019</v>
      </c>
      <c r="BH73" s="821">
        <v>6.5</v>
      </c>
      <c r="BI73" s="813">
        <v>17</v>
      </c>
    </row>
    <row r="74" spans="1:61" s="17" customFormat="1" ht="12" hidden="1" customHeight="1">
      <c r="A74" s="508" t="s">
        <v>1813</v>
      </c>
      <c r="B74" s="888" t="str">
        <f>Uebersetzung!D366</f>
        <v>Aufzugsanlage / Lift vorhanden?</v>
      </c>
      <c r="C74" s="889"/>
      <c r="D74" s="36"/>
      <c r="E74" s="37"/>
      <c r="F74" s="585" t="s">
        <v>72</v>
      </c>
      <c r="G74" s="260"/>
      <c r="H74" s="26"/>
      <c r="I74" s="26"/>
      <c r="J74" s="26"/>
      <c r="K74" s="285"/>
      <c r="L74" s="44"/>
      <c r="M74" s="44"/>
      <c r="N74" s="80" t="s">
        <v>1285</v>
      </c>
      <c r="S74" s="326" t="e">
        <f>IF(EBF&gt;0,G96*E96/EBF-#REF!,0)*2*(1-I96)*0.4</f>
        <v>#REF!</v>
      </c>
      <c r="T74" s="5" t="s">
        <v>251</v>
      </c>
      <c r="U74" s="371"/>
      <c r="V74" s="447"/>
      <c r="W74" s="444"/>
      <c r="X74" s="444"/>
      <c r="Y74" s="452"/>
      <c r="Z74" s="373"/>
      <c r="AA74" s="5"/>
      <c r="AC74" s="548"/>
      <c r="AD74" s="160" t="s">
        <v>273</v>
      </c>
      <c r="AE74" s="161" t="s">
        <v>274</v>
      </c>
      <c r="AF74" s="161" t="s">
        <v>126</v>
      </c>
      <c r="AG74" s="161" t="s">
        <v>127</v>
      </c>
      <c r="AH74" s="46"/>
      <c r="AI74" s="548"/>
      <c r="AM74" s="732"/>
      <c r="BC74" s="799" t="s">
        <v>2142</v>
      </c>
      <c r="BD74" s="791" t="s">
        <v>2174</v>
      </c>
      <c r="BE74" s="791">
        <v>2</v>
      </c>
      <c r="BF74" s="791">
        <v>0</v>
      </c>
      <c r="BG74" s="791">
        <v>1202</v>
      </c>
      <c r="BH74" s="821">
        <v>6</v>
      </c>
      <c r="BI74" s="813">
        <v>18</v>
      </c>
    </row>
    <row r="75" spans="1:61" s="17" customFormat="1" ht="18" hidden="1" customHeight="1">
      <c r="A75" s="508" t="s">
        <v>1814</v>
      </c>
      <c r="B75" s="858" t="str">
        <f>Uebersetzung!D367</f>
        <v>Alle Geschirrspüler Klasse A+++</v>
      </c>
      <c r="C75" s="859"/>
      <c r="D75" s="35"/>
      <c r="E75" s="34"/>
      <c r="F75" s="585"/>
      <c r="G75" s="260"/>
      <c r="H75" s="26"/>
      <c r="I75" s="26"/>
      <c r="J75" s="26"/>
      <c r="K75" s="285"/>
      <c r="L75" s="44"/>
      <c r="M75" s="44"/>
      <c r="N75" s="315" t="s">
        <v>1283</v>
      </c>
      <c r="O75" s="321"/>
      <c r="P75" s="319"/>
      <c r="Q75" s="319"/>
      <c r="R75" s="320"/>
      <c r="S75" s="322" t="e">
        <f>SUM(S73:S74)</f>
        <v>#REF!</v>
      </c>
      <c r="T75" s="5" t="s">
        <v>251</v>
      </c>
      <c r="U75" s="374" t="s">
        <v>1347</v>
      </c>
      <c r="V75" s="529"/>
      <c r="W75" s="368"/>
      <c r="X75" s="368"/>
      <c r="Y75" s="530"/>
      <c r="Z75" s="375" t="e">
        <f>IF(EBF=0,FALSE,IF((Z72-Z73)&gt;=5,TRUE,IF(AND(Z69&gt;0,Z70=0),FALSE,IF(OR(Z69&lt;50,AND(Z69&lt;=1000,Z69/Z70&lt;0.2)),TRUE,FALSE))))</f>
        <v>#REF!</v>
      </c>
      <c r="AC75" s="23" t="s">
        <v>171</v>
      </c>
      <c r="AD75" s="18" t="e">
        <f>IF(AND(Kategorie1 = 3,#REF!&gt;0), TRUE,FALSE)</f>
        <v>#REF!</v>
      </c>
      <c r="AE75" s="18" t="e">
        <f>IF(AND(Kategorie2 = 3,#REF!&gt;0), TRUE,FALSE)</f>
        <v>#REF!</v>
      </c>
      <c r="AF75" s="18" t="e">
        <f>IF(AND(Kategorie3 = 3,#REF!&gt;0), TRUE,FALSE)</f>
        <v>#REF!</v>
      </c>
      <c r="AG75" s="18" t="e">
        <f>IF(AND(Kategorie4 = 3,#REF!&gt;0), TRUE,FALSE)</f>
        <v>#REF!</v>
      </c>
      <c r="AH75" s="18"/>
      <c r="AI75" s="23" t="e">
        <f>OR(AD75,AE75,AF75,AG75)</f>
        <v>#REF!</v>
      </c>
      <c r="AM75" s="732"/>
      <c r="BC75" s="799" t="s">
        <v>2143</v>
      </c>
      <c r="BD75" s="791" t="s">
        <v>2185</v>
      </c>
      <c r="BE75" s="791">
        <v>12</v>
      </c>
      <c r="BF75" s="791">
        <v>0</v>
      </c>
      <c r="BG75" s="791">
        <v>366</v>
      </c>
      <c r="BH75" s="821">
        <v>12.3</v>
      </c>
      <c r="BI75" s="813">
        <v>19</v>
      </c>
    </row>
    <row r="76" spans="1:61" s="17" customFormat="1" ht="18" hidden="1" customHeight="1">
      <c r="A76" s="508" t="s">
        <v>1815</v>
      </c>
      <c r="B76" s="892" t="str">
        <f>Uebersetzung!D368</f>
        <v>Alle Kühl- und Gefrierschränke A+++</v>
      </c>
      <c r="C76" s="893"/>
      <c r="D76" s="34"/>
      <c r="E76" s="34"/>
      <c r="F76" s="585"/>
      <c r="G76" s="260"/>
      <c r="H76" s="26"/>
      <c r="I76" s="26"/>
      <c r="J76" s="26"/>
      <c r="K76" s="285"/>
      <c r="L76" s="44"/>
      <c r="M76" s="44"/>
      <c r="N76" s="42" t="s">
        <v>1678</v>
      </c>
      <c r="O76" s="5"/>
      <c r="P76" s="5"/>
      <c r="Q76" s="5"/>
      <c r="R76" s="5"/>
      <c r="S76" s="5"/>
      <c r="T76" s="5"/>
      <c r="V76" s="444"/>
      <c r="W76" s="444"/>
      <c r="X76" s="444"/>
      <c r="Y76" s="444"/>
      <c r="AC76" s="23" t="s">
        <v>1945</v>
      </c>
      <c r="AD76" s="18" t="e">
        <f>IF(AND(OR(Kategorie1 = 2,Kategorie1&gt;3),#REF!&gt;0,Kategorie1&lt;13), TRUE,FALSE)</f>
        <v>#REF!</v>
      </c>
      <c r="AE76" s="18" t="e">
        <f>IF(AND(OR(Kategorie2 = 2,Kategorie2&gt;3),#REF!&gt;0,Kategorie2&lt;13), TRUE,FALSE)</f>
        <v>#REF!</v>
      </c>
      <c r="AF76" s="18" t="e">
        <f>IF(AND(OR(Kategorie3 = 2,Kategorie3&gt;3),#REF!&gt;0,Kategorie3&lt;13), TRUE,FALSE)</f>
        <v>#REF!</v>
      </c>
      <c r="AG76" s="18" t="e">
        <f>IF(AND(OR(Kategorie4 = 2,Kategorie4&gt;3),#REF!&gt;0,Kategorie4&lt;13), TRUE,FALSE)</f>
        <v>#REF!</v>
      </c>
      <c r="AH76" s="18"/>
      <c r="AI76" s="23" t="e">
        <f>OR(AD76,AE76,AF76,AG76)</f>
        <v>#REF!</v>
      </c>
      <c r="AM76" s="732"/>
      <c r="BC76" s="799" t="s">
        <v>2144</v>
      </c>
      <c r="BD76" s="791" t="s">
        <v>2185</v>
      </c>
      <c r="BE76" s="791">
        <v>12</v>
      </c>
      <c r="BF76" s="791">
        <v>0</v>
      </c>
      <c r="BG76" s="791">
        <v>273</v>
      </c>
      <c r="BH76" s="821">
        <v>12.4</v>
      </c>
      <c r="BI76" s="813">
        <v>20</v>
      </c>
    </row>
    <row r="77" spans="1:61" s="17" customFormat="1" ht="18" hidden="1" customHeight="1">
      <c r="A77" s="508" t="s">
        <v>1816</v>
      </c>
      <c r="B77" s="164" t="str">
        <f>Uebersetzung!D369</f>
        <v>Alle Waschmaschinen Klasse A+++</v>
      </c>
      <c r="C77" s="165"/>
      <c r="D77" s="34"/>
      <c r="E77" s="34"/>
      <c r="F77" s="585"/>
      <c r="G77" s="260"/>
      <c r="H77" s="26"/>
      <c r="I77" s="26"/>
      <c r="J77" s="26"/>
      <c r="K77" s="285"/>
      <c r="L77" s="44"/>
      <c r="M77" s="44"/>
      <c r="N77" s="330" t="s">
        <v>1289</v>
      </c>
      <c r="O77" s="328"/>
      <c r="P77" s="327"/>
      <c r="Q77" s="327"/>
      <c r="R77" s="329"/>
      <c r="S77" s="331" t="e">
        <f>S18+S21+S47+S61+S70-S75+S58+S91+S96</f>
        <v>#REF!</v>
      </c>
      <c r="T77" s="5" t="s">
        <v>251</v>
      </c>
      <c r="U77" s="82"/>
      <c r="V77" s="82"/>
      <c r="W77" s="82"/>
      <c r="X77" s="82"/>
      <c r="Y77" s="82"/>
      <c r="Z77" s="82"/>
      <c r="AC77" s="25" t="s">
        <v>1946</v>
      </c>
      <c r="AD77" s="19"/>
      <c r="AE77" s="19"/>
      <c r="AF77" s="19"/>
      <c r="AG77" s="19"/>
      <c r="AH77" s="19"/>
      <c r="AI77" s="375" t="e">
        <f>IF(AND(AI75,AI76=FALSE),TRUE,FALSE)</f>
        <v>#REF!</v>
      </c>
      <c r="AM77" s="732"/>
      <c r="BC77" s="799" t="s">
        <v>148</v>
      </c>
      <c r="BD77" s="791" t="s">
        <v>2186</v>
      </c>
      <c r="BE77" s="791">
        <v>7</v>
      </c>
      <c r="BF77" s="791">
        <v>0</v>
      </c>
      <c r="BG77" s="791">
        <v>456</v>
      </c>
      <c r="BH77" s="821">
        <v>9.6999999999999993</v>
      </c>
      <c r="BI77" s="813">
        <v>21</v>
      </c>
    </row>
    <row r="78" spans="1:61" s="17" customFormat="1" ht="18" hidden="1" customHeight="1">
      <c r="A78" s="508" t="s">
        <v>1817</v>
      </c>
      <c r="B78" s="858" t="str">
        <f>Uebersetzung!D370</f>
        <v>Alle Wäschetrockner Klasse A+++</v>
      </c>
      <c r="C78" s="859"/>
      <c r="D78" s="39"/>
      <c r="E78" s="34"/>
      <c r="F78" s="585"/>
      <c r="G78" s="260"/>
      <c r="H78" s="26"/>
      <c r="I78" s="26"/>
      <c r="J78" s="26"/>
      <c r="K78" s="285"/>
      <c r="L78" s="44"/>
      <c r="M78" s="44"/>
      <c r="N78" s="42" t="s">
        <v>1664</v>
      </c>
      <c r="O78" s="82"/>
      <c r="P78" s="82"/>
      <c r="Q78" s="82"/>
      <c r="R78" s="82"/>
      <c r="S78" s="82"/>
      <c r="T78" s="82"/>
      <c r="AM78" s="732"/>
      <c r="BC78" s="799" t="s">
        <v>2145</v>
      </c>
      <c r="BD78" s="791" t="s">
        <v>2185</v>
      </c>
      <c r="BE78" s="791">
        <v>12</v>
      </c>
      <c r="BF78" s="791">
        <v>0</v>
      </c>
      <c r="BG78" s="791">
        <v>197</v>
      </c>
      <c r="BH78" s="821">
        <v>11.7</v>
      </c>
      <c r="BI78" s="813">
        <v>22</v>
      </c>
    </row>
    <row r="79" spans="1:61" s="17" customFormat="1" ht="18" hidden="1" customHeight="1">
      <c r="A79" s="508" t="s">
        <v>1818</v>
      </c>
      <c r="B79" s="164" t="str">
        <f>Uebersetzung!D371</f>
        <v>Alles Induktionskochherde</v>
      </c>
      <c r="C79" s="165"/>
      <c r="D79" s="34"/>
      <c r="E79" s="34"/>
      <c r="F79" s="585"/>
      <c r="G79" s="260"/>
      <c r="H79" s="26"/>
      <c r="I79" s="26"/>
      <c r="J79" s="26"/>
      <c r="K79" s="285"/>
      <c r="L79" s="44"/>
      <c r="M79" s="44"/>
      <c r="N79" s="88" t="s">
        <v>1241</v>
      </c>
      <c r="O79" s="87">
        <v>1</v>
      </c>
      <c r="P79" s="94">
        <v>2</v>
      </c>
      <c r="Q79" s="94">
        <v>3</v>
      </c>
      <c r="R79" s="277">
        <v>4</v>
      </c>
      <c r="S79" s="277" t="s">
        <v>1655</v>
      </c>
      <c r="T79" s="82"/>
      <c r="AM79" s="732"/>
      <c r="BC79" s="799" t="s">
        <v>2146</v>
      </c>
      <c r="BD79" s="791" t="s">
        <v>2182</v>
      </c>
      <c r="BE79" s="791">
        <v>10</v>
      </c>
      <c r="BF79" s="791">
        <v>0</v>
      </c>
      <c r="BG79" s="791">
        <v>1508</v>
      </c>
      <c r="BH79" s="821">
        <v>5.9</v>
      </c>
      <c r="BI79" s="813">
        <v>23</v>
      </c>
    </row>
    <row r="80" spans="1:61" s="17" customFormat="1" ht="18" hidden="1" customHeight="1">
      <c r="A80" s="508" t="s">
        <v>1332</v>
      </c>
      <c r="B80" s="858" t="str">
        <f>Uebersetzung!D372</f>
        <v>Feste Wohnungsbeleuchtung LED A++</v>
      </c>
      <c r="C80" s="859"/>
      <c r="D80" s="34"/>
      <c r="E80" s="34"/>
      <c r="F80" s="585"/>
      <c r="G80" s="260"/>
      <c r="H80" s="26"/>
      <c r="I80" s="26"/>
      <c r="J80" s="26"/>
      <c r="K80" s="285"/>
      <c r="L80" s="44"/>
      <c r="M80" s="44"/>
      <c r="N80" s="370" t="s">
        <v>1675</v>
      </c>
      <c r="O80" s="446" t="e">
        <f>IF(Mieter1,FALSE,IF(Kategorie1&gt;3,TRUE,FALSE))</f>
        <v>#REF!</v>
      </c>
      <c r="P80" s="451" t="e">
        <f>IF(Mieter2,FALSE,IF(Kategorie2&gt;3,TRUE,FALSE))</f>
        <v>#REF!</v>
      </c>
      <c r="Q80" s="451" t="e">
        <f>IF(Mieter3,FALSE,IF(Kategorie3&gt;3,TRUE,FALSE))</f>
        <v>#REF!</v>
      </c>
      <c r="R80" s="448" t="e">
        <f>IF(Mieter4,FALSE,IF(Kategorie4&gt;3,TRUE,FALSE))</f>
        <v>#REF!</v>
      </c>
      <c r="S80" s="442"/>
      <c r="T80" s="82"/>
      <c r="AM80" s="732"/>
      <c r="BC80" s="799" t="s">
        <v>151</v>
      </c>
      <c r="BD80" s="791" t="s">
        <v>2184</v>
      </c>
      <c r="BE80" s="791">
        <v>5</v>
      </c>
      <c r="BF80" s="791">
        <v>0</v>
      </c>
      <c r="BG80" s="791">
        <v>485</v>
      </c>
      <c r="BH80" s="821">
        <v>10.3</v>
      </c>
      <c r="BI80" s="813">
        <v>24</v>
      </c>
    </row>
    <row r="81" spans="1:61" s="82" customFormat="1" ht="18" hidden="1" customHeight="1">
      <c r="A81" s="508" t="s">
        <v>1819</v>
      </c>
      <c r="B81" s="858" t="str">
        <f>Uebersetzung!D373</f>
        <v>Allg. Beleuchtung LED A++ &amp; Regelung</v>
      </c>
      <c r="C81" s="894"/>
      <c r="D81" s="67"/>
      <c r="E81" s="36"/>
      <c r="F81" s="585"/>
      <c r="G81" s="260"/>
      <c r="H81" s="26"/>
      <c r="I81" s="26"/>
      <c r="J81" s="26"/>
      <c r="K81" s="285"/>
      <c r="L81" s="84"/>
      <c r="M81" s="84"/>
      <c r="N81" s="445" t="s">
        <v>1654</v>
      </c>
      <c r="O81" s="447" t="e">
        <f>AND(_neu1,O80)</f>
        <v>#REF!</v>
      </c>
      <c r="P81" s="444" t="e">
        <f>AND(_neu2,P80)</f>
        <v>#REF!</v>
      </c>
      <c r="Q81" s="444" t="e">
        <f>AND(_neu3,Q80)</f>
        <v>#REF!</v>
      </c>
      <c r="R81" s="452" t="e">
        <f>AND(_neu4,R80)</f>
        <v>#REF!</v>
      </c>
      <c r="S81" s="445"/>
      <c r="AM81" s="733"/>
      <c r="BC81" s="799" t="s">
        <v>2147</v>
      </c>
      <c r="BD81" s="791" t="s">
        <v>2174</v>
      </c>
      <c r="BE81" s="791">
        <v>5</v>
      </c>
      <c r="BF81" s="791">
        <v>0</v>
      </c>
      <c r="BG81" s="791">
        <v>490</v>
      </c>
      <c r="BH81" s="821">
        <v>9.4</v>
      </c>
      <c r="BI81" s="813">
        <v>25</v>
      </c>
    </row>
    <row r="82" spans="1:61" s="82" customFormat="1" ht="18" hidden="1" customHeight="1">
      <c r="A82" s="508" t="s">
        <v>1820</v>
      </c>
      <c r="B82" s="897" t="str">
        <f>Uebersetzung!D391</f>
        <v>Effiziente Geräte Gebäudebetrieb/Wohnnutzung</v>
      </c>
      <c r="C82" s="898"/>
      <c r="D82" s="67"/>
      <c r="E82" s="36"/>
      <c r="F82" s="585"/>
      <c r="G82" s="107"/>
      <c r="H82" s="27"/>
      <c r="I82" s="27"/>
      <c r="J82" s="27"/>
      <c r="K82" s="85"/>
      <c r="L82" s="84"/>
      <c r="M82" s="84"/>
      <c r="N82" s="445" t="s">
        <v>1659</v>
      </c>
      <c r="O82" s="449" t="e">
        <f>IF(AND(_neu1,Kategorie1&gt;3),#REF!,0)</f>
        <v>#REF!</v>
      </c>
      <c r="P82" s="367" t="e">
        <f>IF(AND(_neu2,Kategorie2&gt;3),#REF!,0)</f>
        <v>#REF!</v>
      </c>
      <c r="Q82" s="367" t="e">
        <f>IF(AND(_neu3,Kategorie3&gt;3),#REF!,0)</f>
        <v>#REF!</v>
      </c>
      <c r="R82" s="450" t="e">
        <f>IF(AND(_neu4,Kategorie4&gt;3),#REF!,0)</f>
        <v>#REF!</v>
      </c>
      <c r="S82" s="96" t="e">
        <f>SUM(O82:R82)</f>
        <v>#REF!</v>
      </c>
      <c r="T82" s="82" t="s">
        <v>160</v>
      </c>
      <c r="AM82" s="733"/>
      <c r="BC82" s="799" t="s">
        <v>2148</v>
      </c>
      <c r="BD82" s="791" t="s">
        <v>2185</v>
      </c>
      <c r="BE82" s="791">
        <v>12</v>
      </c>
      <c r="BF82" s="791">
        <v>0</v>
      </c>
      <c r="BG82" s="791">
        <v>1007</v>
      </c>
      <c r="BH82" s="821">
        <v>7.8</v>
      </c>
      <c r="BI82" s="813">
        <v>26</v>
      </c>
    </row>
    <row r="83" spans="1:61" s="82" customFormat="1" ht="18" hidden="1" customHeight="1">
      <c r="A83" s="508"/>
      <c r="B83" s="261"/>
      <c r="C83" s="12"/>
      <c r="D83" s="268"/>
      <c r="E83" s="30"/>
      <c r="F83" s="269"/>
      <c r="G83" s="269"/>
      <c r="H83" s="269"/>
      <c r="I83" s="269"/>
      <c r="J83" s="270"/>
      <c r="K83" s="271"/>
      <c r="L83" s="84"/>
      <c r="M83" s="84"/>
      <c r="N83" s="453" t="s">
        <v>1653</v>
      </c>
      <c r="O83" s="454" t="e">
        <f>AND($S$82&gt;250,O81)</f>
        <v>#REF!</v>
      </c>
      <c r="P83" s="455" t="e">
        <f>AND($S$82&gt;250,P81)</f>
        <v>#REF!</v>
      </c>
      <c r="Q83" s="455" t="e">
        <f>AND($S$82&gt;250,Q81)</f>
        <v>#REF!</v>
      </c>
      <c r="R83" s="456" t="e">
        <f>AND($S$82&gt;250,R81)</f>
        <v>#REF!</v>
      </c>
      <c r="S83" s="453" t="e">
        <f>OR(O83,P83,Q83,R83)</f>
        <v>#REF!</v>
      </c>
      <c r="T83" s="364" t="s">
        <v>1666</v>
      </c>
      <c r="AM83" s="733"/>
      <c r="BC83" s="799" t="s">
        <v>2149</v>
      </c>
      <c r="BD83" s="791" t="s">
        <v>2174</v>
      </c>
      <c r="BE83" s="791">
        <v>5</v>
      </c>
      <c r="BF83" s="791">
        <v>0</v>
      </c>
      <c r="BG83" s="791">
        <v>461</v>
      </c>
      <c r="BH83" s="821">
        <v>10.9</v>
      </c>
      <c r="BI83" s="813">
        <v>27</v>
      </c>
    </row>
    <row r="84" spans="1:61" s="82" customFormat="1" ht="18" hidden="1" customHeight="1">
      <c r="A84" s="508" t="s">
        <v>1319</v>
      </c>
      <c r="B84" s="899" t="str">
        <f>Uebersetzung!D374</f>
        <v>Übrige Nutzungen: Angaben zur Beleuchtung</v>
      </c>
      <c r="C84" s="900"/>
      <c r="D84" s="900"/>
      <c r="E84" s="131" t="str">
        <f>IF(OR(F71&lt;&gt;"",G71&lt;&gt;"",H71&lt;&gt;""),Uebersetzung!D116,"")</f>
        <v/>
      </c>
      <c r="F84" s="72"/>
      <c r="G84" s="72"/>
      <c r="H84" s="72"/>
      <c r="I84" s="72"/>
      <c r="J84" s="72"/>
      <c r="K84" s="70"/>
      <c r="L84" s="84"/>
      <c r="M84" s="84"/>
      <c r="N84" s="445" t="s">
        <v>1658</v>
      </c>
      <c r="O84" s="447" t="e">
        <f>AND(Kategorie1&gt;3,_neu1=FALSE)</f>
        <v>#REF!</v>
      </c>
      <c r="P84" s="444" t="e">
        <f>AND(Kategorie2&gt;3,_neu2=FALSE)</f>
        <v>#REF!</v>
      </c>
      <c r="Q84" s="444" t="e">
        <f>AND(Kategorie3&gt;3,_neu3=FALSE)</f>
        <v>#REF!</v>
      </c>
      <c r="R84" s="452" t="e">
        <f>AND(Kategorie4&gt;3,_neu4=FALSE)</f>
        <v>#REF!</v>
      </c>
      <c r="S84" s="445"/>
      <c r="AM84" s="733"/>
      <c r="BC84" s="799" t="s">
        <v>2150</v>
      </c>
      <c r="BD84" s="791" t="s">
        <v>2178</v>
      </c>
      <c r="BE84" s="791">
        <v>12</v>
      </c>
      <c r="BF84" s="791">
        <v>0</v>
      </c>
      <c r="BG84" s="791">
        <v>1078</v>
      </c>
      <c r="BH84" s="821">
        <v>7</v>
      </c>
      <c r="BI84" s="813">
        <v>28</v>
      </c>
    </row>
    <row r="85" spans="1:61" s="82" customFormat="1" ht="18" hidden="1" customHeight="1">
      <c r="A85" s="508"/>
      <c r="B85" s="262"/>
      <c r="C85" s="263"/>
      <c r="D85" s="264"/>
      <c r="E85" s="265"/>
      <c r="F85" s="266"/>
      <c r="G85" s="266"/>
      <c r="H85" s="266"/>
      <c r="I85" s="266"/>
      <c r="J85" s="266"/>
      <c r="K85" s="267"/>
      <c r="L85" s="84"/>
      <c r="M85" s="84"/>
      <c r="N85" s="453" t="s">
        <v>1660</v>
      </c>
      <c r="O85" s="454" t="e">
        <f>AND(O84=TRUE,F86=$N$13)</f>
        <v>#REF!</v>
      </c>
      <c r="P85" s="455" t="e">
        <f>AND(P84=TRUE,G86=$N$13)</f>
        <v>#REF!</v>
      </c>
      <c r="Q85" s="455" t="e">
        <f>AND(Q84=TRUE,H86=$N$13)</f>
        <v>#REF!</v>
      </c>
      <c r="R85" s="456" t="e">
        <f>AND(R84=TRUE,I86=$N$13)</f>
        <v>#REF!</v>
      </c>
      <c r="S85" s="453" t="e">
        <f>OR(O85,P85,Q85,R85)</f>
        <v>#REF!</v>
      </c>
      <c r="T85" s="364" t="s">
        <v>1667</v>
      </c>
      <c r="AM85" s="733"/>
      <c r="BC85" s="799" t="s">
        <v>2151</v>
      </c>
      <c r="BD85" s="791" t="s">
        <v>2176</v>
      </c>
      <c r="BE85" s="791">
        <v>1</v>
      </c>
      <c r="BF85" s="791">
        <v>0</v>
      </c>
      <c r="BG85" s="791">
        <v>610</v>
      </c>
      <c r="BH85" s="821">
        <v>9.1</v>
      </c>
      <c r="BI85" s="813">
        <v>29</v>
      </c>
    </row>
    <row r="86" spans="1:61" s="82" customFormat="1" ht="18" hidden="1" customHeight="1">
      <c r="A86" s="508" t="s">
        <v>1321</v>
      </c>
      <c r="B86" s="895" t="str">
        <f>Uebersetzung!D412</f>
        <v>Beleuchtung: Umfassende Sanierung?</v>
      </c>
      <c r="C86" s="896"/>
      <c r="D86" s="40"/>
      <c r="E86" s="40"/>
      <c r="F86" s="312"/>
      <c r="G86" s="312"/>
      <c r="H86" s="312"/>
      <c r="I86" s="312"/>
      <c r="J86" s="41"/>
      <c r="K86" s="103"/>
      <c r="L86" s="84"/>
      <c r="M86" s="84"/>
      <c r="N86" s="445" t="s">
        <v>1656</v>
      </c>
      <c r="O86" s="447" t="e">
        <f>AND(O80,O83=FALSE,O85=FALSE)</f>
        <v>#REF!</v>
      </c>
      <c r="P86" s="444" t="e">
        <f t="shared" ref="P86:R86" si="15">AND(P80,P83=FALSE,P85=FALSE)</f>
        <v>#REF!</v>
      </c>
      <c r="Q86" s="444" t="e">
        <f t="shared" si="15"/>
        <v>#REF!</v>
      </c>
      <c r="R86" s="452" t="e">
        <f t="shared" si="15"/>
        <v>#REF!</v>
      </c>
      <c r="S86" s="445"/>
      <c r="AM86" s="733"/>
      <c r="BC86" s="799" t="s">
        <v>2152</v>
      </c>
      <c r="BD86" s="791" t="s">
        <v>2178</v>
      </c>
      <c r="BE86" s="791">
        <v>11</v>
      </c>
      <c r="BF86" s="791">
        <v>8</v>
      </c>
      <c r="BG86" s="791">
        <v>1705</v>
      </c>
      <c r="BH86" s="821">
        <v>1.8</v>
      </c>
      <c r="BI86" s="813">
        <v>30</v>
      </c>
    </row>
    <row r="87" spans="1:61" s="82" customFormat="1" ht="18" hidden="1" customHeight="1">
      <c r="A87" s="508" t="s">
        <v>1322</v>
      </c>
      <c r="B87" s="845" t="str">
        <f>Uebersetzung!D377</f>
        <v xml:space="preserve">Leuchten: Minergie-Modul/Lichtausbe. &gt;100 lm/W </v>
      </c>
      <c r="C87" s="846"/>
      <c r="D87" s="40"/>
      <c r="E87" s="40"/>
      <c r="F87" s="312"/>
      <c r="G87" s="312"/>
      <c r="H87" s="312"/>
      <c r="I87" s="312"/>
      <c r="J87" s="41"/>
      <c r="K87" s="103"/>
      <c r="L87" s="84"/>
      <c r="M87" s="84"/>
      <c r="N87" s="453" t="s">
        <v>1657</v>
      </c>
      <c r="O87" s="454" t="e">
        <f>AND(O86,F89&gt;0,F90&gt;0)</f>
        <v>#REF!</v>
      </c>
      <c r="P87" s="455" t="e">
        <f>AND(P86,G89&gt;0,G90&gt;0)</f>
        <v>#REF!</v>
      </c>
      <c r="Q87" s="455" t="e">
        <f>AND(Q86,H89&gt;0,H90&gt;0)</f>
        <v>#REF!</v>
      </c>
      <c r="R87" s="456" t="e">
        <f>AND(R86,I89&gt;0,I90&gt;0)</f>
        <v>#REF!</v>
      </c>
      <c r="S87" s="453" t="e">
        <f>OR(O87,P87,Q87,R87)</f>
        <v>#REF!</v>
      </c>
      <c r="T87" s="364" t="s">
        <v>1668</v>
      </c>
      <c r="AM87" s="733"/>
      <c r="BC87" s="799" t="s">
        <v>2153</v>
      </c>
      <c r="BD87" s="791" t="s">
        <v>2178</v>
      </c>
      <c r="BE87" s="791">
        <v>12</v>
      </c>
      <c r="BF87" s="791">
        <v>2</v>
      </c>
      <c r="BG87" s="791">
        <v>1639</v>
      </c>
      <c r="BH87" s="821">
        <v>3.9</v>
      </c>
      <c r="BI87" s="813">
        <v>31</v>
      </c>
    </row>
    <row r="88" spans="1:61" s="82" customFormat="1" ht="18" hidden="1" customHeight="1">
      <c r="A88" s="508" t="s">
        <v>1326</v>
      </c>
      <c r="B88" s="890" t="str">
        <f>Uebersetzung!D378</f>
        <v>Lichtsteuerung Präsenz-/ Tageslichtsensor</v>
      </c>
      <c r="C88" s="891"/>
      <c r="D88" s="38"/>
      <c r="E88" s="34"/>
      <c r="F88" s="429"/>
      <c r="G88" s="429"/>
      <c r="H88" s="429"/>
      <c r="I88" s="429"/>
      <c r="J88" s="68"/>
      <c r="K88" s="168"/>
      <c r="L88" s="84"/>
      <c r="M88" s="84"/>
      <c r="N88" s="445" t="s">
        <v>1661</v>
      </c>
      <c r="O88" s="449" t="e">
        <f>IF(OR(O83,O85,O87),#REF!,0)</f>
        <v>#REF!</v>
      </c>
      <c r="P88" s="367" t="e">
        <f>IF(OR(P83,P85,P87),#REF!,0)</f>
        <v>#REF!</v>
      </c>
      <c r="Q88" s="367" t="e">
        <f>IF(OR(Q83,Q85,Q87),#REF!,0)</f>
        <v>#REF!</v>
      </c>
      <c r="R88" s="450" t="e">
        <f>IF(OR(R83,R85,R87),#REF!,0)</f>
        <v>#REF!</v>
      </c>
      <c r="S88" s="96" t="e">
        <f>SUM(O88:R88)</f>
        <v>#REF!</v>
      </c>
      <c r="T88" s="82" t="s">
        <v>160</v>
      </c>
      <c r="Z88" s="369"/>
      <c r="AM88" s="733"/>
      <c r="BC88" s="799" t="s">
        <v>146</v>
      </c>
      <c r="BD88" s="791" t="s">
        <v>2187</v>
      </c>
      <c r="BE88" s="791">
        <v>3</v>
      </c>
      <c r="BF88" s="791">
        <v>0</v>
      </c>
      <c r="BG88" s="791">
        <v>779</v>
      </c>
      <c r="BH88" s="821">
        <v>8.1999999999999993</v>
      </c>
      <c r="BI88" s="813">
        <v>32</v>
      </c>
    </row>
    <row r="89" spans="1:61" s="82" customFormat="1" ht="18" hidden="1" customHeight="1">
      <c r="A89" s="508" t="s">
        <v>1821</v>
      </c>
      <c r="B89" s="332"/>
      <c r="C89" s="333"/>
      <c r="D89" s="337"/>
      <c r="E89" s="34"/>
      <c r="F89" s="458"/>
      <c r="G89" s="458"/>
      <c r="H89" s="458"/>
      <c r="I89" s="458"/>
      <c r="J89" s="33"/>
      <c r="K89" s="362"/>
      <c r="L89" s="84"/>
      <c r="M89" s="84"/>
      <c r="N89" s="371" t="s">
        <v>1671</v>
      </c>
      <c r="O89" s="449" t="e">
        <f>IF(O88&gt;0,F89,0)</f>
        <v>#REF!</v>
      </c>
      <c r="P89" s="367" t="e">
        <f>IF(P88&gt;0,G89,0)</f>
        <v>#REF!</v>
      </c>
      <c r="Q89" s="367" t="e">
        <f>IF(Q88&gt;0,H89,0)</f>
        <v>#REF!</v>
      </c>
      <c r="R89" s="450" t="e">
        <f>IF(R88&gt;0,I89,0)</f>
        <v>#REF!</v>
      </c>
      <c r="S89" s="96" t="e">
        <f>IF(S88&gt;0,(O88*O89+P88*P89+Q88*Q89+R88*R89)/S88,0)</f>
        <v>#REF!</v>
      </c>
      <c r="T89" s="82" t="s">
        <v>251</v>
      </c>
      <c r="AM89" s="733"/>
      <c r="BC89" s="799" t="s">
        <v>145</v>
      </c>
      <c r="BD89" s="791" t="s">
        <v>2188</v>
      </c>
      <c r="BE89" s="791">
        <v>3</v>
      </c>
      <c r="BF89" s="791">
        <v>0</v>
      </c>
      <c r="BG89" s="791">
        <v>437</v>
      </c>
      <c r="BH89" s="821">
        <v>9.4</v>
      </c>
      <c r="BI89" s="813">
        <v>33</v>
      </c>
    </row>
    <row r="90" spans="1:61" s="82" customFormat="1" ht="18" hidden="1" customHeight="1">
      <c r="A90" s="508" t="s">
        <v>1324</v>
      </c>
      <c r="B90" s="272"/>
      <c r="C90" s="273"/>
      <c r="D90" s="337"/>
      <c r="E90" s="34"/>
      <c r="F90" s="458"/>
      <c r="G90" s="458"/>
      <c r="H90" s="458"/>
      <c r="I90" s="458"/>
      <c r="J90" s="33"/>
      <c r="K90" s="362"/>
      <c r="L90" s="84"/>
      <c r="M90" s="84"/>
      <c r="N90" s="460" t="s">
        <v>1672</v>
      </c>
      <c r="O90" s="439" t="e">
        <f>IF(O88&gt;0,F90,0)</f>
        <v>#REF!</v>
      </c>
      <c r="P90" s="440" t="e">
        <f>IF(P88&gt;0,G90,0)</f>
        <v>#REF!</v>
      </c>
      <c r="Q90" s="440" t="e">
        <f>IF(Q88&gt;0,H90,0)</f>
        <v>#REF!</v>
      </c>
      <c r="R90" s="441" t="e">
        <f>IF(R88&gt;0,I90,0)</f>
        <v>#REF!</v>
      </c>
      <c r="S90" s="97" t="e">
        <f>IF(S88&gt;0,(O88*O90+P88*P90+Q88*Q90+R88*R90)/S88,0)</f>
        <v>#REF!</v>
      </c>
      <c r="T90" s="82" t="s">
        <v>251</v>
      </c>
      <c r="AM90" s="733"/>
      <c r="BC90" s="799" t="s">
        <v>2154</v>
      </c>
      <c r="BD90" s="791" t="s">
        <v>2178</v>
      </c>
      <c r="BE90" s="791">
        <v>11</v>
      </c>
      <c r="BF90" s="791">
        <v>2</v>
      </c>
      <c r="BG90" s="791">
        <v>1298</v>
      </c>
      <c r="BH90" s="821">
        <v>5.5</v>
      </c>
      <c r="BI90" s="813">
        <v>34</v>
      </c>
    </row>
    <row r="91" spans="1:61" s="82" customFormat="1" ht="18" hidden="1" customHeight="1">
      <c r="A91" s="508" t="s">
        <v>1325</v>
      </c>
      <c r="B91" s="851"/>
      <c r="C91" s="852"/>
      <c r="D91" s="853"/>
      <c r="E91" s="854"/>
      <c r="F91" s="501"/>
      <c r="G91" s="501"/>
      <c r="H91" s="501"/>
      <c r="I91" s="501"/>
      <c r="J91" s="500"/>
      <c r="K91" s="520"/>
      <c r="L91" s="84"/>
      <c r="M91" s="84"/>
      <c r="N91" s="307" t="s">
        <v>1274</v>
      </c>
      <c r="O91" s="336" t="e">
        <f>IF(Kategorie1&lt;&gt;13,IF(OR(O83,O85,O87),O90*2,0),0)</f>
        <v>#REF!</v>
      </c>
      <c r="P91" s="336" t="e">
        <f>IF(Kategorie2&lt;&gt;13,IF(OR(P83,P85,P87),P90*2,0),0)</f>
        <v>#REF!</v>
      </c>
      <c r="Q91" s="336" t="e">
        <f>IF(Kategorie3&lt;&gt;13,IF(OR(Q83,Q85,Q87),Q90*2,0),0)</f>
        <v>#REF!</v>
      </c>
      <c r="R91" s="336" t="e">
        <f>IF(Kategorie4&lt;&gt;13,IF(OR(R83,R85,R87),R90*2,0),0)</f>
        <v>#REF!</v>
      </c>
      <c r="S91" s="308" t="e">
        <f>IF(SUM(O91:R91)&gt;0,IF(EBF&gt;0,(IF(Kategorie1&lt;&gt;13,O88*O90,0)+IF(Kategorie2&lt;&gt;13,P88*P90,0)+IF(Kategorie3&lt;&gt;13,Q88*Q90,0)+IF(Kategorie4&lt;&gt;13,R88*R90,0))*2/(IF(Kategorie1&lt;&gt;13,_EBF1,0)+IF(Kategorie2&lt;&gt;13,_EBF2,0)+IF(Kategorie3&lt;&gt;13,_EBF3,0)+IF(Kategorie4&lt;&gt;13,_EBF4,0)),0),0)</f>
        <v>#REF!</v>
      </c>
      <c r="T91" s="5" t="s">
        <v>251</v>
      </c>
      <c r="AM91" s="733"/>
      <c r="BC91" s="799" t="s">
        <v>2155</v>
      </c>
      <c r="BD91" s="791" t="s">
        <v>2182</v>
      </c>
      <c r="BE91" s="791">
        <v>10</v>
      </c>
      <c r="BF91" s="791">
        <v>0</v>
      </c>
      <c r="BG91" s="791">
        <v>482</v>
      </c>
      <c r="BH91" s="821">
        <v>10.1</v>
      </c>
      <c r="BI91" s="813">
        <v>35</v>
      </c>
    </row>
    <row r="92" spans="1:61" s="82" customFormat="1" ht="18" hidden="1" customHeight="1">
      <c r="A92" s="508"/>
      <c r="B92" s="9"/>
      <c r="C92" s="9"/>
      <c r="D92" s="268"/>
      <c r="E92" s="9"/>
      <c r="F92" s="9"/>
      <c r="G92" s="9"/>
      <c r="H92" s="9"/>
      <c r="I92" s="9"/>
      <c r="J92" s="9"/>
      <c r="K92" s="9"/>
      <c r="L92" s="84"/>
      <c r="M92" s="84"/>
      <c r="N92" s="459" t="s">
        <v>1670</v>
      </c>
      <c r="O92" s="101" t="e">
        <f>INDEX(#REF!,Kategorie1,1)/2</f>
        <v>#REF!</v>
      </c>
      <c r="P92" s="102" t="e">
        <f>INDEX(#REF!,Kategorie2,1)/2</f>
        <v>#REF!</v>
      </c>
      <c r="Q92" s="102" t="e">
        <f>INDEX(#REF!,Kategorie3,1)/2</f>
        <v>#REF!</v>
      </c>
      <c r="R92" s="438" t="e">
        <f>INDEX(#REF!,Kategorie4,1)/2</f>
        <v>#REF!</v>
      </c>
      <c r="S92" s="448"/>
      <c r="T92" s="5" t="s">
        <v>251</v>
      </c>
      <c r="AM92" s="733"/>
      <c r="BC92" s="799" t="s">
        <v>2156</v>
      </c>
      <c r="BD92" s="791" t="s">
        <v>2189</v>
      </c>
      <c r="BE92" s="791">
        <v>10</v>
      </c>
      <c r="BF92" s="791">
        <v>0</v>
      </c>
      <c r="BG92" s="791">
        <v>1345</v>
      </c>
      <c r="BH92" s="821">
        <v>3.7</v>
      </c>
      <c r="BI92" s="813">
        <v>36</v>
      </c>
    </row>
    <row r="93" spans="1:61" s="82" customFormat="1" ht="18" hidden="1" customHeight="1">
      <c r="A93" s="508"/>
      <c r="B93" s="9"/>
      <c r="C93" s="9"/>
      <c r="D93" s="268"/>
      <c r="E93" s="9"/>
      <c r="F93" s="9"/>
      <c r="G93" s="9"/>
      <c r="H93" s="9"/>
      <c r="I93" s="9"/>
      <c r="J93" s="9"/>
      <c r="K93" s="9"/>
      <c r="L93" s="84"/>
      <c r="M93" s="84"/>
      <c r="N93" s="454" t="s">
        <v>1662</v>
      </c>
      <c r="O93" s="454" t="e">
        <f>IF(Mieter1,FALSE,AND(O80,O83=FALSE,O85=FALSE,O87=FALSE))</f>
        <v>#REF!</v>
      </c>
      <c r="P93" s="455" t="e">
        <f>IF(Mieter2,FALSE,AND(P80,P83=FALSE,P85=FALSE,P87=FALSE))</f>
        <v>#REF!</v>
      </c>
      <c r="Q93" s="455" t="e">
        <f>IF(Mieter3,FALSE,AND(Q80,Q83=FALSE,Q85=FALSE,Q87=FALSE))</f>
        <v>#REF!</v>
      </c>
      <c r="R93" s="456" t="e">
        <f>IF(Mieter4,FALSE,AND(R80,R83=FALSE,R85=FALSE,R87=FALSE))</f>
        <v>#REF!</v>
      </c>
      <c r="S93" s="456"/>
      <c r="T93" s="364" t="s">
        <v>1669</v>
      </c>
      <c r="AM93" s="733"/>
      <c r="BC93" s="799" t="s">
        <v>2157</v>
      </c>
      <c r="BD93" s="791" t="s">
        <v>2190</v>
      </c>
      <c r="BE93" s="791">
        <v>6</v>
      </c>
      <c r="BF93" s="791">
        <v>0</v>
      </c>
      <c r="BG93" s="791">
        <v>460</v>
      </c>
      <c r="BH93" s="821">
        <v>10</v>
      </c>
      <c r="BI93" s="813">
        <v>37</v>
      </c>
    </row>
    <row r="94" spans="1:61" s="82" customFormat="1" ht="18" hidden="1" customHeight="1">
      <c r="A94" s="509"/>
      <c r="B94" s="871" t="str">
        <f>Uebersetzung!D463</f>
        <v>Eigenstromerzeugung</v>
      </c>
      <c r="C94" s="872"/>
      <c r="D94" s="872"/>
      <c r="E94" s="872"/>
      <c r="F94" s="873"/>
      <c r="G94" s="866" t="str">
        <f>Uebersetzung!D413</f>
        <v>spezifischer Jahresertrag [kWh/kWp]</v>
      </c>
      <c r="H94" s="867"/>
      <c r="I94" s="868" t="str">
        <f>Uebersetzung!D381</f>
        <v>Eigenverbrauchsrate [%]</v>
      </c>
      <c r="J94" s="869"/>
      <c r="K94" s="870"/>
      <c r="L94" s="84"/>
      <c r="M94" s="84"/>
      <c r="N94" s="447" t="s">
        <v>1663</v>
      </c>
      <c r="O94" s="449" t="e">
        <f>IF(O93,#REF!,0)</f>
        <v>#REF!</v>
      </c>
      <c r="P94" s="367" t="e">
        <f>IF(P93,#REF!,0)</f>
        <v>#REF!</v>
      </c>
      <c r="Q94" s="367" t="e">
        <f>IF(Q93,#REF!,0)</f>
        <v>#REF!</v>
      </c>
      <c r="R94" s="450" t="e">
        <f>IF(R93,#REF!,0)</f>
        <v>#REF!</v>
      </c>
      <c r="S94" s="96" t="e">
        <f>SUM(O94:R94)</f>
        <v>#REF!</v>
      </c>
      <c r="AM94" s="733"/>
      <c r="BC94" s="799" t="s">
        <v>2158</v>
      </c>
      <c r="BD94" s="791" t="s">
        <v>2173</v>
      </c>
      <c r="BE94" s="791">
        <v>4</v>
      </c>
      <c r="BF94" s="791">
        <v>0</v>
      </c>
      <c r="BG94" s="791">
        <v>422</v>
      </c>
      <c r="BH94" s="821">
        <v>9</v>
      </c>
      <c r="BI94" s="813">
        <v>38</v>
      </c>
    </row>
    <row r="95" spans="1:61" s="82" customFormat="1" ht="18" hidden="1" customHeight="1">
      <c r="A95" s="513"/>
      <c r="B95" s="5"/>
      <c r="C95" s="5"/>
      <c r="D95" s="5"/>
      <c r="E95" s="5"/>
      <c r="F95" s="5"/>
      <c r="G95" s="494" t="e">
        <f>#REF!</f>
        <v>#REF!</v>
      </c>
      <c r="H95" s="496" t="e">
        <f>#REF!</f>
        <v>#REF!</v>
      </c>
      <c r="I95" s="498" t="e">
        <f>G95</f>
        <v>#REF!</v>
      </c>
      <c r="J95" s="882" t="e">
        <f>H95</f>
        <v>#REF!</v>
      </c>
      <c r="K95" s="883"/>
      <c r="L95" s="84"/>
      <c r="M95" s="84"/>
      <c r="N95" s="107" t="s">
        <v>1275</v>
      </c>
      <c r="O95" s="437" t="e">
        <f>IF(O93,IF(F87=$N$13,0.8,1)*IF(F88=$N$13,0.8,1),1)</f>
        <v>#REF!</v>
      </c>
      <c r="P95" s="290" t="e">
        <f>IF(P93,IF(G87=$N$13,0.8,1)*IF(G88=$N$13,0.8,1),1)</f>
        <v>#REF!</v>
      </c>
      <c r="Q95" s="290" t="e">
        <f>IF(Q93,IF(H87=$N$13,0.8,1)*IF(H88=$N$13,0.8,1),1)</f>
        <v>#REF!</v>
      </c>
      <c r="R95" s="435" t="e">
        <f>IF(R93,IF(I87=$N$13,0.8,1)*IF(I88=$N$13,0.8,1),1)</f>
        <v>#REF!</v>
      </c>
      <c r="S95" s="85"/>
      <c r="AM95" s="733"/>
      <c r="BC95" s="799" t="s">
        <v>2159</v>
      </c>
      <c r="BD95" s="791" t="s">
        <v>2182</v>
      </c>
      <c r="BE95" s="791">
        <v>10</v>
      </c>
      <c r="BF95" s="791">
        <v>2</v>
      </c>
      <c r="BG95" s="791">
        <v>1638</v>
      </c>
      <c r="BH95" s="821">
        <v>4.3</v>
      </c>
      <c r="BI95" s="813">
        <v>39</v>
      </c>
    </row>
    <row r="96" spans="1:61" s="82" customFormat="1" ht="18" hidden="1" customHeight="1">
      <c r="A96" s="518" t="s">
        <v>1329</v>
      </c>
      <c r="B96" s="489" t="str">
        <f>Uebersetzung!D382</f>
        <v>Installierte Leistung (ohne WKK)  [kWp]</v>
      </c>
      <c r="C96" s="490"/>
      <c r="D96" s="490"/>
      <c r="E96" s="491"/>
      <c r="F96" s="434" t="s">
        <v>1286</v>
      </c>
      <c r="G96" s="495">
        <f>IF(OR(H96="",H96=0),800,H96)</f>
        <v>800</v>
      </c>
      <c r="H96" s="497"/>
      <c r="I96" s="499" t="e">
        <f>AI73</f>
        <v>#REF!</v>
      </c>
      <c r="J96" s="884"/>
      <c r="K96" s="885"/>
      <c r="L96" s="84"/>
      <c r="M96" s="84"/>
      <c r="N96" s="303" t="s">
        <v>1276</v>
      </c>
      <c r="O96" s="313" t="e">
        <f>IF(O93,O95*O92,0)*2</f>
        <v>#REF!</v>
      </c>
      <c r="P96" s="314" t="e">
        <f>IF(P93,P95*P92,0)*2</f>
        <v>#REF!</v>
      </c>
      <c r="Q96" s="314" t="e">
        <f>IF(Q93,Q95*Q92,0)*2</f>
        <v>#REF!</v>
      </c>
      <c r="R96" s="286" t="e">
        <f>IF(R93,R95*R92,0)*2</f>
        <v>#REF!</v>
      </c>
      <c r="S96" s="306" t="e">
        <f>IF(EBF&gt;0,(O92*O94*O95+P92*P94*P95+Q92*Q94*Q95+R92*R94*R95)*2/(_EBF1+_EBF2+_EBF3+_EBF4),0)</f>
        <v>#REF!</v>
      </c>
      <c r="T96" s="5" t="s">
        <v>251</v>
      </c>
      <c r="AM96" s="733"/>
      <c r="BC96" s="799" t="s">
        <v>2160</v>
      </c>
      <c r="BD96" s="791" t="s">
        <v>2191</v>
      </c>
      <c r="BE96" s="791">
        <v>3</v>
      </c>
      <c r="BF96" s="791">
        <v>0</v>
      </c>
      <c r="BG96" s="791">
        <v>425</v>
      </c>
      <c r="BH96" s="821">
        <v>9.4</v>
      </c>
      <c r="BI96" s="813">
        <v>40</v>
      </c>
    </row>
    <row r="97" spans="1:62" s="82" customFormat="1" ht="18" hidden="1" customHeight="1">
      <c r="A97" s="516" t="s">
        <v>1688</v>
      </c>
      <c r="B97" s="484" t="str">
        <f>Uebersetzung!D414</f>
        <v>spezifische, installierte Leistung pro m2 EBF:</v>
      </c>
      <c r="C97" s="485"/>
      <c r="D97" s="485"/>
      <c r="E97" s="486" t="e">
        <f>IF(EBF&gt;0,E96*1000/EBF,0)</f>
        <v>#REF!</v>
      </c>
      <c r="F97" s="487" t="s">
        <v>1287</v>
      </c>
      <c r="G97" s="503" t="str">
        <f>Uebersetzung!D475</f>
        <v>Grösse Batterie [kWh]</v>
      </c>
      <c r="H97" s="488"/>
      <c r="I97" s="502" t="str">
        <f>Uebersetzung!D476</f>
        <v>Batterie-verluste [%]:</v>
      </c>
      <c r="J97" s="880"/>
      <c r="K97" s="881"/>
      <c r="L97" s="84"/>
      <c r="M97" s="84"/>
      <c r="AM97" s="733"/>
      <c r="BC97" s="822" t="s">
        <v>2161</v>
      </c>
      <c r="BD97" s="823" t="s">
        <v>2191</v>
      </c>
      <c r="BE97" s="823">
        <v>3</v>
      </c>
      <c r="BF97" s="823">
        <v>0</v>
      </c>
      <c r="BG97" s="823">
        <v>556</v>
      </c>
      <c r="BH97" s="824">
        <v>9.4</v>
      </c>
      <c r="BI97" s="813">
        <v>41</v>
      </c>
    </row>
    <row r="98" spans="1:62" s="82" customFormat="1" ht="18" hidden="1" customHeight="1">
      <c r="A98" s="519" t="s">
        <v>1330</v>
      </c>
      <c r="B98" s="877" t="str">
        <f>Uebersetzung!D452</f>
        <v>Minimale Grösse der Eigenstromerzeugung:</v>
      </c>
      <c r="C98" s="878"/>
      <c r="D98" s="879"/>
      <c r="E98" s="492" t="e">
        <f>IF(Z75,"0",MIN(30,MAX(Z69*0.01+#REF!*EBF/G96,0)))</f>
        <v>#REF!</v>
      </c>
      <c r="F98" s="493" t="s">
        <v>1286</v>
      </c>
      <c r="G98" s="382"/>
      <c r="H98" s="383" t="str">
        <f>Uebersetzung!D386</f>
        <v xml:space="preserve">Anforderung erfüllt?    </v>
      </c>
      <c r="I98" s="860" t="e">
        <f>IF(wkk,Uebersetzung!D25,IF(EBF=0,"",IF(E98="0",Uebersetzung!$D$25,IF(ROUND(E96,2)&gt;=ROUND(E98,2),Uebersetzung!$D$25,Uebersetzung!$D$26))))</f>
        <v>#REF!</v>
      </c>
      <c r="J98" s="861"/>
      <c r="K98" s="862"/>
      <c r="L98" s="84"/>
      <c r="M98" s="84"/>
      <c r="N98" s="471" t="s">
        <v>1679</v>
      </c>
      <c r="AM98" s="733"/>
      <c r="BC98" s="596"/>
      <c r="BD98" s="825"/>
      <c r="BE98" s="826"/>
      <c r="BF98" s="826"/>
      <c r="BG98" s="826"/>
      <c r="BH98" s="826"/>
      <c r="BI98" s="827"/>
    </row>
    <row r="99" spans="1:62" s="82" customFormat="1" ht="18" hidden="1" customHeight="1">
      <c r="A99" s="513"/>
      <c r="B99" s="398" t="s">
        <v>1386</v>
      </c>
      <c r="C99" s="390"/>
      <c r="D99" s="390"/>
      <c r="E99" s="390"/>
      <c r="F99" s="397"/>
      <c r="G99" s="401" t="str">
        <f>Uebersetzung!D456</f>
        <v>Teilkennzahl
Bedarf</v>
      </c>
      <c r="H99" s="402" t="str">
        <f>Uebersetzung!D457</f>
        <v>Produktion
(gewichtet)</v>
      </c>
      <c r="I99" s="403"/>
      <c r="J99" s="403"/>
      <c r="K99" s="404"/>
      <c r="L99" s="84"/>
      <c r="M99" s="84"/>
      <c r="N99" s="282" t="s">
        <v>1241</v>
      </c>
      <c r="O99" s="87">
        <v>1</v>
      </c>
      <c r="P99" s="94">
        <v>2</v>
      </c>
      <c r="Q99" s="94">
        <v>3</v>
      </c>
      <c r="R99" s="277">
        <v>4</v>
      </c>
      <c r="S99" s="436" t="s">
        <v>1655</v>
      </c>
      <c r="AM99" s="733"/>
      <c r="AZ99" s="838" t="s">
        <v>2192</v>
      </c>
      <c r="BA99" s="839"/>
      <c r="BB99" s="828">
        <f>IF(C14="",1,VLOOKUP(C14,BC101:BJ128,8,FALSE))</f>
        <v>1</v>
      </c>
      <c r="BC99" s="785" t="s">
        <v>2</v>
      </c>
      <c r="BD99" s="786">
        <f t="shared" ref="BD99:BI99" si="16">IF(Kanton&gt;1,INDEX(BD100:BD128,Kanton,1),0)</f>
        <v>0</v>
      </c>
      <c r="BE99" s="786">
        <f t="shared" si="16"/>
        <v>0</v>
      </c>
      <c r="BF99" s="786">
        <f t="shared" si="16"/>
        <v>0</v>
      </c>
      <c r="BG99" s="786">
        <f t="shared" si="16"/>
        <v>0</v>
      </c>
      <c r="BH99" s="786">
        <f t="shared" si="16"/>
        <v>0</v>
      </c>
      <c r="BI99" s="786">
        <f t="shared" si="16"/>
        <v>0</v>
      </c>
    </row>
    <row r="100" spans="1:62" s="82" customFormat="1" ht="18" hidden="1" customHeight="1">
      <c r="A100" s="514" t="s">
        <v>1334</v>
      </c>
      <c r="B100" s="874" t="str">
        <f>Uebersetzung!D455</f>
        <v>Stromproduktion deckt Bedarf:</v>
      </c>
      <c r="C100" s="875"/>
      <c r="D100" s="875"/>
      <c r="E100" s="876"/>
      <c r="F100" s="385" t="s">
        <v>251</v>
      </c>
      <c r="G100" s="399" t="e">
        <f>S18+S21+S47+S58+S61+S70+S91+S96</f>
        <v>#REF!</v>
      </c>
      <c r="H100" s="400" t="e">
        <f>IF(EBF&gt;0,G96*E96/EBF-#REF!,0)*2</f>
        <v>#REF!</v>
      </c>
      <c r="I100" s="863" t="e">
        <f>IF(EBF=0,"",IF(H100="0",Uebersetzung!$D$25,IF(ROUND(H100,1)&gt;=ROUND(G100,1),Uebersetzung!$D$25,Uebersetzung!$D$26)))</f>
        <v>#REF!</v>
      </c>
      <c r="J100" s="864"/>
      <c r="K100" s="865"/>
      <c r="L100" s="84"/>
      <c r="M100" s="84"/>
      <c r="N100" s="423" t="s">
        <v>1680</v>
      </c>
      <c r="O100" s="472" t="e">
        <f>IF(Kategorie1&lt;&gt;13,#REF!*#REF!,0)</f>
        <v>#REF!</v>
      </c>
      <c r="P100" s="475" t="e">
        <f>IF(Kategorie2&lt;&gt;13,#REF!*#REF!,0)</f>
        <v>#REF!</v>
      </c>
      <c r="Q100" s="475" t="e">
        <f>IF(Kategorie3&lt;&gt;13,#REF!*#REF!,)</f>
        <v>#REF!</v>
      </c>
      <c r="R100" s="475" t="e">
        <f>IF(Kategorie4&lt;&gt;13,#REF!*#REF!,0)</f>
        <v>#REF!</v>
      </c>
      <c r="S100" s="476" t="e">
        <f>IF(EBF=0,0,(O100*_EBF1+P100*_EBF2+Q100*_EBF3+R100*_EBF4)/(_EBF1+_EBF2+_EBF3+_EBF4))</f>
        <v>#REF!</v>
      </c>
      <c r="AM100" s="733"/>
      <c r="BC100" s="787" t="s">
        <v>109</v>
      </c>
      <c r="BD100" s="788"/>
      <c r="BE100" s="788"/>
      <c r="BF100" s="788"/>
      <c r="BG100" s="789"/>
      <c r="BH100" s="769"/>
      <c r="BI100" s="769"/>
    </row>
    <row r="101" spans="1:62" s="82" customFormat="1" ht="18" hidden="1" customHeight="1">
      <c r="A101" s="508"/>
      <c r="B101" s="5"/>
      <c r="C101" s="5"/>
      <c r="D101" s="5"/>
      <c r="E101" s="5"/>
      <c r="F101" s="5"/>
      <c r="G101" s="5"/>
      <c r="H101" s="5"/>
      <c r="I101" s="5"/>
      <c r="J101" s="5"/>
      <c r="K101" s="5"/>
      <c r="L101" s="84"/>
      <c r="M101" s="84"/>
      <c r="N101" s="414" t="s">
        <v>1681</v>
      </c>
      <c r="O101" s="99" t="e">
        <f>IF(Kategorie1&lt;&gt;13,(#REF!+#REF!)*2,0)</f>
        <v>#REF!</v>
      </c>
      <c r="P101" s="100" t="e">
        <f>IF(Kategorie2&lt;&gt;13,(#REF!+#REF!)*2,0)</f>
        <v>#REF!</v>
      </c>
      <c r="Q101" s="100" t="e">
        <f>IF(Kategorie3&lt;&gt;13,(#REF!+#REF!)*2,0)</f>
        <v>#REF!</v>
      </c>
      <c r="R101" s="100" t="e">
        <f>IF(Kategorie4&lt;&gt;13,(#REF!+#REF!)*2,0)</f>
        <v>#REF!</v>
      </c>
      <c r="S101" s="477" t="e">
        <f>IF(EBF=0,0,(O101*_EBF1+P101*_EBF2+Q101*_EBF3+R101*_EBF4)/(_EBF1+_EBF2+_EBF3+_EBF4))</f>
        <v>#REF!</v>
      </c>
      <c r="AM101" s="733"/>
      <c r="BB101" s="82">
        <v>2</v>
      </c>
      <c r="BC101" s="790" t="str">
        <f>Uebersetzung!D118</f>
        <v>Aargau</v>
      </c>
      <c r="BD101" s="791">
        <v>7</v>
      </c>
      <c r="BE101" s="791">
        <v>5</v>
      </c>
      <c r="BF101" s="791"/>
      <c r="BG101" s="791"/>
      <c r="BH101" s="792"/>
      <c r="BI101" s="792"/>
      <c r="BJ101" s="82">
        <v>2</v>
      </c>
    </row>
    <row r="102" spans="1:62" s="82" customFormat="1" ht="18" hidden="1" customHeight="1">
      <c r="A102" s="507"/>
      <c r="B102" s="5"/>
      <c r="C102" s="5"/>
      <c r="D102" s="22"/>
      <c r="E102" s="22"/>
      <c r="F102" s="32"/>
      <c r="G102" s="32"/>
      <c r="H102" s="32"/>
      <c r="I102" s="20"/>
      <c r="J102" s="9"/>
      <c r="K102" s="8"/>
      <c r="L102" s="84"/>
      <c r="M102" s="84"/>
      <c r="N102" s="424" t="s">
        <v>1240</v>
      </c>
      <c r="O102" s="473" t="e">
        <f>O100+O101</f>
        <v>#REF!</v>
      </c>
      <c r="P102" s="474" t="e">
        <f t="shared" ref="P102:R102" si="17">P100+P101</f>
        <v>#REF!</v>
      </c>
      <c r="Q102" s="474" t="e">
        <f t="shared" si="17"/>
        <v>#REF!</v>
      </c>
      <c r="R102" s="474" t="e">
        <f t="shared" si="17"/>
        <v>#REF!</v>
      </c>
      <c r="S102" s="478" t="e">
        <f>IF(EBF=0,0,(O102*_EBF1+P102*_EBF2+Q102*_EBF3+R102*_EBF4)/(_EBF1+_EBF2+_EBF3+_EBF4))</f>
        <v>#REF!</v>
      </c>
      <c r="AM102" s="733"/>
      <c r="BB102" s="82">
        <v>3</v>
      </c>
      <c r="BC102" s="790" t="str">
        <f>Uebersetzung!D119</f>
        <v>Appenzell Innerrhoden</v>
      </c>
      <c r="BD102" s="791">
        <v>32</v>
      </c>
      <c r="BE102" s="791"/>
      <c r="BF102" s="791"/>
      <c r="BG102" s="791"/>
      <c r="BH102" s="792"/>
      <c r="BI102" s="792"/>
      <c r="BJ102" s="82">
        <v>3</v>
      </c>
    </row>
    <row r="103" spans="1:62" s="82" customFormat="1" ht="18" hidden="1" customHeight="1">
      <c r="A103" s="507"/>
      <c r="B103" s="48" t="str">
        <f>Uebersetzung!D384</f>
        <v>Weitere Anforderungen</v>
      </c>
      <c r="C103" s="90"/>
      <c r="D103" s="50" t="str">
        <f>Uebersetzung!D385</f>
        <v>Selbstdeklaration/Bestätigung</v>
      </c>
      <c r="E103" s="50"/>
      <c r="F103" s="49"/>
      <c r="G103" s="376"/>
      <c r="H103" s="86"/>
      <c r="I103" s="849" t="str">
        <f>Uebersetzung!D386</f>
        <v xml:space="preserve">Anforderung erfüllt?    </v>
      </c>
      <c r="J103" s="849"/>
      <c r="K103" s="850"/>
      <c r="L103" s="84"/>
      <c r="M103" s="84"/>
      <c r="N103" s="533" t="s">
        <v>1924</v>
      </c>
      <c r="O103" s="534" t="e">
        <f>IF(Kategorie1&lt;&gt;13,(#REF!)*2,0)</f>
        <v>#REF!</v>
      </c>
      <c r="P103" s="535" t="e">
        <f>IF(Kategorie2&lt;&gt;13,(#REF!)*2,0)</f>
        <v>#REF!</v>
      </c>
      <c r="Q103" s="535" t="e">
        <f>IF(Kategorie3&lt;&gt;13,(#REF!)*2,0)</f>
        <v>#REF!</v>
      </c>
      <c r="R103" s="535" t="e">
        <f>IF(Kategorie4&lt;&gt;13,(#REF!)*2,0)</f>
        <v>#REF!</v>
      </c>
      <c r="S103" s="466" t="e">
        <f>IF(EBF=0,0,(O103*_EBF1+P103*_EBF2+Q103*_EBF3+R103*_EBF4)/(_EBF1+_EBF2+_EBF3+_EBF4))</f>
        <v>#REF!</v>
      </c>
      <c r="AM103" s="733"/>
      <c r="BB103" s="82">
        <v>4</v>
      </c>
      <c r="BC103" s="790" t="str">
        <f>Uebersetzung!D120</f>
        <v>Appenzell Ausserrhoden</v>
      </c>
      <c r="BD103" s="791">
        <v>32</v>
      </c>
      <c r="BE103" s="791"/>
      <c r="BF103" s="791"/>
      <c r="BG103" s="791"/>
      <c r="BH103" s="792"/>
      <c r="BI103" s="792"/>
      <c r="BJ103" s="82">
        <v>4</v>
      </c>
    </row>
    <row r="104" spans="1:62" s="82" customFormat="1" ht="18" hidden="1" customHeight="1">
      <c r="A104" s="508" t="s">
        <v>1686</v>
      </c>
      <c r="B104" s="888" t="e">
        <f>IF(auswahl1&gt;0,INDEX(#REF!,2),"")</f>
        <v>#REF!</v>
      </c>
      <c r="C104" s="889"/>
      <c r="D104" s="957" t="e">
        <f>IF(auswahl1&gt;0,INDEX(#REF!,2),"")</f>
        <v>#REF!</v>
      </c>
      <c r="E104" s="958"/>
      <c r="F104" s="958"/>
      <c r="G104" s="958"/>
      <c r="H104" s="959"/>
      <c r="I104" s="525"/>
      <c r="J104" s="965" t="e">
        <f>IF(AND(B104&lt;&gt;"",I104=$N$15),$R$13,IF(OR(I104="",B104=""),,$Q$13))</f>
        <v>#REF!</v>
      </c>
      <c r="K104" s="966"/>
      <c r="L104" s="84"/>
      <c r="M104" s="84"/>
      <c r="AM104" s="733"/>
      <c r="BB104" s="82">
        <v>5</v>
      </c>
      <c r="BC104" s="790" t="str">
        <f>Uebersetzung!D121</f>
        <v>Bern</v>
      </c>
      <c r="BD104" s="791">
        <v>6</v>
      </c>
      <c r="BE104" s="791">
        <v>2</v>
      </c>
      <c r="BF104" s="791"/>
      <c r="BG104" s="791"/>
      <c r="BH104" s="792"/>
      <c r="BI104" s="792"/>
      <c r="BJ104" s="82">
        <v>5</v>
      </c>
    </row>
    <row r="105" spans="1:62" s="82" customFormat="1" ht="18" hidden="1" customHeight="1">
      <c r="A105" s="508" t="s">
        <v>200</v>
      </c>
      <c r="B105" s="858" t="e">
        <f>IF(auswahl2&gt;0,INDEX(#REF!,3),"")</f>
        <v>#REF!</v>
      </c>
      <c r="C105" s="859"/>
      <c r="D105" s="960" t="e">
        <f>IF(auswahl2&gt;0,INDEX(#REF!,3),"")</f>
        <v>#REF!</v>
      </c>
      <c r="E105" s="961"/>
      <c r="F105" s="961"/>
      <c r="G105" s="962"/>
      <c r="H105" s="526"/>
      <c r="I105" s="366"/>
      <c r="J105" s="506"/>
      <c r="K105" s="523" t="str">
        <f>"1.6 m3/hm2"</f>
        <v>1.6 m3/hm2</v>
      </c>
      <c r="L105" s="84"/>
      <c r="M105" s="84"/>
      <c r="AM105" s="733"/>
      <c r="BB105" s="82">
        <v>6</v>
      </c>
      <c r="BC105" s="790" t="str">
        <f>Uebersetzung!D122</f>
        <v>Basel Land</v>
      </c>
      <c r="BD105" s="791">
        <v>5</v>
      </c>
      <c r="BE105" s="791"/>
      <c r="BF105" s="791"/>
      <c r="BG105" s="791"/>
      <c r="BH105" s="792"/>
      <c r="BI105" s="792"/>
      <c r="BJ105" s="82">
        <v>6</v>
      </c>
    </row>
    <row r="106" spans="1:62" s="82" customFormat="1" ht="18" hidden="1" customHeight="1">
      <c r="A106" s="508" t="s">
        <v>1687</v>
      </c>
      <c r="B106" s="858" t="e">
        <f>IF(auswahl3&gt;0,INDEX(#REF!,4),"")</f>
        <v>#REF!</v>
      </c>
      <c r="C106" s="859"/>
      <c r="D106" s="960" t="e">
        <f>IF(auswahl3&gt;0,INDEX(#REF!,4),"")</f>
        <v>#REF!</v>
      </c>
      <c r="E106" s="961"/>
      <c r="F106" s="961"/>
      <c r="G106" s="961"/>
      <c r="H106" s="962"/>
      <c r="I106" s="366"/>
      <c r="J106" s="963" t="e">
        <f>IF(AND(B106&lt;&gt;"",I106=$N$15),$R$13,IF(OR(I106="",B106=""),,$Q$13))</f>
        <v>#REF!</v>
      </c>
      <c r="K106" s="964"/>
      <c r="L106" s="84"/>
      <c r="M106" s="84"/>
      <c r="AM106" s="733"/>
      <c r="BB106" s="82">
        <v>7</v>
      </c>
      <c r="BC106" s="790" t="str">
        <f>Uebersetzung!D123</f>
        <v>Basel Stadt</v>
      </c>
      <c r="BD106" s="791">
        <v>5</v>
      </c>
      <c r="BE106" s="791"/>
      <c r="BF106" s="791"/>
      <c r="BG106" s="791"/>
      <c r="BH106" s="792"/>
      <c r="BI106" s="792"/>
      <c r="BJ106" s="82">
        <v>7</v>
      </c>
    </row>
    <row r="107" spans="1:62" s="82" customFormat="1" ht="18" hidden="1" customHeight="1">
      <c r="A107" s="508" t="s">
        <v>1822</v>
      </c>
      <c r="B107" s="858" t="e">
        <f>IF(auswahl4&gt;0,INDEX(#REF!,5),"")</f>
        <v>#REF!</v>
      </c>
      <c r="C107" s="859"/>
      <c r="D107" s="960" t="e">
        <f>IF(auswahl4&gt;0,INDEX(#REF!,5),"")</f>
        <v>#REF!</v>
      </c>
      <c r="E107" s="961"/>
      <c r="F107" s="961"/>
      <c r="G107" s="962"/>
      <c r="H107" s="526"/>
      <c r="I107" s="377"/>
      <c r="J107" s="505"/>
      <c r="K107" s="524" t="e">
        <f>IF(AND(B107&lt;&gt;"",I107=$N$15),$R$13,IF(OR(I107="",B107=""),,$Q$13))</f>
        <v>#REF!</v>
      </c>
      <c r="L107" s="84"/>
      <c r="M107" s="84"/>
      <c r="AM107" s="733"/>
      <c r="BB107" s="82">
        <v>8</v>
      </c>
      <c r="BC107" s="790" t="str">
        <f>Uebersetzung!D124</f>
        <v>Fribourg</v>
      </c>
      <c r="BD107" s="791">
        <v>6</v>
      </c>
      <c r="BE107" s="791">
        <v>2</v>
      </c>
      <c r="BF107" s="791"/>
      <c r="BG107" s="791"/>
      <c r="BH107" s="792"/>
      <c r="BI107" s="792"/>
      <c r="BJ107" s="82">
        <v>8</v>
      </c>
    </row>
    <row r="108" spans="1:62" s="82" customFormat="1" ht="18" hidden="1" customHeight="1">
      <c r="A108" s="508" t="s">
        <v>1703</v>
      </c>
      <c r="B108" s="858" t="e">
        <f>IF(auswahl5&gt;0,INDEX(#REF!,6),"")</f>
        <v>#REF!</v>
      </c>
      <c r="C108" s="859"/>
      <c r="D108" s="960" t="e">
        <f>IF(auswahl5&gt;0,INDEX(#REF!,6),"")</f>
        <v>#REF!</v>
      </c>
      <c r="E108" s="961"/>
      <c r="F108" s="961"/>
      <c r="G108" s="961"/>
      <c r="H108" s="962"/>
      <c r="I108" s="366"/>
      <c r="J108" s="955"/>
      <c r="K108" s="956"/>
      <c r="L108" s="84"/>
      <c r="M108" s="84"/>
      <c r="AM108" s="733"/>
      <c r="BB108" s="82">
        <v>9</v>
      </c>
      <c r="BC108" s="790" t="str">
        <f>Uebersetzung!D125</f>
        <v>Genève</v>
      </c>
      <c r="BD108" s="791">
        <v>12</v>
      </c>
      <c r="BE108" s="791"/>
      <c r="BF108" s="791"/>
      <c r="BG108" s="791"/>
      <c r="BH108" s="792"/>
      <c r="BI108" s="792"/>
      <c r="BJ108" s="82">
        <v>9</v>
      </c>
    </row>
    <row r="109" spans="1:62" s="82" customFormat="1" ht="18" hidden="1" customHeight="1">
      <c r="A109" s="508" t="s">
        <v>1823</v>
      </c>
      <c r="B109" s="858" t="e">
        <f>IF(auswahl6&gt;0,INDEX(#REF!,7),"")</f>
        <v>#REF!</v>
      </c>
      <c r="C109" s="859"/>
      <c r="D109" s="960" t="e">
        <f>IF(auswahl6&gt;0,INDEX(#REF!,7),"")</f>
        <v>#REF!</v>
      </c>
      <c r="E109" s="961"/>
      <c r="F109" s="961"/>
      <c r="G109" s="961"/>
      <c r="H109" s="962"/>
      <c r="I109" s="378"/>
      <c r="J109" s="955"/>
      <c r="K109" s="956"/>
      <c r="L109" s="84"/>
      <c r="M109" s="84"/>
      <c r="AM109" s="733"/>
      <c r="BB109" s="82">
        <v>10</v>
      </c>
      <c r="BC109" s="790" t="str">
        <f>Uebersetzung!D126</f>
        <v>Glarus</v>
      </c>
      <c r="BD109" s="791">
        <v>13</v>
      </c>
      <c r="BE109" s="791"/>
      <c r="BF109" s="791"/>
      <c r="BG109" s="791"/>
      <c r="BH109" s="792"/>
      <c r="BI109" s="792"/>
      <c r="BJ109" s="82">
        <v>10</v>
      </c>
    </row>
    <row r="110" spans="1:62" s="82" customFormat="1" ht="18" hidden="1" customHeight="1">
      <c r="A110" s="508" t="s">
        <v>1826</v>
      </c>
      <c r="B110" s="556" t="e">
        <f>IF(auswahl7&gt;0,INDEX(#REF!,8),"")</f>
        <v>#REF!</v>
      </c>
      <c r="C110" s="557"/>
      <c r="D110" s="572" t="e">
        <f>IF(auswahl7&gt;0,INDEX(#REF!,8),"")</f>
        <v>#REF!</v>
      </c>
      <c r="E110" s="573"/>
      <c r="F110" s="573"/>
      <c r="G110" s="573"/>
      <c r="H110" s="574"/>
      <c r="I110" s="366"/>
      <c r="J110" s="559" t="e">
        <f>IF(AND(B110&lt;&gt;"",I110=$N$15),$R$13,IF(OR(I110="",B110=""),,$Q$13))</f>
        <v>#REF!</v>
      </c>
      <c r="K110" s="560"/>
      <c r="L110" s="84"/>
      <c r="M110" s="84"/>
      <c r="AM110" s="733"/>
      <c r="BB110" s="82">
        <v>11</v>
      </c>
      <c r="BC110" s="790" t="str">
        <f>Uebersetzung!D127</f>
        <v>Graubünden</v>
      </c>
      <c r="BD110" s="791">
        <v>8</v>
      </c>
      <c r="BE110" s="791">
        <v>9</v>
      </c>
      <c r="BF110" s="791">
        <v>10</v>
      </c>
      <c r="BG110" s="791">
        <v>28</v>
      </c>
      <c r="BH110" s="791">
        <v>34</v>
      </c>
      <c r="BI110" s="792">
        <v>30</v>
      </c>
      <c r="BJ110" s="82">
        <v>11</v>
      </c>
    </row>
    <row r="111" spans="1:62" s="82" customFormat="1" ht="18" hidden="1" customHeight="1">
      <c r="A111" s="508" t="s">
        <v>1824</v>
      </c>
      <c r="B111" s="556" t="e">
        <f>IF(auswahl8&gt;0,INDEX(#REF!,9),"")</f>
        <v>#REF!</v>
      </c>
      <c r="C111" s="557"/>
      <c r="D111" s="561" t="e">
        <f>IF(auswahl8&gt;0,INDEX(#REF!,9),"")</f>
        <v>#REF!</v>
      </c>
      <c r="E111" s="562"/>
      <c r="F111" s="562"/>
      <c r="G111" s="562"/>
      <c r="H111" s="563"/>
      <c r="I111" s="366"/>
      <c r="J111" s="565"/>
      <c r="K111" s="566"/>
      <c r="L111" s="84"/>
      <c r="M111" s="84"/>
      <c r="AM111" s="733"/>
      <c r="BB111" s="82">
        <v>12</v>
      </c>
      <c r="BC111" s="790" t="str">
        <f>Uebersetzung!D128</f>
        <v>Jura</v>
      </c>
      <c r="BD111" s="791">
        <v>5</v>
      </c>
      <c r="BE111" s="791">
        <v>17</v>
      </c>
      <c r="BF111" s="791"/>
      <c r="BG111" s="791"/>
      <c r="BH111" s="792"/>
      <c r="BI111" s="792"/>
      <c r="BJ111" s="82">
        <v>12</v>
      </c>
    </row>
    <row r="112" spans="1:62" s="82" customFormat="1" ht="18" hidden="1" customHeight="1">
      <c r="A112" s="508" t="s">
        <v>1825</v>
      </c>
      <c r="B112" s="558" t="e">
        <f>IF(auswahl9&gt;0,INDEX(#REF!,10),"")</f>
        <v>#REF!</v>
      </c>
      <c r="C112" s="564"/>
      <c r="D112" s="569" t="e">
        <f>IF(auswahl9&gt;0,INDEX(#REF!,10),"")</f>
        <v>#REF!</v>
      </c>
      <c r="E112" s="570"/>
      <c r="F112" s="570"/>
      <c r="G112" s="570"/>
      <c r="H112" s="571"/>
      <c r="I112" s="379"/>
      <c r="J112" s="567" t="e">
        <f>IF(AND(B112&lt;&gt;"",I112=$N$15),$R$13,IF(OR(I112="",B112=""),,$Q$13))</f>
        <v>#REF!</v>
      </c>
      <c r="K112" s="568"/>
      <c r="L112" s="84"/>
      <c r="M112" s="84"/>
      <c r="AM112" s="733"/>
      <c r="BB112" s="82">
        <v>13</v>
      </c>
      <c r="BC112" s="790" t="str">
        <f>Uebersetzung!D129</f>
        <v>Luzern</v>
      </c>
      <c r="BD112" s="791">
        <v>21</v>
      </c>
      <c r="BE112" s="791"/>
      <c r="BF112" s="791"/>
      <c r="BG112" s="791"/>
      <c r="BH112" s="792"/>
      <c r="BI112" s="792"/>
      <c r="BJ112" s="82">
        <v>13</v>
      </c>
    </row>
    <row r="113" spans="1:62" s="82" customFormat="1" ht="18" hidden="1" customHeight="1">
      <c r="A113" s="510"/>
      <c r="B113" s="363">
        <f ca="1">NOW()</f>
        <v>43468.473981944444</v>
      </c>
      <c r="C113" s="5"/>
      <c r="D113" s="5"/>
      <c r="E113" s="5"/>
      <c r="F113" s="5"/>
      <c r="G113" s="5"/>
      <c r="H113" s="5"/>
      <c r="I113" s="5"/>
      <c r="J113" s="5"/>
      <c r="K113" s="93" t="e">
        <f>#REF!&amp;" / "&amp;#REF!&amp;" / "&amp;#REF!&amp;" / "&amp;#REF!&amp;" / "&amp;#REF!&amp;" / "&amp;#REF!&amp;" / "&amp;#REF!</f>
        <v>#REF!</v>
      </c>
      <c r="L113" s="84"/>
      <c r="M113" s="84"/>
      <c r="AM113" s="733"/>
      <c r="BB113" s="82">
        <v>14</v>
      </c>
      <c r="BC113" s="790" t="str">
        <f>Uebersetzung!D130</f>
        <v>Neuenburg</v>
      </c>
      <c r="BD113" s="791">
        <v>24</v>
      </c>
      <c r="BE113" s="791">
        <v>17</v>
      </c>
      <c r="BF113" s="791"/>
      <c r="BG113" s="791"/>
      <c r="BH113" s="792"/>
      <c r="BI113" s="792"/>
      <c r="BJ113" s="82">
        <v>14</v>
      </c>
    </row>
    <row r="114" spans="1:62" s="82" customFormat="1" ht="18" hidden="1" customHeight="1">
      <c r="A114" s="511"/>
      <c r="F114" s="83"/>
      <c r="G114" s="83"/>
      <c r="H114" s="83"/>
      <c r="I114" s="83"/>
      <c r="L114" s="84"/>
      <c r="M114" s="84"/>
      <c r="AM114" s="733"/>
      <c r="BB114" s="82">
        <v>15</v>
      </c>
      <c r="BC114" s="790" t="str">
        <f>Uebersetzung!D131</f>
        <v>Nidwalden</v>
      </c>
      <c r="BD114" s="792">
        <v>21</v>
      </c>
      <c r="BE114" s="792"/>
      <c r="BF114" s="792"/>
      <c r="BG114" s="793"/>
      <c r="BH114" s="792"/>
      <c r="BI114" s="792"/>
      <c r="BJ114" s="82">
        <v>15</v>
      </c>
    </row>
    <row r="115" spans="1:62" s="82" customFormat="1" ht="18" hidden="1" customHeight="1">
      <c r="A115" s="511"/>
      <c r="F115" s="83"/>
      <c r="G115" s="83"/>
      <c r="H115" s="83"/>
      <c r="I115" s="83"/>
      <c r="L115" s="84"/>
      <c r="M115" s="84"/>
      <c r="AM115" s="733"/>
      <c r="BB115" s="82">
        <v>16</v>
      </c>
      <c r="BC115" s="790" t="str">
        <f>Uebersetzung!D132</f>
        <v>Obwalden</v>
      </c>
      <c r="BD115" s="792">
        <v>21</v>
      </c>
      <c r="BE115" s="792">
        <v>11</v>
      </c>
      <c r="BF115" s="792"/>
      <c r="BG115" s="793"/>
      <c r="BH115" s="792"/>
      <c r="BI115" s="792"/>
      <c r="BJ115" s="82">
        <v>16</v>
      </c>
    </row>
    <row r="116" spans="1:62" s="82" customFormat="1" ht="18" hidden="1" customHeight="1">
      <c r="A116" s="511"/>
      <c r="F116" s="83"/>
      <c r="G116" s="83"/>
      <c r="H116" s="83"/>
      <c r="I116" s="83"/>
      <c r="L116" s="84"/>
      <c r="M116" s="84"/>
      <c r="AM116" s="733"/>
      <c r="BB116" s="82">
        <v>17</v>
      </c>
      <c r="BC116" s="790" t="str">
        <f>Uebersetzung!D133</f>
        <v>St. Gallen</v>
      </c>
      <c r="BD116" s="792">
        <v>32</v>
      </c>
      <c r="BE116" s="792"/>
      <c r="BF116" s="792"/>
      <c r="BG116" s="793"/>
      <c r="BH116" s="792"/>
      <c r="BI116" s="792"/>
      <c r="BJ116" s="82">
        <v>17</v>
      </c>
    </row>
    <row r="117" spans="1:62" s="82" customFormat="1" ht="18" hidden="1" customHeight="1">
      <c r="A117" s="511"/>
      <c r="F117" s="83"/>
      <c r="G117" s="83"/>
      <c r="H117" s="83"/>
      <c r="I117" s="83"/>
      <c r="L117" s="84"/>
      <c r="M117" s="84"/>
      <c r="AM117" s="733"/>
      <c r="BB117" s="82">
        <v>18</v>
      </c>
      <c r="BC117" s="790" t="str">
        <f>Uebersetzung!D134</f>
        <v>Schaffhausen</v>
      </c>
      <c r="BD117" s="792">
        <v>33</v>
      </c>
      <c r="BE117" s="792"/>
      <c r="BF117" s="792"/>
      <c r="BG117" s="793"/>
      <c r="BH117" s="792"/>
      <c r="BI117" s="792"/>
      <c r="BJ117" s="82">
        <v>18</v>
      </c>
    </row>
    <row r="118" spans="1:62" s="82" customFormat="1" ht="18" hidden="1" customHeight="1">
      <c r="A118" s="511"/>
      <c r="F118" s="83"/>
      <c r="G118" s="83"/>
      <c r="H118" s="83"/>
      <c r="I118" s="83"/>
      <c r="L118" s="84"/>
      <c r="M118" s="84"/>
      <c r="AM118" s="733"/>
      <c r="BB118" s="82">
        <v>19</v>
      </c>
      <c r="BC118" s="790" t="str">
        <f>Uebersetzung!D135</f>
        <v>Solothurn</v>
      </c>
      <c r="BD118" s="792">
        <v>38</v>
      </c>
      <c r="BE118" s="792"/>
      <c r="BF118" s="792"/>
      <c r="BG118" s="793"/>
      <c r="BH118" s="792"/>
      <c r="BI118" s="792"/>
      <c r="BJ118" s="82">
        <v>19</v>
      </c>
    </row>
    <row r="119" spans="1:62" s="82" customFormat="1" ht="18" hidden="1" customHeight="1">
      <c r="A119" s="511"/>
      <c r="F119" s="83"/>
      <c r="G119" s="83"/>
      <c r="H119" s="83"/>
      <c r="I119" s="83"/>
      <c r="L119" s="84"/>
      <c r="M119" s="84"/>
      <c r="AM119" s="733"/>
      <c r="BB119" s="82">
        <v>20</v>
      </c>
      <c r="BC119" s="790" t="str">
        <f>Uebersetzung!D136</f>
        <v>Schwyz</v>
      </c>
      <c r="BD119" s="792">
        <v>21</v>
      </c>
      <c r="BE119" s="792">
        <v>41</v>
      </c>
      <c r="BF119" s="792"/>
      <c r="BG119" s="793"/>
      <c r="BH119" s="792"/>
      <c r="BI119" s="792"/>
      <c r="BJ119" s="82">
        <v>20</v>
      </c>
    </row>
    <row r="120" spans="1:62" s="82" customFormat="1" ht="18" hidden="1" customHeight="1">
      <c r="A120" s="511"/>
      <c r="F120" s="83"/>
      <c r="G120" s="83"/>
      <c r="H120" s="83"/>
      <c r="I120" s="83"/>
      <c r="L120" s="84"/>
      <c r="M120" s="84"/>
      <c r="AM120" s="733"/>
      <c r="BB120" s="82">
        <v>21</v>
      </c>
      <c r="BC120" s="790" t="str">
        <f>Uebersetzung!D137</f>
        <v>Thurgau</v>
      </c>
      <c r="BD120" s="792">
        <v>15</v>
      </c>
      <c r="BE120" s="792"/>
      <c r="BF120" s="792"/>
      <c r="BG120" s="793"/>
      <c r="BH120" s="792"/>
      <c r="BI120" s="792"/>
      <c r="BJ120" s="82">
        <v>21</v>
      </c>
    </row>
    <row r="121" spans="1:62" s="82" customFormat="1" ht="18" hidden="1" customHeight="1">
      <c r="A121" s="511"/>
      <c r="F121" s="83"/>
      <c r="G121" s="83"/>
      <c r="H121" s="83"/>
      <c r="I121" s="83"/>
      <c r="L121" s="84"/>
      <c r="M121" s="84"/>
      <c r="AM121" s="733"/>
      <c r="BB121" s="82">
        <v>22</v>
      </c>
      <c r="BC121" s="790" t="str">
        <f>Uebersetzung!D138</f>
        <v>Tessin</v>
      </c>
      <c r="BD121" s="792">
        <v>19</v>
      </c>
      <c r="BE121" s="792">
        <v>20</v>
      </c>
      <c r="BF121" s="792">
        <v>22</v>
      </c>
      <c r="BG121" s="793">
        <v>28</v>
      </c>
      <c r="BH121" s="792">
        <v>31</v>
      </c>
      <c r="BI121" s="792"/>
      <c r="BJ121" s="82">
        <v>22</v>
      </c>
    </row>
    <row r="122" spans="1:62" s="82" customFormat="1" ht="18" hidden="1" customHeight="1">
      <c r="A122" s="511"/>
      <c r="F122" s="83"/>
      <c r="G122" s="83"/>
      <c r="H122" s="83"/>
      <c r="I122" s="83"/>
      <c r="L122" s="84"/>
      <c r="M122" s="84"/>
      <c r="AM122" s="733"/>
      <c r="BB122" s="82">
        <v>23</v>
      </c>
      <c r="BC122" s="790" t="str">
        <f>Uebersetzung!D139</f>
        <v>Uri</v>
      </c>
      <c r="BD122" s="792">
        <v>4</v>
      </c>
      <c r="BE122" s="792"/>
      <c r="BF122" s="792"/>
      <c r="BG122" s="793"/>
      <c r="BH122" s="792"/>
      <c r="BI122" s="792"/>
      <c r="BJ122" s="82">
        <v>23</v>
      </c>
    </row>
    <row r="123" spans="1:62" s="82" customFormat="1" ht="18" hidden="1" customHeight="1">
      <c r="A123" s="511"/>
      <c r="F123" s="83"/>
      <c r="G123" s="83"/>
      <c r="H123" s="83"/>
      <c r="I123" s="83"/>
      <c r="L123" s="84"/>
      <c r="M123" s="84"/>
      <c r="AM123" s="733"/>
      <c r="BB123" s="82">
        <v>24</v>
      </c>
      <c r="BC123" s="790" t="str">
        <f>Uebersetzung!D140</f>
        <v>Waadt</v>
      </c>
      <c r="BD123" s="792">
        <v>25</v>
      </c>
      <c r="BE123" s="792">
        <v>17</v>
      </c>
      <c r="BF123" s="792">
        <v>2</v>
      </c>
      <c r="BG123" s="793"/>
      <c r="BH123" s="792"/>
      <c r="BI123" s="792"/>
      <c r="BJ123" s="82">
        <v>24</v>
      </c>
    </row>
    <row r="124" spans="1:62" s="82" customFormat="1" ht="18" hidden="1" customHeight="1">
      <c r="A124" s="511"/>
      <c r="F124" s="83"/>
      <c r="G124" s="83"/>
      <c r="H124" s="83"/>
      <c r="I124" s="83"/>
      <c r="L124" s="84"/>
      <c r="M124" s="84"/>
      <c r="AM124" s="733"/>
      <c r="BB124" s="82">
        <v>25</v>
      </c>
      <c r="BC124" s="790" t="str">
        <f>Uebersetzung!D141</f>
        <v>Wallis</v>
      </c>
      <c r="BD124" s="792">
        <v>35</v>
      </c>
      <c r="BE124" s="792">
        <v>39</v>
      </c>
      <c r="BF124" s="792">
        <v>23</v>
      </c>
      <c r="BG124" s="793">
        <v>14</v>
      </c>
      <c r="BH124" s="792"/>
      <c r="BI124" s="792"/>
      <c r="BJ124" s="82">
        <v>25</v>
      </c>
    </row>
    <row r="125" spans="1:62" s="82" customFormat="1" ht="18" hidden="1" customHeight="1">
      <c r="A125" s="511"/>
      <c r="F125" s="83"/>
      <c r="G125" s="83"/>
      <c r="H125" s="83"/>
      <c r="I125" s="83"/>
      <c r="L125" s="84"/>
      <c r="M125" s="84"/>
      <c r="AM125" s="733"/>
      <c r="BB125" s="82">
        <v>26</v>
      </c>
      <c r="BC125" s="790" t="str">
        <f>Uebersetzung!D142</f>
        <v>Zug</v>
      </c>
      <c r="BD125" s="792">
        <v>21</v>
      </c>
      <c r="BE125" s="792"/>
      <c r="BF125" s="792"/>
      <c r="BG125" s="793"/>
      <c r="BH125" s="792"/>
      <c r="BI125" s="792"/>
      <c r="BJ125" s="82">
        <v>26</v>
      </c>
    </row>
    <row r="126" spans="1:62" s="82" customFormat="1" ht="18" hidden="1" customHeight="1">
      <c r="A126" s="511"/>
      <c r="F126" s="83"/>
      <c r="G126" s="83"/>
      <c r="H126" s="83"/>
      <c r="I126" s="83"/>
      <c r="L126" s="84"/>
      <c r="M126" s="84"/>
      <c r="AM126" s="733"/>
      <c r="BB126" s="82">
        <v>27</v>
      </c>
      <c r="BC126" s="790" t="str">
        <f>Uebersetzung!D143</f>
        <v>Zürich</v>
      </c>
      <c r="BD126" s="792">
        <v>41</v>
      </c>
      <c r="BE126" s="792"/>
      <c r="BF126" s="792"/>
      <c r="BG126" s="793"/>
      <c r="BH126" s="792"/>
      <c r="BI126" s="792"/>
      <c r="BJ126" s="82">
        <v>27</v>
      </c>
    </row>
    <row r="127" spans="1:62" s="82" customFormat="1" ht="18" hidden="1" customHeight="1">
      <c r="A127" s="511"/>
      <c r="F127" s="83"/>
      <c r="G127" s="83"/>
      <c r="H127" s="83"/>
      <c r="I127" s="83"/>
      <c r="L127" s="84"/>
      <c r="M127" s="84"/>
      <c r="AM127" s="733"/>
      <c r="BB127" s="82">
        <v>28</v>
      </c>
      <c r="BC127" s="790" t="str">
        <f>Uebersetzung!D144</f>
        <v>Fürstentum Liechtenstein</v>
      </c>
      <c r="BD127" s="792">
        <v>37</v>
      </c>
      <c r="BE127" s="792">
        <v>11</v>
      </c>
      <c r="BF127" s="792"/>
      <c r="BG127" s="793"/>
      <c r="BH127" s="792"/>
      <c r="BI127" s="792"/>
      <c r="BJ127" s="82">
        <v>28</v>
      </c>
    </row>
    <row r="128" spans="1:62" s="82" customFormat="1" ht="18" hidden="1" customHeight="1">
      <c r="A128" s="511"/>
      <c r="F128" s="83"/>
      <c r="G128" s="83"/>
      <c r="H128" s="83"/>
      <c r="I128" s="83"/>
      <c r="L128" s="84"/>
      <c r="M128" s="84"/>
      <c r="AM128" s="733"/>
      <c r="BB128" s="82">
        <v>29</v>
      </c>
      <c r="BC128" s="790" t="str">
        <f>Uebersetzung!D145</f>
        <v>Spezial</v>
      </c>
      <c r="BD128" s="794"/>
      <c r="BE128" s="794"/>
      <c r="BF128" s="794"/>
      <c r="BG128" s="795"/>
      <c r="BH128" s="794"/>
      <c r="BI128" s="796"/>
      <c r="BJ128" s="82">
        <v>29</v>
      </c>
    </row>
    <row r="129" spans="1:61" s="82" customFormat="1" ht="18" hidden="1" customHeight="1">
      <c r="A129" s="511"/>
      <c r="F129" s="83"/>
      <c r="G129" s="83"/>
      <c r="H129" s="83"/>
      <c r="I129" s="83"/>
      <c r="L129" s="84"/>
      <c r="M129" s="84"/>
      <c r="AM129" s="733"/>
      <c r="BC129" s="797" t="str">
        <f>IF(Kanton&gt;1,INDEX(BC130:BC158,Kanton,1),"")</f>
        <v/>
      </c>
      <c r="BD129" s="797" t="str">
        <f>IF(Kanton&gt;1,INDEX(BD130:BD158,Kanton,1),"")</f>
        <v/>
      </c>
      <c r="BE129" s="797" t="str">
        <f t="shared" ref="BE129:BH129" si="18">IF(Kanton&gt;1,INDEX(BE130:BE158,Kanton,1),"")</f>
        <v/>
      </c>
      <c r="BF129" s="797" t="str">
        <f t="shared" si="18"/>
        <v/>
      </c>
      <c r="BG129" s="797" t="str">
        <f t="shared" si="18"/>
        <v/>
      </c>
      <c r="BH129" s="797" t="str">
        <f t="shared" si="18"/>
        <v/>
      </c>
      <c r="BI129" s="798"/>
    </row>
    <row r="130" spans="1:61" s="82" customFormat="1" ht="18" customHeight="1">
      <c r="A130" s="511"/>
      <c r="F130" s="83"/>
      <c r="G130" s="83"/>
      <c r="H130" s="83"/>
      <c r="I130" s="83"/>
      <c r="L130" s="84"/>
      <c r="M130" s="84"/>
      <c r="AM130" s="733"/>
      <c r="BC130" s="788"/>
      <c r="BD130" s="788"/>
      <c r="BE130" s="788"/>
      <c r="BF130" s="789"/>
      <c r="BG130" s="769"/>
      <c r="BH130" s="769"/>
      <c r="BI130" s="548"/>
    </row>
    <row r="131" spans="1:61" s="82" customFormat="1" ht="18" customHeight="1">
      <c r="A131" s="511"/>
      <c r="F131" s="83"/>
      <c r="G131" s="83"/>
      <c r="H131" s="83"/>
      <c r="I131" s="83"/>
      <c r="L131" s="84"/>
      <c r="M131" s="84"/>
      <c r="AM131" s="733"/>
      <c r="BC131" s="799" t="str">
        <f>IF(BD101&gt;0,INDEX($BC$57:$BC$97,BD101,1),"")</f>
        <v>Buchs Aarau</v>
      </c>
      <c r="BD131" s="799" t="str">
        <f>IF(BE101&gt;0,INDEX($BC$57:$BC$97,BE101,1),"")</f>
        <v>Basel-Binningen</v>
      </c>
      <c r="BE131" s="799" t="str">
        <f t="shared" ref="BE131:BH131" si="19">IF(BF101&gt;0,INDEX($BC$57:$BC$97,BF101,1),"")</f>
        <v/>
      </c>
      <c r="BF131" s="799" t="str">
        <f t="shared" si="19"/>
        <v/>
      </c>
      <c r="BG131" s="799" t="str">
        <f t="shared" si="19"/>
        <v/>
      </c>
      <c r="BH131" s="799" t="str">
        <f t="shared" si="19"/>
        <v/>
      </c>
      <c r="BI131" s="799" t="str">
        <f>BC129</f>
        <v/>
      </c>
    </row>
    <row r="132" spans="1:61" s="82" customFormat="1" ht="18" customHeight="1">
      <c r="A132" s="511"/>
      <c r="F132" s="83"/>
      <c r="G132" s="83"/>
      <c r="H132" s="83"/>
      <c r="I132" s="83"/>
      <c r="L132" s="84"/>
      <c r="M132" s="84"/>
      <c r="AM132" s="733"/>
      <c r="BC132" s="799" t="str">
        <f t="shared" ref="BC132:BH157" si="20">IF(BD102&gt;0,INDEX($BC$57:$BC$97,BD102,1),"")</f>
        <v>St. Gallen</v>
      </c>
      <c r="BD132" s="799" t="str">
        <f t="shared" si="20"/>
        <v/>
      </c>
      <c r="BE132" s="799" t="str">
        <f t="shared" si="20"/>
        <v/>
      </c>
      <c r="BF132" s="799" t="str">
        <f t="shared" si="20"/>
        <v/>
      </c>
      <c r="BG132" s="799" t="str">
        <f t="shared" si="20"/>
        <v/>
      </c>
      <c r="BH132" s="799" t="str">
        <f t="shared" si="20"/>
        <v/>
      </c>
      <c r="BI132" s="23" t="str">
        <f>BD129</f>
        <v/>
      </c>
    </row>
    <row r="133" spans="1:61" s="82" customFormat="1" ht="18" customHeight="1">
      <c r="A133" s="511"/>
      <c r="F133" s="83"/>
      <c r="G133" s="83"/>
      <c r="H133" s="83"/>
      <c r="I133" s="83"/>
      <c r="L133" s="84"/>
      <c r="M133" s="84"/>
      <c r="AM133" s="733"/>
      <c r="BC133" s="799" t="str">
        <f t="shared" si="20"/>
        <v>St. Gallen</v>
      </c>
      <c r="BD133" s="799" t="str">
        <f t="shared" si="20"/>
        <v/>
      </c>
      <c r="BE133" s="799" t="str">
        <f t="shared" si="20"/>
        <v/>
      </c>
      <c r="BF133" s="799" t="str">
        <f t="shared" si="20"/>
        <v/>
      </c>
      <c r="BG133" s="799" t="str">
        <f t="shared" si="20"/>
        <v/>
      </c>
      <c r="BH133" s="799" t="str">
        <f t="shared" si="20"/>
        <v/>
      </c>
      <c r="BI133" s="23" t="str">
        <f>BE129</f>
        <v/>
      </c>
    </row>
    <row r="134" spans="1:61" s="82" customFormat="1" ht="18" customHeight="1">
      <c r="A134" s="511"/>
      <c r="F134" s="83"/>
      <c r="G134" s="83"/>
      <c r="H134" s="83"/>
      <c r="I134" s="83"/>
      <c r="L134" s="84"/>
      <c r="M134" s="84"/>
      <c r="AM134" s="733"/>
      <c r="BC134" s="799" t="str">
        <f t="shared" si="20"/>
        <v>Bern  Liebefeld</v>
      </c>
      <c r="BD134" s="799" t="str">
        <f t="shared" si="20"/>
        <v>Adelboden</v>
      </c>
      <c r="BE134" s="799" t="str">
        <f t="shared" si="20"/>
        <v/>
      </c>
      <c r="BF134" s="799" t="str">
        <f t="shared" si="20"/>
        <v/>
      </c>
      <c r="BG134" s="799" t="str">
        <f t="shared" si="20"/>
        <v/>
      </c>
      <c r="BH134" s="799" t="str">
        <f t="shared" si="20"/>
        <v/>
      </c>
      <c r="BI134" s="23" t="str">
        <f>BF129</f>
        <v/>
      </c>
    </row>
    <row r="135" spans="1:61" s="82" customFormat="1" ht="18" customHeight="1">
      <c r="A135" s="511"/>
      <c r="F135" s="83"/>
      <c r="G135" s="83"/>
      <c r="H135" s="83"/>
      <c r="I135" s="83"/>
      <c r="L135" s="84"/>
      <c r="M135" s="84"/>
      <c r="AM135" s="733"/>
      <c r="BC135" s="799" t="str">
        <f t="shared" si="20"/>
        <v>Basel-Binningen</v>
      </c>
      <c r="BD135" s="799" t="str">
        <f t="shared" si="20"/>
        <v/>
      </c>
      <c r="BE135" s="799" t="str">
        <f t="shared" si="20"/>
        <v/>
      </c>
      <c r="BF135" s="799" t="str">
        <f t="shared" si="20"/>
        <v/>
      </c>
      <c r="BG135" s="799" t="str">
        <f t="shared" si="20"/>
        <v/>
      </c>
      <c r="BH135" s="799" t="str">
        <f t="shared" si="20"/>
        <v/>
      </c>
      <c r="BI135" s="23" t="str">
        <f>BG129</f>
        <v/>
      </c>
    </row>
    <row r="136" spans="1:61" s="82" customFormat="1" ht="18" customHeight="1">
      <c r="A136" s="511"/>
      <c r="F136" s="83"/>
      <c r="G136" s="83"/>
      <c r="H136" s="83"/>
      <c r="I136" s="83"/>
      <c r="L136" s="84"/>
      <c r="M136" s="84"/>
      <c r="AM136" s="733"/>
      <c r="BC136" s="799" t="str">
        <f t="shared" si="20"/>
        <v>Basel-Binningen</v>
      </c>
      <c r="BD136" s="799" t="str">
        <f t="shared" si="20"/>
        <v/>
      </c>
      <c r="BE136" s="799" t="str">
        <f t="shared" si="20"/>
        <v/>
      </c>
      <c r="BF136" s="799" t="str">
        <f t="shared" si="20"/>
        <v/>
      </c>
      <c r="BG136" s="799" t="str">
        <f t="shared" si="20"/>
        <v/>
      </c>
      <c r="BH136" s="799" t="str">
        <f t="shared" si="20"/>
        <v/>
      </c>
      <c r="BI136" s="23" t="str">
        <f>BH129</f>
        <v/>
      </c>
    </row>
    <row r="137" spans="1:61" s="82" customFormat="1" ht="18" customHeight="1">
      <c r="A137" s="511"/>
      <c r="F137" s="83"/>
      <c r="G137" s="83"/>
      <c r="H137" s="83"/>
      <c r="I137" s="83"/>
      <c r="L137" s="84"/>
      <c r="M137" s="84"/>
      <c r="AM137" s="733"/>
      <c r="BC137" s="799" t="str">
        <f t="shared" si="20"/>
        <v>Bern  Liebefeld</v>
      </c>
      <c r="BD137" s="799" t="str">
        <f t="shared" si="20"/>
        <v>Adelboden</v>
      </c>
      <c r="BE137" s="799" t="str">
        <f t="shared" si="20"/>
        <v/>
      </c>
      <c r="BF137" s="799" t="str">
        <f t="shared" si="20"/>
        <v/>
      </c>
      <c r="BG137" s="799" t="str">
        <f t="shared" si="20"/>
        <v/>
      </c>
      <c r="BH137" s="799" t="str">
        <f t="shared" si="20"/>
        <v/>
      </c>
      <c r="BI137" s="23"/>
    </row>
    <row r="138" spans="1:61" s="82" customFormat="1" ht="18" customHeight="1">
      <c r="A138" s="511"/>
      <c r="F138" s="83"/>
      <c r="G138" s="83"/>
      <c r="H138" s="83"/>
      <c r="I138" s="83"/>
      <c r="L138" s="84"/>
      <c r="M138" s="84"/>
      <c r="AM138" s="733"/>
      <c r="BC138" s="799" t="str">
        <f t="shared" si="20"/>
        <v>Genève</v>
      </c>
      <c r="BD138" s="799" t="str">
        <f t="shared" si="20"/>
        <v/>
      </c>
      <c r="BE138" s="799" t="str">
        <f t="shared" si="20"/>
        <v/>
      </c>
      <c r="BF138" s="799" t="str">
        <f t="shared" si="20"/>
        <v/>
      </c>
      <c r="BG138" s="799" t="str">
        <f t="shared" si="20"/>
        <v/>
      </c>
      <c r="BH138" s="799" t="str">
        <f t="shared" si="20"/>
        <v/>
      </c>
      <c r="BI138" s="23"/>
    </row>
    <row r="139" spans="1:61" s="82" customFormat="1" ht="18" customHeight="1">
      <c r="A139" s="511"/>
      <c r="F139" s="83"/>
      <c r="G139" s="83"/>
      <c r="H139" s="83"/>
      <c r="I139" s="83"/>
      <c r="L139" s="84"/>
      <c r="M139" s="84"/>
      <c r="AM139" s="733"/>
      <c r="BC139" s="799" t="str">
        <f t="shared" si="20"/>
        <v>Glarus</v>
      </c>
      <c r="BD139" s="799" t="str">
        <f t="shared" si="20"/>
        <v/>
      </c>
      <c r="BE139" s="799" t="str">
        <f t="shared" si="20"/>
        <v/>
      </c>
      <c r="BF139" s="799" t="str">
        <f t="shared" si="20"/>
        <v/>
      </c>
      <c r="BG139" s="799" t="str">
        <f t="shared" si="20"/>
        <v/>
      </c>
      <c r="BH139" s="799" t="str">
        <f t="shared" si="20"/>
        <v/>
      </c>
      <c r="BI139" s="23"/>
    </row>
    <row r="140" spans="1:61" s="82" customFormat="1" ht="18" customHeight="1">
      <c r="A140" s="511"/>
      <c r="F140" s="83"/>
      <c r="G140" s="83"/>
      <c r="H140" s="83"/>
      <c r="I140" s="83"/>
      <c r="L140" s="84"/>
      <c r="M140" s="84"/>
      <c r="AM140" s="733"/>
      <c r="BC140" s="799" t="str">
        <f t="shared" si="20"/>
        <v>Chur</v>
      </c>
      <c r="BD140" s="799" t="str">
        <f t="shared" si="20"/>
        <v>Davos</v>
      </c>
      <c r="BE140" s="799" t="str">
        <f t="shared" si="20"/>
        <v>Disentis</v>
      </c>
      <c r="BF140" s="799" t="str">
        <f t="shared" si="20"/>
        <v>Robbia</v>
      </c>
      <c r="BG140" s="799" t="str">
        <f t="shared" si="20"/>
        <v>Schuls</v>
      </c>
      <c r="BH140" s="799" t="str">
        <f t="shared" si="20"/>
        <v>Samedan</v>
      </c>
      <c r="BI140" s="23"/>
    </row>
    <row r="141" spans="1:61" s="82" customFormat="1" ht="18" customHeight="1">
      <c r="A141" s="511"/>
      <c r="F141" s="83"/>
      <c r="G141" s="83"/>
      <c r="H141" s="83"/>
      <c r="I141" s="83"/>
      <c r="L141" s="84"/>
      <c r="M141" s="84"/>
      <c r="AM141" s="733"/>
      <c r="BC141" s="799" t="str">
        <f t="shared" si="20"/>
        <v>Basel-Binningen</v>
      </c>
      <c r="BD141" s="799" t="str">
        <f t="shared" si="20"/>
        <v>La Chaux-de-Fonds</v>
      </c>
      <c r="BE141" s="799" t="str">
        <f t="shared" si="20"/>
        <v/>
      </c>
      <c r="BF141" s="799" t="str">
        <f t="shared" si="20"/>
        <v/>
      </c>
      <c r="BG141" s="799" t="str">
        <f t="shared" si="20"/>
        <v/>
      </c>
      <c r="BH141" s="799" t="str">
        <f t="shared" si="20"/>
        <v/>
      </c>
      <c r="BI141" s="23"/>
    </row>
    <row r="142" spans="1:61" s="82" customFormat="1" ht="18" customHeight="1">
      <c r="A142" s="511"/>
      <c r="F142" s="83"/>
      <c r="G142" s="83"/>
      <c r="H142" s="83"/>
      <c r="I142" s="83"/>
      <c r="L142" s="84"/>
      <c r="M142" s="84"/>
      <c r="AM142" s="733"/>
      <c r="BC142" s="799" t="str">
        <f t="shared" si="20"/>
        <v>Luzern</v>
      </c>
      <c r="BD142" s="799" t="str">
        <f t="shared" si="20"/>
        <v/>
      </c>
      <c r="BE142" s="799" t="str">
        <f t="shared" si="20"/>
        <v/>
      </c>
      <c r="BF142" s="799" t="str">
        <f t="shared" si="20"/>
        <v/>
      </c>
      <c r="BG142" s="799" t="str">
        <f t="shared" si="20"/>
        <v/>
      </c>
      <c r="BH142" s="799" t="str">
        <f t="shared" si="20"/>
        <v/>
      </c>
      <c r="BI142" s="23"/>
    </row>
    <row r="143" spans="1:61" s="82" customFormat="1" ht="18" customHeight="1">
      <c r="A143" s="511"/>
      <c r="F143" s="83"/>
      <c r="G143" s="83"/>
      <c r="H143" s="83"/>
      <c r="I143" s="83"/>
      <c r="L143" s="84"/>
      <c r="M143" s="84"/>
      <c r="AM143" s="733"/>
      <c r="BC143" s="799" t="str">
        <f t="shared" si="20"/>
        <v>Neuchâtel</v>
      </c>
      <c r="BD143" s="799" t="str">
        <f t="shared" si="20"/>
        <v>La Chaux-de-Fonds</v>
      </c>
      <c r="BE143" s="799" t="str">
        <f t="shared" si="20"/>
        <v/>
      </c>
      <c r="BF143" s="799" t="str">
        <f t="shared" si="20"/>
        <v/>
      </c>
      <c r="BG143" s="799" t="str">
        <f t="shared" si="20"/>
        <v/>
      </c>
      <c r="BH143" s="799" t="str">
        <f t="shared" si="20"/>
        <v/>
      </c>
      <c r="BI143" s="23"/>
    </row>
    <row r="144" spans="1:61" s="82" customFormat="1" ht="18" customHeight="1">
      <c r="A144" s="511"/>
      <c r="F144" s="83"/>
      <c r="G144" s="83"/>
      <c r="H144" s="83"/>
      <c r="I144" s="83"/>
      <c r="L144" s="84"/>
      <c r="M144" s="84"/>
      <c r="AM144" s="733"/>
      <c r="BC144" s="799" t="str">
        <f t="shared" si="20"/>
        <v>Luzern</v>
      </c>
      <c r="BD144" s="799" t="str">
        <f t="shared" si="20"/>
        <v/>
      </c>
      <c r="BE144" s="799" t="str">
        <f t="shared" si="20"/>
        <v/>
      </c>
      <c r="BF144" s="799" t="str">
        <f t="shared" si="20"/>
        <v/>
      </c>
      <c r="BG144" s="799" t="str">
        <f t="shared" si="20"/>
        <v/>
      </c>
      <c r="BH144" s="799" t="str">
        <f t="shared" si="20"/>
        <v/>
      </c>
      <c r="BI144" s="23"/>
    </row>
    <row r="145" spans="1:61" s="82" customFormat="1" ht="18" customHeight="1">
      <c r="A145" s="511"/>
      <c r="F145" s="83"/>
      <c r="G145" s="83"/>
      <c r="H145" s="83"/>
      <c r="I145" s="83"/>
      <c r="L145" s="84"/>
      <c r="M145" s="84"/>
      <c r="AM145" s="733"/>
      <c r="BC145" s="799" t="str">
        <f t="shared" si="20"/>
        <v>Luzern</v>
      </c>
      <c r="BD145" s="799" t="str">
        <f t="shared" si="20"/>
        <v>Engelberg</v>
      </c>
      <c r="BE145" s="799" t="str">
        <f t="shared" si="20"/>
        <v/>
      </c>
      <c r="BF145" s="799" t="str">
        <f t="shared" si="20"/>
        <v/>
      </c>
      <c r="BG145" s="799" t="str">
        <f t="shared" si="20"/>
        <v/>
      </c>
      <c r="BH145" s="799" t="str">
        <f t="shared" si="20"/>
        <v/>
      </c>
      <c r="BI145" s="23"/>
    </row>
    <row r="146" spans="1:61" s="82" customFormat="1" ht="18" customHeight="1">
      <c r="A146" s="511"/>
      <c r="F146" s="83"/>
      <c r="G146" s="83"/>
      <c r="H146" s="83"/>
      <c r="I146" s="83"/>
      <c r="L146" s="84"/>
      <c r="M146" s="84"/>
      <c r="AM146" s="733"/>
      <c r="BC146" s="799" t="str">
        <f t="shared" si="20"/>
        <v>St. Gallen</v>
      </c>
      <c r="BD146" s="799" t="str">
        <f t="shared" si="20"/>
        <v/>
      </c>
      <c r="BE146" s="799" t="str">
        <f t="shared" si="20"/>
        <v/>
      </c>
      <c r="BF146" s="799" t="str">
        <f t="shared" si="20"/>
        <v/>
      </c>
      <c r="BG146" s="799" t="str">
        <f t="shared" si="20"/>
        <v/>
      </c>
      <c r="BH146" s="799" t="str">
        <f t="shared" si="20"/>
        <v/>
      </c>
      <c r="BI146" s="23"/>
    </row>
    <row r="147" spans="1:61" s="82" customFormat="1" ht="18" customHeight="1">
      <c r="A147" s="511"/>
      <c r="F147" s="83"/>
      <c r="G147" s="83"/>
      <c r="H147" s="83"/>
      <c r="I147" s="83"/>
      <c r="L147" s="84"/>
      <c r="M147" s="84"/>
      <c r="AM147" s="733"/>
      <c r="BC147" s="799" t="str">
        <f t="shared" si="20"/>
        <v>Schaffhausen</v>
      </c>
      <c r="BD147" s="799" t="str">
        <f t="shared" si="20"/>
        <v/>
      </c>
      <c r="BE147" s="799" t="str">
        <f t="shared" si="20"/>
        <v/>
      </c>
      <c r="BF147" s="799" t="str">
        <f t="shared" si="20"/>
        <v/>
      </c>
      <c r="BG147" s="799" t="str">
        <f t="shared" si="20"/>
        <v/>
      </c>
      <c r="BH147" s="799" t="str">
        <f t="shared" si="20"/>
        <v/>
      </c>
      <c r="BI147" s="23"/>
    </row>
    <row r="148" spans="1:61" s="82" customFormat="1" ht="18" customHeight="1">
      <c r="A148" s="511"/>
      <c r="F148" s="83"/>
      <c r="G148" s="83"/>
      <c r="H148" s="83"/>
      <c r="I148" s="83"/>
      <c r="L148" s="84"/>
      <c r="M148" s="84"/>
      <c r="AM148" s="733"/>
      <c r="BC148" s="799" t="str">
        <f t="shared" si="20"/>
        <v>Wynau</v>
      </c>
      <c r="BD148" s="799" t="str">
        <f t="shared" si="20"/>
        <v/>
      </c>
      <c r="BE148" s="799" t="str">
        <f t="shared" si="20"/>
        <v/>
      </c>
      <c r="BF148" s="799" t="str">
        <f t="shared" si="20"/>
        <v/>
      </c>
      <c r="BG148" s="799" t="str">
        <f t="shared" si="20"/>
        <v/>
      </c>
      <c r="BH148" s="799" t="str">
        <f t="shared" si="20"/>
        <v/>
      </c>
      <c r="BI148" s="23"/>
    </row>
    <row r="149" spans="1:61" s="82" customFormat="1" ht="18" customHeight="1">
      <c r="A149" s="511"/>
      <c r="F149" s="83"/>
      <c r="G149" s="83"/>
      <c r="H149" s="83"/>
      <c r="I149" s="83"/>
      <c r="L149" s="84"/>
      <c r="M149" s="84"/>
      <c r="AM149" s="733"/>
      <c r="BC149" s="799" t="str">
        <f t="shared" si="20"/>
        <v>Luzern</v>
      </c>
      <c r="BD149" s="799" t="str">
        <f t="shared" si="20"/>
        <v>Zürich SMA</v>
      </c>
      <c r="BE149" s="799" t="str">
        <f t="shared" si="20"/>
        <v/>
      </c>
      <c r="BF149" s="799" t="str">
        <f t="shared" si="20"/>
        <v/>
      </c>
      <c r="BG149" s="799" t="str">
        <f t="shared" si="20"/>
        <v/>
      </c>
      <c r="BH149" s="799" t="str">
        <f t="shared" si="20"/>
        <v/>
      </c>
      <c r="BI149" s="23"/>
    </row>
    <row r="150" spans="1:61" s="82" customFormat="1" ht="18" customHeight="1">
      <c r="A150" s="511"/>
      <c r="F150" s="83"/>
      <c r="G150" s="83"/>
      <c r="H150" s="83"/>
      <c r="I150" s="83"/>
      <c r="L150" s="84"/>
      <c r="M150" s="84"/>
      <c r="AM150" s="733"/>
      <c r="BC150" s="799" t="str">
        <f t="shared" si="20"/>
        <v>Güttingen</v>
      </c>
      <c r="BD150" s="799" t="str">
        <f t="shared" si="20"/>
        <v/>
      </c>
      <c r="BE150" s="799" t="str">
        <f t="shared" si="20"/>
        <v/>
      </c>
      <c r="BF150" s="799" t="str">
        <f t="shared" si="20"/>
        <v/>
      </c>
      <c r="BG150" s="799" t="str">
        <f t="shared" si="20"/>
        <v/>
      </c>
      <c r="BH150" s="799" t="str">
        <f t="shared" si="20"/>
        <v/>
      </c>
      <c r="BI150" s="23"/>
    </row>
    <row r="151" spans="1:61" s="82" customFormat="1" ht="18" customHeight="1">
      <c r="A151" s="511"/>
      <c r="F151" s="83"/>
      <c r="G151" s="83"/>
      <c r="H151" s="83"/>
      <c r="I151" s="83"/>
      <c r="L151" s="84"/>
      <c r="M151" s="84"/>
      <c r="AM151" s="733"/>
      <c r="BC151" s="799" t="str">
        <f t="shared" si="20"/>
        <v>Locarno-Monti</v>
      </c>
      <c r="BD151" s="799" t="str">
        <f t="shared" si="20"/>
        <v>Lugano</v>
      </c>
      <c r="BE151" s="799" t="str">
        <f t="shared" si="20"/>
        <v>Magadino</v>
      </c>
      <c r="BF151" s="799" t="str">
        <f t="shared" si="20"/>
        <v>Robbia</v>
      </c>
      <c r="BG151" s="799" t="str">
        <f t="shared" si="20"/>
        <v>San Bernardino</v>
      </c>
      <c r="BH151" s="799" t="str">
        <f t="shared" si="20"/>
        <v/>
      </c>
      <c r="BI151" s="23"/>
    </row>
    <row r="152" spans="1:61" s="82" customFormat="1" ht="18" customHeight="1">
      <c r="A152" s="511"/>
      <c r="F152" s="83"/>
      <c r="G152" s="83"/>
      <c r="H152" s="83"/>
      <c r="I152" s="83"/>
      <c r="L152" s="84"/>
      <c r="M152" s="84"/>
      <c r="AM152" s="733"/>
      <c r="BC152" s="799" t="str">
        <f t="shared" si="20"/>
        <v>Altdorf</v>
      </c>
      <c r="BD152" s="799" t="str">
        <f t="shared" si="20"/>
        <v/>
      </c>
      <c r="BE152" s="799" t="str">
        <f t="shared" si="20"/>
        <v/>
      </c>
      <c r="BF152" s="799" t="str">
        <f t="shared" si="20"/>
        <v/>
      </c>
      <c r="BG152" s="799" t="str">
        <f t="shared" si="20"/>
        <v/>
      </c>
      <c r="BH152" s="799" t="str">
        <f t="shared" si="20"/>
        <v/>
      </c>
      <c r="BI152" s="23"/>
    </row>
    <row r="153" spans="1:61" s="82" customFormat="1" ht="18" customHeight="1">
      <c r="A153" s="511"/>
      <c r="F153" s="83"/>
      <c r="G153" s="83"/>
      <c r="H153" s="83"/>
      <c r="I153" s="83"/>
      <c r="L153" s="84"/>
      <c r="M153" s="84"/>
      <c r="AM153" s="733"/>
      <c r="BC153" s="799" t="str">
        <f t="shared" si="20"/>
        <v>Payerne</v>
      </c>
      <c r="BD153" s="799" t="str">
        <f t="shared" si="20"/>
        <v>La Chaux-de-Fonds</v>
      </c>
      <c r="BE153" s="799" t="str">
        <f t="shared" si="20"/>
        <v>Adelboden</v>
      </c>
      <c r="BF153" s="799" t="str">
        <f t="shared" si="20"/>
        <v/>
      </c>
      <c r="BG153" s="799" t="str">
        <f t="shared" si="20"/>
        <v/>
      </c>
      <c r="BH153" s="799" t="str">
        <f t="shared" si="20"/>
        <v/>
      </c>
      <c r="BI153" s="23"/>
    </row>
    <row r="154" spans="1:61" s="82" customFormat="1" ht="18" customHeight="1">
      <c r="A154" s="511"/>
      <c r="F154" s="83"/>
      <c r="G154" s="83"/>
      <c r="H154" s="83"/>
      <c r="I154" s="83"/>
      <c r="L154" s="84"/>
      <c r="M154" s="84"/>
      <c r="AM154" s="733"/>
      <c r="BC154" s="799" t="str">
        <f t="shared" si="20"/>
        <v>Sion</v>
      </c>
      <c r="BD154" s="799" t="str">
        <f t="shared" si="20"/>
        <v>Zermatt</v>
      </c>
      <c r="BE154" s="799" t="str">
        <f t="shared" si="20"/>
        <v>Montana</v>
      </c>
      <c r="BF154" s="799" t="str">
        <f t="shared" si="20"/>
        <v>Gr. St. Bernhard</v>
      </c>
      <c r="BG154" s="799" t="str">
        <f t="shared" si="20"/>
        <v/>
      </c>
      <c r="BH154" s="799" t="str">
        <f t="shared" si="20"/>
        <v/>
      </c>
      <c r="BI154" s="23"/>
    </row>
    <row r="155" spans="1:61" s="82" customFormat="1" ht="18" customHeight="1">
      <c r="A155" s="511"/>
      <c r="F155" s="83"/>
      <c r="G155" s="83"/>
      <c r="H155" s="83"/>
      <c r="I155" s="83"/>
      <c r="L155" s="84"/>
      <c r="M155" s="84"/>
      <c r="AM155" s="733"/>
      <c r="BC155" s="799" t="str">
        <f t="shared" si="20"/>
        <v>Luzern</v>
      </c>
      <c r="BD155" s="799" t="str">
        <f t="shared" si="20"/>
        <v/>
      </c>
      <c r="BE155" s="799" t="str">
        <f t="shared" si="20"/>
        <v/>
      </c>
      <c r="BF155" s="799" t="str">
        <f t="shared" si="20"/>
        <v/>
      </c>
      <c r="BG155" s="799" t="str">
        <f t="shared" si="20"/>
        <v/>
      </c>
      <c r="BH155" s="799" t="str">
        <f t="shared" si="20"/>
        <v/>
      </c>
      <c r="BI155" s="23"/>
    </row>
    <row r="156" spans="1:61" s="82" customFormat="1" ht="18" customHeight="1">
      <c r="A156" s="511"/>
      <c r="F156" s="83"/>
      <c r="G156" s="83"/>
      <c r="H156" s="83"/>
      <c r="I156" s="83"/>
      <c r="L156" s="84"/>
      <c r="M156" s="84"/>
      <c r="AM156" s="733"/>
      <c r="BC156" s="799" t="str">
        <f t="shared" si="20"/>
        <v>Zürich SMA</v>
      </c>
      <c r="BD156" s="799" t="str">
        <f t="shared" si="20"/>
        <v/>
      </c>
      <c r="BE156" s="799" t="str">
        <f t="shared" si="20"/>
        <v/>
      </c>
      <c r="BF156" s="799" t="str">
        <f t="shared" si="20"/>
        <v/>
      </c>
      <c r="BG156" s="799" t="str">
        <f t="shared" si="20"/>
        <v/>
      </c>
      <c r="BH156" s="799" t="str">
        <f t="shared" si="20"/>
        <v/>
      </c>
      <c r="BI156" s="23"/>
    </row>
    <row r="157" spans="1:61" s="82" customFormat="1" ht="18" customHeight="1">
      <c r="A157" s="511"/>
      <c r="F157" s="83"/>
      <c r="G157" s="83"/>
      <c r="H157" s="83"/>
      <c r="I157" s="83"/>
      <c r="L157" s="84"/>
      <c r="M157" s="84"/>
      <c r="AM157" s="733"/>
      <c r="BC157" s="799" t="str">
        <f t="shared" si="20"/>
        <v>Vaduz</v>
      </c>
      <c r="BD157" s="799" t="str">
        <f t="shared" si="20"/>
        <v>Engelberg</v>
      </c>
      <c r="BE157" s="799" t="str">
        <f t="shared" si="20"/>
        <v/>
      </c>
      <c r="BF157" s="799" t="str">
        <f t="shared" si="20"/>
        <v/>
      </c>
      <c r="BG157" s="799" t="str">
        <f t="shared" si="20"/>
        <v/>
      </c>
      <c r="BH157" s="799" t="str">
        <f t="shared" si="20"/>
        <v/>
      </c>
      <c r="BI157" s="23"/>
    </row>
    <row r="158" spans="1:61" s="82" customFormat="1" ht="18" customHeight="1">
      <c r="A158" s="511"/>
      <c r="F158" s="83"/>
      <c r="G158" s="83"/>
      <c r="H158" s="83"/>
      <c r="I158" s="83"/>
      <c r="L158" s="84"/>
      <c r="M158" s="84"/>
      <c r="AM158" s="733"/>
      <c r="BC158" s="799"/>
      <c r="BD158" s="23"/>
      <c r="BE158" s="23"/>
      <c r="BF158" s="23"/>
      <c r="BG158" s="23"/>
      <c r="BH158" s="23"/>
      <c r="BI158" s="23"/>
    </row>
    <row r="159" spans="1:61" s="82" customFormat="1" ht="18" customHeight="1">
      <c r="A159" s="511"/>
      <c r="F159" s="83"/>
      <c r="G159" s="83"/>
      <c r="H159" s="83"/>
      <c r="I159" s="83"/>
      <c r="L159" s="84"/>
      <c r="M159" s="84"/>
      <c r="AM159" s="733"/>
    </row>
    <row r="160" spans="1:61" s="82" customFormat="1" ht="18" customHeight="1">
      <c r="A160" s="511"/>
      <c r="F160" s="83"/>
      <c r="G160" s="83"/>
      <c r="H160" s="83"/>
      <c r="I160" s="83"/>
      <c r="L160" s="84"/>
      <c r="M160" s="84"/>
      <c r="AM160" s="733"/>
    </row>
    <row r="161" spans="1:39" s="82" customFormat="1" ht="18" customHeight="1">
      <c r="A161" s="511"/>
      <c r="F161" s="83"/>
      <c r="G161" s="83"/>
      <c r="H161" s="83"/>
      <c r="I161" s="83"/>
      <c r="L161" s="84"/>
      <c r="M161" s="84"/>
      <c r="AM161" s="733"/>
    </row>
    <row r="162" spans="1:39" s="82" customFormat="1" ht="18" customHeight="1">
      <c r="A162" s="511"/>
      <c r="F162" s="83"/>
      <c r="G162" s="83"/>
      <c r="H162" s="83"/>
      <c r="I162" s="83"/>
      <c r="L162" s="84"/>
      <c r="M162" s="84"/>
      <c r="AM162" s="733"/>
    </row>
    <row r="163" spans="1:39" s="82" customFormat="1" ht="18" customHeight="1">
      <c r="A163" s="511"/>
      <c r="F163" s="83"/>
      <c r="G163" s="83"/>
      <c r="H163" s="83"/>
      <c r="I163" s="83"/>
      <c r="L163" s="84"/>
      <c r="M163" s="84"/>
      <c r="AM163" s="733"/>
    </row>
    <row r="164" spans="1:39" s="82" customFormat="1" ht="18" customHeight="1">
      <c r="A164" s="511"/>
      <c r="F164" s="83"/>
      <c r="G164" s="83"/>
      <c r="H164" s="83"/>
      <c r="I164" s="83"/>
      <c r="L164" s="84"/>
      <c r="M164" s="84"/>
      <c r="AM164" s="733"/>
    </row>
    <row r="165" spans="1:39" s="82" customFormat="1" ht="18" customHeight="1">
      <c r="A165" s="511"/>
      <c r="F165" s="83"/>
      <c r="G165" s="83"/>
      <c r="H165" s="83"/>
      <c r="I165" s="83"/>
      <c r="L165" s="84"/>
      <c r="M165" s="84"/>
      <c r="AM165" s="733"/>
    </row>
    <row r="166" spans="1:39" s="82" customFormat="1" ht="18" customHeight="1">
      <c r="A166" s="511"/>
      <c r="F166" s="83"/>
      <c r="G166" s="83"/>
      <c r="H166" s="83"/>
      <c r="I166" s="83"/>
      <c r="L166" s="84"/>
      <c r="M166" s="84"/>
      <c r="AM166" s="733"/>
    </row>
    <row r="167" spans="1:39" s="82" customFormat="1" ht="18" customHeight="1">
      <c r="A167" s="511"/>
      <c r="F167" s="83"/>
      <c r="G167" s="83"/>
      <c r="H167" s="83"/>
      <c r="I167" s="83"/>
      <c r="L167" s="84"/>
      <c r="M167" s="84"/>
      <c r="AM167" s="733"/>
    </row>
    <row r="168" spans="1:39" s="82" customFormat="1" ht="18" customHeight="1">
      <c r="A168" s="511"/>
      <c r="F168" s="83"/>
      <c r="G168" s="83"/>
      <c r="H168" s="83"/>
      <c r="I168" s="83"/>
      <c r="L168" s="84"/>
      <c r="M168" s="84"/>
      <c r="AM168" s="733"/>
    </row>
    <row r="169" spans="1:39" s="82" customFormat="1" ht="18" customHeight="1">
      <c r="A169" s="511"/>
      <c r="F169" s="83"/>
      <c r="G169" s="83"/>
      <c r="H169" s="83"/>
      <c r="I169" s="83"/>
      <c r="L169" s="84"/>
      <c r="M169" s="84"/>
      <c r="AM169" s="733"/>
    </row>
    <row r="170" spans="1:39" s="82" customFormat="1" ht="18" customHeight="1">
      <c r="A170" s="511"/>
      <c r="F170" s="83"/>
      <c r="G170" s="83"/>
      <c r="H170" s="83"/>
      <c r="I170" s="83"/>
      <c r="L170" s="84"/>
      <c r="M170" s="84"/>
      <c r="AM170" s="733"/>
    </row>
    <row r="171" spans="1:39" s="82" customFormat="1" ht="18" customHeight="1">
      <c r="A171" s="511"/>
      <c r="F171" s="83"/>
      <c r="G171" s="83"/>
      <c r="H171" s="83"/>
      <c r="I171" s="83"/>
      <c r="L171" s="84"/>
      <c r="M171" s="84"/>
      <c r="AM171" s="733"/>
    </row>
    <row r="172" spans="1:39" s="82" customFormat="1" ht="18" customHeight="1">
      <c r="A172" s="511"/>
      <c r="F172" s="83"/>
      <c r="G172" s="83"/>
      <c r="H172" s="83"/>
      <c r="I172" s="83"/>
      <c r="L172" s="84"/>
      <c r="M172" s="84"/>
      <c r="AM172" s="733"/>
    </row>
    <row r="173" spans="1:39" s="82" customFormat="1" ht="18" customHeight="1">
      <c r="A173" s="511"/>
      <c r="F173" s="83"/>
      <c r="G173" s="83"/>
      <c r="H173" s="83"/>
      <c r="I173" s="83"/>
      <c r="L173" s="84"/>
      <c r="M173" s="84"/>
      <c r="AM173" s="733"/>
    </row>
    <row r="174" spans="1:39" s="82" customFormat="1" ht="18" customHeight="1">
      <c r="A174" s="511"/>
      <c r="F174" s="83"/>
      <c r="G174" s="83"/>
      <c r="H174" s="83"/>
      <c r="I174" s="83"/>
      <c r="L174" s="84"/>
      <c r="M174" s="84"/>
      <c r="AM174" s="733"/>
    </row>
    <row r="175" spans="1:39" s="82" customFormat="1" ht="18" customHeight="1">
      <c r="A175" s="511"/>
      <c r="F175" s="83"/>
      <c r="G175" s="83"/>
      <c r="H175" s="83"/>
      <c r="I175" s="83"/>
      <c r="L175" s="84"/>
      <c r="M175" s="84"/>
      <c r="AM175" s="733"/>
    </row>
    <row r="176" spans="1:39" s="82" customFormat="1" ht="18" customHeight="1">
      <c r="A176" s="511"/>
      <c r="F176" s="83"/>
      <c r="G176" s="83"/>
      <c r="H176" s="83"/>
      <c r="I176" s="83"/>
      <c r="L176" s="84"/>
      <c r="M176" s="84"/>
      <c r="AM176" s="733"/>
    </row>
    <row r="177" spans="1:39" s="82" customFormat="1" ht="18" customHeight="1">
      <c r="A177" s="511"/>
      <c r="F177" s="83"/>
      <c r="G177" s="83"/>
      <c r="H177" s="83"/>
      <c r="I177" s="83"/>
      <c r="L177" s="84"/>
      <c r="M177" s="84"/>
      <c r="AM177" s="733"/>
    </row>
    <row r="178" spans="1:39" s="82" customFormat="1" ht="18" customHeight="1">
      <c r="A178" s="511"/>
      <c r="F178" s="83"/>
      <c r="G178" s="83"/>
      <c r="H178" s="83"/>
      <c r="I178" s="83"/>
      <c r="L178" s="84"/>
      <c r="M178" s="84"/>
      <c r="AM178" s="733"/>
    </row>
    <row r="179" spans="1:39" s="82" customFormat="1" ht="18" customHeight="1">
      <c r="A179" s="511"/>
      <c r="F179" s="83"/>
      <c r="G179" s="83"/>
      <c r="H179" s="83"/>
      <c r="I179" s="83"/>
      <c r="L179" s="84"/>
      <c r="M179" s="84"/>
      <c r="AM179" s="733"/>
    </row>
    <row r="180" spans="1:39" s="82" customFormat="1" ht="18" customHeight="1">
      <c r="A180" s="511"/>
      <c r="F180" s="83"/>
      <c r="G180" s="83"/>
      <c r="H180" s="83"/>
      <c r="I180" s="83"/>
      <c r="L180" s="84"/>
      <c r="M180" s="84"/>
      <c r="AM180" s="733"/>
    </row>
    <row r="181" spans="1:39" s="82" customFormat="1" ht="18" customHeight="1">
      <c r="A181" s="511"/>
      <c r="F181" s="83"/>
      <c r="G181" s="83"/>
      <c r="H181" s="83"/>
      <c r="I181" s="83"/>
      <c r="L181" s="84"/>
      <c r="M181" s="84"/>
      <c r="AM181" s="733"/>
    </row>
    <row r="182" spans="1:39" s="82" customFormat="1" ht="18" customHeight="1">
      <c r="A182" s="511"/>
      <c r="F182" s="83"/>
      <c r="G182" s="83"/>
      <c r="H182" s="83"/>
      <c r="I182" s="83"/>
      <c r="L182" s="84"/>
      <c r="M182" s="84"/>
      <c r="AM182" s="733"/>
    </row>
    <row r="183" spans="1:39" s="82" customFormat="1" ht="18" customHeight="1">
      <c r="A183" s="511"/>
      <c r="F183" s="83"/>
      <c r="G183" s="83"/>
      <c r="H183" s="83"/>
      <c r="I183" s="83"/>
      <c r="L183" s="84"/>
      <c r="M183" s="84"/>
      <c r="AM183" s="733"/>
    </row>
    <row r="184" spans="1:39" s="82" customFormat="1" ht="18" customHeight="1">
      <c r="A184" s="511"/>
      <c r="F184" s="83"/>
      <c r="G184" s="83"/>
      <c r="H184" s="83"/>
      <c r="I184" s="83"/>
      <c r="L184" s="84"/>
      <c r="M184" s="84"/>
      <c r="AM184" s="733"/>
    </row>
    <row r="185" spans="1:39" s="82" customFormat="1" ht="18" customHeight="1">
      <c r="A185" s="511"/>
      <c r="F185" s="83"/>
      <c r="G185" s="83"/>
      <c r="H185" s="83"/>
      <c r="I185" s="83"/>
      <c r="L185" s="84"/>
      <c r="M185" s="84"/>
      <c r="AM185" s="733"/>
    </row>
    <row r="186" spans="1:39" s="82" customFormat="1" ht="18" customHeight="1">
      <c r="A186" s="511"/>
      <c r="F186" s="83"/>
      <c r="G186" s="83"/>
      <c r="H186" s="83"/>
      <c r="I186" s="83"/>
      <c r="L186" s="84"/>
      <c r="M186" s="84"/>
      <c r="AM186" s="733"/>
    </row>
    <row r="187" spans="1:39" s="82" customFormat="1" ht="18" customHeight="1">
      <c r="A187" s="511"/>
      <c r="F187" s="83"/>
      <c r="G187" s="83"/>
      <c r="H187" s="83"/>
      <c r="I187" s="83"/>
      <c r="L187" s="84"/>
      <c r="M187" s="84"/>
      <c r="AM187" s="733"/>
    </row>
    <row r="188" spans="1:39" s="82" customFormat="1" ht="18" customHeight="1">
      <c r="A188" s="511"/>
      <c r="F188" s="83"/>
      <c r="G188" s="83"/>
      <c r="H188" s="83"/>
      <c r="I188" s="83"/>
      <c r="L188" s="84"/>
      <c r="M188" s="84"/>
      <c r="AM188" s="733"/>
    </row>
    <row r="189" spans="1:39" s="82" customFormat="1" ht="18" customHeight="1">
      <c r="A189" s="511"/>
      <c r="F189" s="83"/>
      <c r="G189" s="83"/>
      <c r="H189" s="83"/>
      <c r="I189" s="83"/>
      <c r="L189" s="84"/>
      <c r="M189" s="84"/>
      <c r="AM189" s="733"/>
    </row>
    <row r="190" spans="1:39" s="82" customFormat="1" ht="18" customHeight="1">
      <c r="A190" s="511"/>
      <c r="F190" s="83"/>
      <c r="G190" s="83"/>
      <c r="H190" s="83"/>
      <c r="I190" s="83"/>
      <c r="L190" s="84"/>
      <c r="M190" s="84"/>
      <c r="AM190" s="733"/>
    </row>
    <row r="191" spans="1:39" s="82" customFormat="1" ht="18" customHeight="1">
      <c r="A191" s="511"/>
      <c r="F191" s="83"/>
      <c r="G191" s="83"/>
      <c r="H191" s="83"/>
      <c r="I191" s="83"/>
      <c r="L191" s="84"/>
      <c r="M191" s="84"/>
      <c r="AM191" s="733"/>
    </row>
    <row r="192" spans="1:39" s="82" customFormat="1" ht="18" customHeight="1">
      <c r="A192" s="511"/>
      <c r="F192" s="83"/>
      <c r="G192" s="83"/>
      <c r="H192" s="83"/>
      <c r="I192" s="83"/>
      <c r="L192" s="84"/>
      <c r="M192" s="84"/>
      <c r="AM192" s="733"/>
    </row>
    <row r="193" spans="1:39" s="82" customFormat="1" ht="18" customHeight="1">
      <c r="A193" s="511"/>
      <c r="F193" s="83"/>
      <c r="G193" s="83"/>
      <c r="H193" s="83"/>
      <c r="I193" s="83"/>
      <c r="L193" s="84"/>
      <c r="M193" s="84"/>
      <c r="AM193" s="733"/>
    </row>
    <row r="194" spans="1:39" s="82" customFormat="1" ht="18" customHeight="1">
      <c r="A194" s="511"/>
      <c r="F194" s="83"/>
      <c r="G194" s="83"/>
      <c r="H194" s="83"/>
      <c r="I194" s="83"/>
      <c r="L194" s="84"/>
      <c r="M194" s="84"/>
      <c r="AM194" s="733"/>
    </row>
    <row r="195" spans="1:39" s="82" customFormat="1" ht="18" customHeight="1">
      <c r="A195" s="511"/>
      <c r="F195" s="83"/>
      <c r="G195" s="83"/>
      <c r="H195" s="83"/>
      <c r="I195" s="83"/>
      <c r="L195" s="84"/>
      <c r="M195" s="84"/>
      <c r="AM195" s="733"/>
    </row>
    <row r="196" spans="1:39" s="82" customFormat="1" ht="18" customHeight="1">
      <c r="A196" s="511"/>
      <c r="F196" s="83"/>
      <c r="G196" s="83"/>
      <c r="H196" s="83"/>
      <c r="I196" s="83"/>
      <c r="L196" s="84"/>
      <c r="M196" s="84"/>
      <c r="AM196" s="733"/>
    </row>
    <row r="197" spans="1:39" s="82" customFormat="1" ht="18" customHeight="1">
      <c r="A197" s="511"/>
      <c r="F197" s="83"/>
      <c r="G197" s="83"/>
      <c r="H197" s="83"/>
      <c r="I197" s="83"/>
      <c r="L197" s="84"/>
      <c r="M197" s="84"/>
      <c r="AM197" s="733"/>
    </row>
    <row r="198" spans="1:39" s="82" customFormat="1" ht="18" customHeight="1">
      <c r="A198" s="511"/>
      <c r="F198" s="83"/>
      <c r="G198" s="83"/>
      <c r="H198" s="83"/>
      <c r="I198" s="83"/>
      <c r="L198" s="84"/>
      <c r="M198" s="84"/>
      <c r="AM198" s="733"/>
    </row>
    <row r="199" spans="1:39" s="82" customFormat="1" ht="18" customHeight="1">
      <c r="A199" s="511"/>
      <c r="F199" s="83"/>
      <c r="G199" s="83"/>
      <c r="H199" s="83"/>
      <c r="I199" s="83"/>
      <c r="L199" s="84"/>
      <c r="M199" s="84"/>
      <c r="AM199" s="733"/>
    </row>
    <row r="200" spans="1:39" s="82" customFormat="1" ht="18" customHeight="1">
      <c r="A200" s="511"/>
      <c r="F200" s="83"/>
      <c r="G200" s="83"/>
      <c r="H200" s="83"/>
      <c r="I200" s="83"/>
      <c r="L200" s="84"/>
      <c r="M200" s="84"/>
      <c r="AM200" s="733"/>
    </row>
    <row r="201" spans="1:39" s="82" customFormat="1" ht="18" customHeight="1">
      <c r="A201" s="511"/>
      <c r="F201" s="83"/>
      <c r="G201" s="83"/>
      <c r="H201" s="83"/>
      <c r="I201" s="83"/>
      <c r="L201" s="84"/>
      <c r="M201" s="84"/>
      <c r="AM201" s="733"/>
    </row>
    <row r="202" spans="1:39" s="82" customFormat="1" ht="18" customHeight="1">
      <c r="A202" s="511"/>
      <c r="F202" s="83"/>
      <c r="G202" s="83"/>
      <c r="H202" s="83"/>
      <c r="I202" s="83"/>
      <c r="L202" s="84"/>
      <c r="M202" s="84"/>
      <c r="AM202" s="733"/>
    </row>
    <row r="203" spans="1:39" s="82" customFormat="1" ht="18" customHeight="1">
      <c r="A203" s="511"/>
      <c r="F203" s="83"/>
      <c r="G203" s="83"/>
      <c r="H203" s="83"/>
      <c r="I203" s="83"/>
      <c r="L203" s="84"/>
      <c r="M203" s="84"/>
      <c r="AM203" s="733"/>
    </row>
    <row r="204" spans="1:39" s="82" customFormat="1" ht="18" customHeight="1">
      <c r="A204" s="511"/>
      <c r="F204" s="83"/>
      <c r="G204" s="83"/>
      <c r="H204" s="83"/>
      <c r="I204" s="83"/>
      <c r="L204" s="84"/>
      <c r="M204" s="84"/>
      <c r="AM204" s="733"/>
    </row>
    <row r="205" spans="1:39" s="82" customFormat="1" ht="18" customHeight="1">
      <c r="A205" s="511"/>
      <c r="F205" s="83"/>
      <c r="G205" s="83"/>
      <c r="H205" s="83"/>
      <c r="I205" s="83"/>
      <c r="L205" s="84"/>
      <c r="M205" s="84"/>
      <c r="AM205" s="733"/>
    </row>
    <row r="206" spans="1:39" s="82" customFormat="1" ht="18" customHeight="1">
      <c r="A206" s="511"/>
      <c r="F206" s="83"/>
      <c r="G206" s="83"/>
      <c r="H206" s="83"/>
      <c r="I206" s="83"/>
      <c r="L206" s="84"/>
      <c r="M206" s="84"/>
      <c r="AM206" s="733"/>
    </row>
    <row r="207" spans="1:39" s="82" customFormat="1" ht="18" customHeight="1">
      <c r="A207" s="511"/>
      <c r="F207" s="83"/>
      <c r="G207" s="83"/>
      <c r="H207" s="83"/>
      <c r="I207" s="83"/>
      <c r="L207" s="84"/>
      <c r="M207" s="84"/>
      <c r="AM207" s="733"/>
    </row>
    <row r="208" spans="1:39" s="82" customFormat="1" ht="18" customHeight="1">
      <c r="A208" s="511"/>
      <c r="F208" s="83"/>
      <c r="G208" s="83"/>
      <c r="H208" s="83"/>
      <c r="I208" s="83"/>
      <c r="L208" s="84"/>
      <c r="M208" s="84"/>
      <c r="AM208" s="733"/>
    </row>
    <row r="209" spans="1:39" s="82" customFormat="1" ht="18" customHeight="1">
      <c r="A209" s="511"/>
      <c r="F209" s="83"/>
      <c r="G209" s="83"/>
      <c r="H209" s="83"/>
      <c r="I209" s="83"/>
      <c r="L209" s="84"/>
      <c r="M209" s="84"/>
      <c r="AM209" s="733"/>
    </row>
    <row r="210" spans="1:39" s="82" customFormat="1" ht="18" customHeight="1">
      <c r="A210" s="511"/>
      <c r="F210" s="83"/>
      <c r="G210" s="83"/>
      <c r="H210" s="83"/>
      <c r="I210" s="83"/>
      <c r="L210" s="84"/>
      <c r="M210" s="84"/>
      <c r="AM210" s="733"/>
    </row>
    <row r="211" spans="1:39" s="82" customFormat="1" ht="18" customHeight="1">
      <c r="A211" s="511"/>
      <c r="F211" s="83"/>
      <c r="G211" s="83"/>
      <c r="H211" s="83"/>
      <c r="I211" s="83"/>
      <c r="L211" s="84"/>
      <c r="M211" s="84"/>
      <c r="AM211" s="733"/>
    </row>
    <row r="212" spans="1:39" s="82" customFormat="1" ht="18" customHeight="1">
      <c r="A212" s="511"/>
      <c r="F212" s="83"/>
      <c r="G212" s="83"/>
      <c r="H212" s="83"/>
      <c r="I212" s="83"/>
      <c r="L212" s="84"/>
      <c r="M212" s="84"/>
      <c r="AM212" s="733"/>
    </row>
    <row r="213" spans="1:39" s="82" customFormat="1" ht="18" customHeight="1">
      <c r="A213" s="511"/>
      <c r="F213" s="83"/>
      <c r="G213" s="83"/>
      <c r="H213" s="83"/>
      <c r="I213" s="83"/>
      <c r="L213" s="84"/>
      <c r="M213" s="84"/>
      <c r="AM213" s="733"/>
    </row>
    <row r="214" spans="1:39" s="82" customFormat="1" ht="18" customHeight="1">
      <c r="A214" s="511"/>
      <c r="F214" s="83"/>
      <c r="G214" s="83"/>
      <c r="H214" s="83"/>
      <c r="I214" s="83"/>
      <c r="L214" s="84"/>
      <c r="M214" s="84"/>
      <c r="AM214" s="733"/>
    </row>
    <row r="215" spans="1:39" s="82" customFormat="1" ht="18" customHeight="1">
      <c r="A215" s="511"/>
      <c r="F215" s="83"/>
      <c r="G215" s="83"/>
      <c r="H215" s="83"/>
      <c r="I215" s="83"/>
      <c r="L215" s="84"/>
      <c r="M215" s="84"/>
      <c r="AM215" s="733"/>
    </row>
    <row r="216" spans="1:39" s="82" customFormat="1" ht="18" customHeight="1">
      <c r="A216" s="511"/>
      <c r="F216" s="83"/>
      <c r="G216" s="83"/>
      <c r="H216" s="83"/>
      <c r="I216" s="83"/>
      <c r="L216" s="84"/>
      <c r="M216" s="84"/>
      <c r="AM216" s="733"/>
    </row>
    <row r="217" spans="1:39" s="82" customFormat="1" ht="18" customHeight="1">
      <c r="A217" s="511"/>
      <c r="F217" s="83"/>
      <c r="G217" s="83"/>
      <c r="H217" s="83"/>
      <c r="I217" s="83"/>
      <c r="L217" s="84"/>
      <c r="M217" s="84"/>
      <c r="AM217" s="733"/>
    </row>
    <row r="218" spans="1:39" s="82" customFormat="1" ht="18" customHeight="1">
      <c r="A218" s="511"/>
      <c r="F218" s="83"/>
      <c r="G218" s="83"/>
      <c r="H218" s="83"/>
      <c r="I218" s="83"/>
      <c r="L218" s="84"/>
      <c r="M218" s="84"/>
      <c r="AM218" s="733"/>
    </row>
    <row r="219" spans="1:39" s="82" customFormat="1" ht="18" customHeight="1">
      <c r="A219" s="511"/>
      <c r="F219" s="83"/>
      <c r="G219" s="83"/>
      <c r="H219" s="83"/>
      <c r="I219" s="83"/>
      <c r="L219" s="84"/>
      <c r="M219" s="84"/>
      <c r="AM219" s="733"/>
    </row>
    <row r="220" spans="1:39" s="82" customFormat="1" ht="18" customHeight="1">
      <c r="A220" s="511"/>
      <c r="F220" s="83"/>
      <c r="G220" s="83"/>
      <c r="H220" s="83"/>
      <c r="I220" s="83"/>
      <c r="L220" s="84"/>
      <c r="M220" s="84"/>
      <c r="AM220" s="733"/>
    </row>
    <row r="221" spans="1:39" s="82" customFormat="1" ht="18" customHeight="1">
      <c r="A221" s="511"/>
      <c r="F221" s="83"/>
      <c r="G221" s="83"/>
      <c r="H221" s="83"/>
      <c r="I221" s="83"/>
      <c r="L221" s="84"/>
      <c r="M221" s="84"/>
      <c r="AM221" s="733"/>
    </row>
    <row r="222" spans="1:39" s="82" customFormat="1" ht="18" customHeight="1">
      <c r="A222" s="511"/>
      <c r="F222" s="83"/>
      <c r="G222" s="83"/>
      <c r="H222" s="83"/>
      <c r="I222" s="83"/>
      <c r="L222" s="84"/>
      <c r="M222" s="84"/>
      <c r="AM222" s="733"/>
    </row>
    <row r="223" spans="1:39" s="82" customFormat="1" ht="18" customHeight="1">
      <c r="A223" s="511"/>
      <c r="F223" s="83"/>
      <c r="G223" s="83"/>
      <c r="H223" s="83"/>
      <c r="I223" s="83"/>
      <c r="L223" s="84"/>
      <c r="M223" s="84"/>
      <c r="AM223" s="733"/>
    </row>
    <row r="224" spans="1:39" s="82" customFormat="1" ht="18" customHeight="1">
      <c r="A224" s="511"/>
      <c r="F224" s="83"/>
      <c r="G224" s="83"/>
      <c r="H224" s="83"/>
      <c r="I224" s="83"/>
      <c r="L224" s="84"/>
      <c r="M224" s="84"/>
      <c r="AM224" s="733"/>
    </row>
    <row r="225" spans="1:39" s="82" customFormat="1" ht="18" customHeight="1">
      <c r="A225" s="511"/>
      <c r="F225" s="83"/>
      <c r="G225" s="83"/>
      <c r="H225" s="83"/>
      <c r="I225" s="83"/>
      <c r="L225" s="84"/>
      <c r="M225" s="84"/>
      <c r="AM225" s="733"/>
    </row>
    <row r="226" spans="1:39" s="82" customFormat="1" ht="18" customHeight="1">
      <c r="A226" s="511"/>
      <c r="F226" s="83"/>
      <c r="G226" s="83"/>
      <c r="H226" s="83"/>
      <c r="I226" s="83"/>
      <c r="L226" s="84"/>
      <c r="M226" s="84"/>
      <c r="AM226" s="733"/>
    </row>
    <row r="227" spans="1:39" s="82" customFormat="1" ht="18" customHeight="1">
      <c r="A227" s="511"/>
      <c r="F227" s="83"/>
      <c r="G227" s="83"/>
      <c r="H227" s="83"/>
      <c r="I227" s="83"/>
      <c r="L227" s="84"/>
      <c r="M227" s="84"/>
      <c r="AM227" s="733"/>
    </row>
    <row r="228" spans="1:39" s="82" customFormat="1" ht="18" customHeight="1">
      <c r="A228" s="511"/>
      <c r="F228" s="83"/>
      <c r="G228" s="83"/>
      <c r="H228" s="83"/>
      <c r="I228" s="83"/>
      <c r="L228" s="84"/>
      <c r="M228" s="84"/>
      <c r="AM228" s="733"/>
    </row>
    <row r="229" spans="1:39" s="82" customFormat="1" ht="18" customHeight="1">
      <c r="A229" s="511"/>
      <c r="F229" s="83"/>
      <c r="G229" s="83"/>
      <c r="H229" s="83"/>
      <c r="I229" s="83"/>
      <c r="L229" s="84"/>
      <c r="M229" s="84"/>
      <c r="AM229" s="733"/>
    </row>
    <row r="230" spans="1:39" s="82" customFormat="1" ht="18" customHeight="1">
      <c r="A230" s="511"/>
      <c r="F230" s="83"/>
      <c r="G230" s="83"/>
      <c r="H230" s="83"/>
      <c r="I230" s="83"/>
      <c r="L230" s="84"/>
      <c r="M230" s="84"/>
      <c r="AM230" s="733"/>
    </row>
    <row r="231" spans="1:39" s="82" customFormat="1" ht="18" customHeight="1">
      <c r="A231" s="511"/>
      <c r="F231" s="83"/>
      <c r="G231" s="83"/>
      <c r="H231" s="83"/>
      <c r="I231" s="83"/>
      <c r="L231" s="84"/>
      <c r="M231" s="84"/>
      <c r="AM231" s="733"/>
    </row>
    <row r="232" spans="1:39" s="82" customFormat="1" ht="18" customHeight="1">
      <c r="A232" s="511"/>
      <c r="F232" s="83"/>
      <c r="G232" s="83"/>
      <c r="H232" s="83"/>
      <c r="I232" s="83"/>
      <c r="L232" s="84"/>
      <c r="M232" s="84"/>
      <c r="AM232" s="733"/>
    </row>
    <row r="233" spans="1:39" s="82" customFormat="1" ht="18" customHeight="1">
      <c r="A233" s="511"/>
      <c r="F233" s="83"/>
      <c r="G233" s="83"/>
      <c r="H233" s="83"/>
      <c r="I233" s="83"/>
      <c r="L233" s="84"/>
      <c r="M233" s="84"/>
      <c r="AM233" s="733"/>
    </row>
    <row r="234" spans="1:39" s="82" customFormat="1" ht="18" customHeight="1">
      <c r="A234" s="511"/>
      <c r="F234" s="83"/>
      <c r="G234" s="83"/>
      <c r="H234" s="83"/>
      <c r="I234" s="83"/>
      <c r="L234" s="84"/>
      <c r="M234" s="84"/>
      <c r="AM234" s="733"/>
    </row>
    <row r="235" spans="1:39" s="82" customFormat="1" ht="18" customHeight="1">
      <c r="A235" s="511"/>
      <c r="F235" s="83"/>
      <c r="G235" s="83"/>
      <c r="H235" s="83"/>
      <c r="I235" s="83"/>
      <c r="L235" s="84"/>
      <c r="M235" s="84"/>
      <c r="AM235" s="733"/>
    </row>
    <row r="236" spans="1:39" s="82" customFormat="1" ht="18" customHeight="1">
      <c r="A236" s="511"/>
      <c r="F236" s="83"/>
      <c r="G236" s="83"/>
      <c r="H236" s="83"/>
      <c r="I236" s="83"/>
      <c r="L236" s="84"/>
      <c r="M236" s="84"/>
      <c r="AM236" s="733"/>
    </row>
    <row r="237" spans="1:39" s="82" customFormat="1" ht="18" customHeight="1">
      <c r="A237" s="511"/>
      <c r="F237" s="83"/>
      <c r="G237" s="83"/>
      <c r="H237" s="83"/>
      <c r="I237" s="83"/>
      <c r="L237" s="84"/>
      <c r="M237" s="84"/>
      <c r="AM237" s="733"/>
    </row>
    <row r="238" spans="1:39" s="82" customFormat="1" ht="18" customHeight="1">
      <c r="A238" s="511"/>
      <c r="F238" s="83"/>
      <c r="G238" s="83"/>
      <c r="H238" s="83"/>
      <c r="I238" s="83"/>
      <c r="L238" s="84"/>
      <c r="M238" s="84"/>
      <c r="AM238" s="733"/>
    </row>
    <row r="239" spans="1:39" s="82" customFormat="1" ht="18" customHeight="1">
      <c r="A239" s="511"/>
      <c r="F239" s="83"/>
      <c r="G239" s="83"/>
      <c r="H239" s="83"/>
      <c r="I239" s="83"/>
      <c r="L239" s="84"/>
      <c r="M239" s="84"/>
      <c r="AM239" s="733"/>
    </row>
    <row r="240" spans="1:39" s="82" customFormat="1" ht="18" customHeight="1">
      <c r="A240" s="511"/>
      <c r="F240" s="83"/>
      <c r="G240" s="83"/>
      <c r="H240" s="83"/>
      <c r="I240" s="83"/>
      <c r="L240" s="84"/>
      <c r="M240" s="84"/>
      <c r="AM240" s="733"/>
    </row>
    <row r="241" spans="1:39" s="82" customFormat="1" ht="18" customHeight="1">
      <c r="A241" s="511"/>
      <c r="F241" s="83"/>
      <c r="G241" s="83"/>
      <c r="H241" s="83"/>
      <c r="I241" s="83"/>
      <c r="L241" s="84"/>
      <c r="M241" s="84"/>
      <c r="AM241" s="733"/>
    </row>
    <row r="242" spans="1:39" s="82" customFormat="1" ht="18" customHeight="1">
      <c r="A242" s="511"/>
      <c r="F242" s="83"/>
      <c r="G242" s="83"/>
      <c r="H242" s="83"/>
      <c r="I242" s="83"/>
      <c r="L242" s="84"/>
      <c r="M242" s="84"/>
      <c r="AM242" s="733"/>
    </row>
    <row r="243" spans="1:39" s="82" customFormat="1" ht="18" customHeight="1">
      <c r="A243" s="511"/>
      <c r="F243" s="83"/>
      <c r="G243" s="83"/>
      <c r="H243" s="83"/>
      <c r="I243" s="83"/>
      <c r="L243" s="84"/>
      <c r="M243" s="84"/>
      <c r="AM243" s="733"/>
    </row>
    <row r="244" spans="1:39" s="82" customFormat="1" ht="18" customHeight="1">
      <c r="A244" s="511"/>
      <c r="F244" s="83"/>
      <c r="G244" s="83"/>
      <c r="H244" s="83"/>
      <c r="I244" s="83"/>
      <c r="L244" s="84"/>
      <c r="M244" s="84"/>
      <c r="AM244" s="733"/>
    </row>
    <row r="245" spans="1:39" s="82" customFormat="1" ht="18" customHeight="1">
      <c r="A245" s="511"/>
      <c r="F245" s="83"/>
      <c r="G245" s="83"/>
      <c r="H245" s="83"/>
      <c r="I245" s="83"/>
      <c r="L245" s="84"/>
      <c r="M245" s="84"/>
      <c r="AM245" s="733"/>
    </row>
    <row r="246" spans="1:39" s="82" customFormat="1" ht="18" customHeight="1">
      <c r="A246" s="511"/>
      <c r="F246" s="83"/>
      <c r="G246" s="83"/>
      <c r="H246" s="83"/>
      <c r="I246" s="83"/>
      <c r="L246" s="84"/>
      <c r="M246" s="84"/>
      <c r="AM246" s="733"/>
    </row>
    <row r="247" spans="1:39" s="82" customFormat="1" ht="18" customHeight="1">
      <c r="A247" s="511"/>
      <c r="F247" s="83"/>
      <c r="G247" s="83"/>
      <c r="H247" s="83"/>
      <c r="I247" s="83"/>
      <c r="L247" s="84"/>
      <c r="M247" s="84"/>
      <c r="AM247" s="733"/>
    </row>
    <row r="248" spans="1:39" s="82" customFormat="1" ht="18" customHeight="1">
      <c r="A248" s="511"/>
      <c r="F248" s="83"/>
      <c r="G248" s="83"/>
      <c r="H248" s="83"/>
      <c r="I248" s="83"/>
      <c r="L248" s="84"/>
      <c r="M248" s="84"/>
      <c r="AM248" s="733"/>
    </row>
    <row r="249" spans="1:39" s="82" customFormat="1" ht="18" customHeight="1">
      <c r="A249" s="511"/>
      <c r="F249" s="83"/>
      <c r="G249" s="83"/>
      <c r="H249" s="83"/>
      <c r="I249" s="83"/>
      <c r="L249" s="84"/>
      <c r="M249" s="84"/>
      <c r="AM249" s="733"/>
    </row>
    <row r="250" spans="1:39" s="82" customFormat="1" ht="18" customHeight="1">
      <c r="A250" s="511"/>
      <c r="F250" s="83"/>
      <c r="G250" s="83"/>
      <c r="H250" s="83"/>
      <c r="I250" s="83"/>
      <c r="L250" s="84"/>
      <c r="M250" s="84"/>
      <c r="AM250" s="733"/>
    </row>
    <row r="251" spans="1:39" s="82" customFormat="1" ht="18" customHeight="1">
      <c r="A251" s="511"/>
      <c r="F251" s="83"/>
      <c r="G251" s="83"/>
      <c r="H251" s="83"/>
      <c r="I251" s="83"/>
      <c r="L251" s="84"/>
      <c r="M251" s="84"/>
      <c r="AM251" s="733"/>
    </row>
    <row r="252" spans="1:39" s="82" customFormat="1" ht="18" customHeight="1">
      <c r="A252" s="511"/>
      <c r="F252" s="83"/>
      <c r="G252" s="83"/>
      <c r="H252" s="83"/>
      <c r="I252" s="83"/>
      <c r="L252" s="84"/>
      <c r="M252" s="84"/>
      <c r="AM252" s="733"/>
    </row>
    <row r="253" spans="1:39" s="82" customFormat="1" ht="18" customHeight="1">
      <c r="A253" s="511"/>
      <c r="F253" s="83"/>
      <c r="G253" s="83"/>
      <c r="H253" s="83"/>
      <c r="I253" s="83"/>
      <c r="L253" s="84"/>
      <c r="M253" s="84"/>
      <c r="AM253" s="733"/>
    </row>
    <row r="254" spans="1:39" s="82" customFormat="1" ht="18" customHeight="1">
      <c r="A254" s="511"/>
      <c r="F254" s="83"/>
      <c r="G254" s="83"/>
      <c r="H254" s="83"/>
      <c r="I254" s="83"/>
      <c r="L254" s="84"/>
      <c r="M254" s="84"/>
      <c r="AM254" s="733"/>
    </row>
    <row r="255" spans="1:39" s="82" customFormat="1" ht="18" customHeight="1">
      <c r="A255" s="511"/>
      <c r="F255" s="83"/>
      <c r="G255" s="83"/>
      <c r="H255" s="83"/>
      <c r="I255" s="83"/>
      <c r="L255" s="84"/>
      <c r="M255" s="84"/>
      <c r="AM255" s="733"/>
    </row>
    <row r="256" spans="1:39" s="82" customFormat="1" ht="18" customHeight="1">
      <c r="A256" s="511"/>
      <c r="F256" s="83"/>
      <c r="G256" s="83"/>
      <c r="H256" s="83"/>
      <c r="I256" s="83"/>
      <c r="L256" s="84"/>
      <c r="M256" s="84"/>
      <c r="AM256" s="733"/>
    </row>
    <row r="257" spans="1:39" s="82" customFormat="1" ht="18" customHeight="1">
      <c r="A257" s="511"/>
      <c r="F257" s="83"/>
      <c r="G257" s="83"/>
      <c r="H257" s="83"/>
      <c r="I257" s="83"/>
      <c r="L257" s="84"/>
      <c r="M257" s="84"/>
      <c r="AM257" s="733"/>
    </row>
    <row r="258" spans="1:39" s="82" customFormat="1" ht="18" customHeight="1">
      <c r="A258" s="511"/>
      <c r="F258" s="83"/>
      <c r="G258" s="83"/>
      <c r="H258" s="83"/>
      <c r="I258" s="83"/>
      <c r="L258" s="84"/>
      <c r="M258" s="84"/>
      <c r="AM258" s="733"/>
    </row>
    <row r="259" spans="1:39" s="82" customFormat="1" ht="18" customHeight="1">
      <c r="A259" s="511"/>
      <c r="F259" s="83"/>
      <c r="G259" s="83"/>
      <c r="H259" s="83"/>
      <c r="I259" s="83"/>
      <c r="L259" s="84"/>
      <c r="M259" s="84"/>
      <c r="AM259" s="733"/>
    </row>
    <row r="260" spans="1:39" s="82" customFormat="1" ht="18" customHeight="1">
      <c r="A260" s="511"/>
      <c r="F260" s="83"/>
      <c r="G260" s="83"/>
      <c r="H260" s="83"/>
      <c r="I260" s="83"/>
      <c r="L260" s="84"/>
      <c r="M260" s="84"/>
      <c r="AM260" s="733"/>
    </row>
    <row r="261" spans="1:39" s="82" customFormat="1" ht="18" customHeight="1">
      <c r="A261" s="511"/>
      <c r="F261" s="83"/>
      <c r="G261" s="83"/>
      <c r="H261" s="83"/>
      <c r="I261" s="83"/>
      <c r="L261" s="84"/>
      <c r="M261" s="84"/>
      <c r="AM261" s="733"/>
    </row>
    <row r="262" spans="1:39" s="82" customFormat="1" ht="18" customHeight="1">
      <c r="A262" s="511"/>
      <c r="F262" s="83"/>
      <c r="G262" s="83"/>
      <c r="H262" s="83"/>
      <c r="I262" s="83"/>
      <c r="L262" s="84"/>
      <c r="M262" s="84"/>
      <c r="AM262" s="733"/>
    </row>
    <row r="263" spans="1:39" s="82" customFormat="1" ht="18" customHeight="1">
      <c r="A263" s="511"/>
      <c r="F263" s="83"/>
      <c r="G263" s="83"/>
      <c r="H263" s="83"/>
      <c r="I263" s="83"/>
      <c r="L263" s="84"/>
      <c r="M263" s="84"/>
      <c r="AM263" s="733"/>
    </row>
    <row r="264" spans="1:39" s="82" customFormat="1" ht="18" customHeight="1">
      <c r="A264" s="511"/>
      <c r="F264" s="83"/>
      <c r="G264" s="83"/>
      <c r="H264" s="83"/>
      <c r="I264" s="83"/>
      <c r="L264" s="84"/>
      <c r="M264" s="84"/>
      <c r="AM264" s="733"/>
    </row>
    <row r="265" spans="1:39" s="82" customFormat="1" ht="18" customHeight="1">
      <c r="A265" s="511"/>
      <c r="F265" s="83"/>
      <c r="G265" s="83"/>
      <c r="H265" s="83"/>
      <c r="I265" s="83"/>
      <c r="L265" s="84"/>
      <c r="M265" s="84"/>
      <c r="AM265" s="733"/>
    </row>
    <row r="266" spans="1:39" s="82" customFormat="1" ht="18" customHeight="1">
      <c r="A266" s="511"/>
      <c r="F266" s="83"/>
      <c r="G266" s="83"/>
      <c r="H266" s="83"/>
      <c r="I266" s="83"/>
      <c r="L266" s="84"/>
      <c r="M266" s="84"/>
      <c r="AM266" s="733"/>
    </row>
    <row r="267" spans="1:39" s="82" customFormat="1" ht="18" customHeight="1">
      <c r="A267" s="511"/>
      <c r="F267" s="83"/>
      <c r="G267" s="83"/>
      <c r="H267" s="83"/>
      <c r="I267" s="83"/>
      <c r="L267" s="84"/>
      <c r="M267" s="84"/>
      <c r="AM267" s="733"/>
    </row>
    <row r="268" spans="1:39" s="82" customFormat="1" ht="18" customHeight="1">
      <c r="A268" s="511"/>
      <c r="F268" s="83"/>
      <c r="G268" s="83"/>
      <c r="H268" s="83"/>
      <c r="I268" s="83"/>
      <c r="L268" s="84"/>
      <c r="M268" s="84"/>
      <c r="AM268" s="733"/>
    </row>
    <row r="269" spans="1:39" s="82" customFormat="1" ht="18" customHeight="1">
      <c r="A269" s="511"/>
      <c r="F269" s="83"/>
      <c r="G269" s="83"/>
      <c r="H269" s="83"/>
      <c r="I269" s="83"/>
      <c r="L269" s="84"/>
      <c r="M269" s="84"/>
      <c r="AM269" s="733"/>
    </row>
    <row r="270" spans="1:39" s="82" customFormat="1" ht="18" customHeight="1">
      <c r="A270" s="511"/>
      <c r="F270" s="83"/>
      <c r="G270" s="83"/>
      <c r="H270" s="83"/>
      <c r="I270" s="83"/>
      <c r="L270" s="84"/>
      <c r="M270" s="84"/>
      <c r="AM270" s="733"/>
    </row>
    <row r="271" spans="1:39" s="82" customFormat="1" ht="18" customHeight="1">
      <c r="A271" s="511"/>
      <c r="F271" s="83"/>
      <c r="G271" s="83"/>
      <c r="H271" s="83"/>
      <c r="I271" s="83"/>
      <c r="L271" s="84"/>
      <c r="M271" s="84"/>
      <c r="AM271" s="733"/>
    </row>
    <row r="272" spans="1:39" s="82" customFormat="1" ht="18" customHeight="1">
      <c r="A272" s="511"/>
      <c r="F272" s="83"/>
      <c r="G272" s="83"/>
      <c r="H272" s="83"/>
      <c r="I272" s="83"/>
      <c r="L272" s="84"/>
      <c r="M272" s="84"/>
      <c r="AM272" s="733"/>
    </row>
    <row r="273" spans="1:39" s="82" customFormat="1" ht="18" customHeight="1">
      <c r="A273" s="511"/>
      <c r="F273" s="83"/>
      <c r="G273" s="83"/>
      <c r="H273" s="83"/>
      <c r="I273" s="83"/>
      <c r="L273" s="84"/>
      <c r="M273" s="84"/>
      <c r="AM273" s="733"/>
    </row>
    <row r="274" spans="1:39" s="82" customFormat="1" ht="18" customHeight="1">
      <c r="A274" s="511"/>
      <c r="F274" s="83"/>
      <c r="G274" s="83"/>
      <c r="H274" s="83"/>
      <c r="I274" s="83"/>
      <c r="L274" s="84"/>
      <c r="M274" s="84"/>
      <c r="AM274" s="733"/>
    </row>
    <row r="275" spans="1:39" s="82" customFormat="1" ht="18" customHeight="1">
      <c r="A275" s="511"/>
      <c r="F275" s="83"/>
      <c r="G275" s="83"/>
      <c r="H275" s="83"/>
      <c r="I275" s="83"/>
      <c r="L275" s="84"/>
      <c r="M275" s="84"/>
      <c r="AM275" s="733"/>
    </row>
    <row r="276" spans="1:39" s="82" customFormat="1" ht="18" customHeight="1">
      <c r="A276" s="511"/>
      <c r="F276" s="83"/>
      <c r="G276" s="83"/>
      <c r="H276" s="83"/>
      <c r="I276" s="83"/>
      <c r="L276" s="84"/>
      <c r="M276" s="84"/>
      <c r="AM276" s="733"/>
    </row>
    <row r="277" spans="1:39" s="82" customFormat="1" ht="18" customHeight="1">
      <c r="A277" s="511"/>
      <c r="F277" s="83"/>
      <c r="G277" s="83"/>
      <c r="H277" s="83"/>
      <c r="I277" s="83"/>
      <c r="L277" s="84"/>
      <c r="M277" s="84"/>
      <c r="AM277" s="733"/>
    </row>
    <row r="278" spans="1:39" s="82" customFormat="1" ht="18" customHeight="1">
      <c r="A278" s="511"/>
      <c r="F278" s="83"/>
      <c r="G278" s="83"/>
      <c r="H278" s="83"/>
      <c r="I278" s="83"/>
      <c r="L278" s="84"/>
      <c r="M278" s="84"/>
      <c r="AM278" s="733"/>
    </row>
    <row r="279" spans="1:39" s="82" customFormat="1" ht="18" customHeight="1">
      <c r="A279" s="511"/>
      <c r="F279" s="83"/>
      <c r="G279" s="83"/>
      <c r="H279" s="83"/>
      <c r="I279" s="83"/>
      <c r="L279" s="84"/>
      <c r="M279" s="84"/>
      <c r="AM279" s="733"/>
    </row>
    <row r="280" spans="1:39" s="82" customFormat="1" ht="18" customHeight="1">
      <c r="A280" s="511"/>
      <c r="F280" s="83"/>
      <c r="G280" s="83"/>
      <c r="H280" s="83"/>
      <c r="I280" s="83"/>
      <c r="L280" s="84"/>
      <c r="M280" s="84"/>
      <c r="AM280" s="733"/>
    </row>
    <row r="281" spans="1:39" s="82" customFormat="1" ht="18" customHeight="1">
      <c r="A281" s="511"/>
      <c r="F281" s="83"/>
      <c r="G281" s="83"/>
      <c r="H281" s="83"/>
      <c r="I281" s="83"/>
      <c r="L281" s="84"/>
      <c r="M281" s="84"/>
      <c r="AM281" s="733"/>
    </row>
    <row r="282" spans="1:39" s="82" customFormat="1" ht="18" customHeight="1">
      <c r="A282" s="511"/>
      <c r="F282" s="83"/>
      <c r="G282" s="83"/>
      <c r="H282" s="83"/>
      <c r="I282" s="83"/>
      <c r="L282" s="84"/>
      <c r="M282" s="84"/>
      <c r="AM282" s="733"/>
    </row>
    <row r="283" spans="1:39" s="82" customFormat="1" ht="18" customHeight="1">
      <c r="A283" s="511"/>
      <c r="F283" s="83"/>
      <c r="G283" s="83"/>
      <c r="H283" s="83"/>
      <c r="I283" s="83"/>
      <c r="L283" s="84"/>
      <c r="M283" s="84"/>
      <c r="AM283" s="733"/>
    </row>
    <row r="284" spans="1:39" s="82" customFormat="1" ht="18" customHeight="1">
      <c r="A284" s="511"/>
      <c r="F284" s="83"/>
      <c r="G284" s="83"/>
      <c r="H284" s="83"/>
      <c r="I284" s="83"/>
      <c r="L284" s="84"/>
      <c r="M284" s="84"/>
      <c r="AM284" s="733"/>
    </row>
    <row r="285" spans="1:39" s="82" customFormat="1" ht="18" customHeight="1">
      <c r="A285" s="511"/>
      <c r="F285" s="83"/>
      <c r="G285" s="83"/>
      <c r="H285" s="83"/>
      <c r="I285" s="83"/>
      <c r="L285" s="84"/>
      <c r="M285" s="84"/>
      <c r="AM285" s="733"/>
    </row>
    <row r="286" spans="1:39" s="82" customFormat="1" ht="18" customHeight="1">
      <c r="A286" s="511"/>
      <c r="F286" s="83"/>
      <c r="G286" s="83"/>
      <c r="H286" s="83"/>
      <c r="I286" s="83"/>
      <c r="L286" s="84"/>
      <c r="M286" s="84"/>
      <c r="AM286" s="733"/>
    </row>
    <row r="287" spans="1:39" s="82" customFormat="1" ht="18" customHeight="1">
      <c r="A287" s="511"/>
      <c r="F287" s="83"/>
      <c r="G287" s="83"/>
      <c r="H287" s="83"/>
      <c r="I287" s="83"/>
      <c r="L287" s="84"/>
      <c r="M287" s="84"/>
      <c r="AM287" s="733"/>
    </row>
    <row r="288" spans="1:39" s="82" customFormat="1" ht="18" customHeight="1">
      <c r="A288" s="511"/>
      <c r="F288" s="83"/>
      <c r="G288" s="83"/>
      <c r="H288" s="83"/>
      <c r="I288" s="83"/>
      <c r="L288" s="84"/>
      <c r="M288" s="84"/>
      <c r="AM288" s="733"/>
    </row>
    <row r="289" spans="1:39" s="82" customFormat="1" ht="18" customHeight="1">
      <c r="A289" s="511"/>
      <c r="F289" s="83"/>
      <c r="G289" s="83"/>
      <c r="H289" s="83"/>
      <c r="I289" s="83"/>
      <c r="L289" s="84"/>
      <c r="M289" s="84"/>
      <c r="AM289" s="733"/>
    </row>
    <row r="290" spans="1:39" s="82" customFormat="1" ht="18" customHeight="1">
      <c r="A290" s="511"/>
      <c r="F290" s="83"/>
      <c r="G290" s="83"/>
      <c r="H290" s="83"/>
      <c r="I290" s="83"/>
      <c r="L290" s="84"/>
      <c r="M290" s="84"/>
      <c r="AM290" s="733"/>
    </row>
    <row r="291" spans="1:39" s="82" customFormat="1" ht="18" customHeight="1">
      <c r="A291" s="511"/>
      <c r="F291" s="83"/>
      <c r="G291" s="83"/>
      <c r="H291" s="83"/>
      <c r="I291" s="83"/>
      <c r="L291" s="84"/>
      <c r="M291" s="84"/>
      <c r="AM291" s="733"/>
    </row>
    <row r="292" spans="1:39" s="82" customFormat="1" ht="18" customHeight="1">
      <c r="A292" s="511"/>
      <c r="F292" s="83"/>
      <c r="G292" s="83"/>
      <c r="H292" s="83"/>
      <c r="I292" s="83"/>
      <c r="L292" s="84"/>
      <c r="M292" s="84"/>
      <c r="AM292" s="733"/>
    </row>
    <row r="293" spans="1:39" s="82" customFormat="1" ht="18" customHeight="1">
      <c r="A293" s="511"/>
      <c r="F293" s="83"/>
      <c r="G293" s="83"/>
      <c r="H293" s="83"/>
      <c r="I293" s="83"/>
      <c r="L293" s="84"/>
      <c r="M293" s="84"/>
      <c r="AM293" s="733"/>
    </row>
    <row r="294" spans="1:39" s="82" customFormat="1" ht="18" customHeight="1">
      <c r="A294" s="511"/>
      <c r="F294" s="83"/>
      <c r="G294" s="83"/>
      <c r="H294" s="83"/>
      <c r="I294" s="83"/>
      <c r="L294" s="84"/>
      <c r="M294" s="84"/>
      <c r="AM294" s="733"/>
    </row>
    <row r="295" spans="1:39" s="82" customFormat="1" ht="18" customHeight="1">
      <c r="A295" s="511"/>
      <c r="F295" s="83"/>
      <c r="G295" s="83"/>
      <c r="H295" s="83"/>
      <c r="I295" s="83"/>
      <c r="L295" s="84"/>
      <c r="M295" s="84"/>
      <c r="AM295" s="733"/>
    </row>
    <row r="296" spans="1:39" s="82" customFormat="1" ht="18" customHeight="1">
      <c r="A296" s="511"/>
      <c r="F296" s="83"/>
      <c r="G296" s="83"/>
      <c r="H296" s="83"/>
      <c r="I296" s="83"/>
      <c r="L296" s="84"/>
      <c r="M296" s="84"/>
      <c r="AM296" s="733"/>
    </row>
    <row r="297" spans="1:39" s="82" customFormat="1" ht="18" customHeight="1">
      <c r="A297" s="511"/>
      <c r="F297" s="83"/>
      <c r="G297" s="83"/>
      <c r="H297" s="83"/>
      <c r="I297" s="83"/>
      <c r="L297" s="84"/>
      <c r="M297" s="84"/>
      <c r="AM297" s="733"/>
    </row>
    <row r="298" spans="1:39" s="82" customFormat="1" ht="18" customHeight="1">
      <c r="A298" s="511"/>
      <c r="F298" s="83"/>
      <c r="G298" s="83"/>
      <c r="H298" s="83"/>
      <c r="I298" s="83"/>
      <c r="L298" s="84"/>
      <c r="M298" s="84"/>
      <c r="AM298" s="733"/>
    </row>
    <row r="299" spans="1:39" s="82" customFormat="1" ht="18" customHeight="1">
      <c r="A299" s="511"/>
      <c r="F299" s="83"/>
      <c r="G299" s="83"/>
      <c r="H299" s="83"/>
      <c r="I299" s="83"/>
      <c r="L299" s="84"/>
      <c r="M299" s="84"/>
      <c r="AM299" s="733"/>
    </row>
    <row r="300" spans="1:39" s="82" customFormat="1" ht="12.75">
      <c r="A300" s="511"/>
      <c r="F300" s="83"/>
      <c r="G300" s="83"/>
      <c r="H300" s="83"/>
      <c r="I300" s="83"/>
      <c r="L300" s="84"/>
      <c r="M300" s="84"/>
      <c r="AM300" s="733"/>
    </row>
    <row r="301" spans="1:39" s="82" customFormat="1" ht="12.75">
      <c r="A301" s="511"/>
      <c r="F301" s="83"/>
      <c r="G301" s="83"/>
      <c r="H301" s="83"/>
      <c r="I301" s="83"/>
      <c r="L301" s="84"/>
      <c r="M301" s="84"/>
      <c r="AM301" s="733"/>
    </row>
    <row r="302" spans="1:39" s="82" customFormat="1" ht="12.75">
      <c r="A302" s="511"/>
      <c r="F302" s="83"/>
      <c r="G302" s="83"/>
      <c r="H302" s="83"/>
      <c r="I302" s="83"/>
      <c r="L302" s="84"/>
      <c r="M302" s="84"/>
      <c r="AM302" s="733"/>
    </row>
    <row r="303" spans="1:39" s="82" customFormat="1" ht="12.75">
      <c r="A303" s="511"/>
      <c r="F303" s="83"/>
      <c r="G303" s="83"/>
      <c r="H303" s="83"/>
      <c r="I303" s="83"/>
      <c r="L303" s="84"/>
      <c r="M303" s="84"/>
      <c r="AM303" s="733"/>
    </row>
    <row r="304" spans="1:39" s="82" customFormat="1" ht="12.75">
      <c r="A304" s="511"/>
      <c r="F304" s="83"/>
      <c r="G304" s="83"/>
      <c r="H304" s="83"/>
      <c r="I304" s="83"/>
      <c r="L304" s="84"/>
      <c r="M304" s="84"/>
      <c r="AM304" s="733"/>
    </row>
    <row r="305" spans="1:39" s="82" customFormat="1" ht="12.75">
      <c r="A305" s="511"/>
      <c r="F305" s="83"/>
      <c r="G305" s="83"/>
      <c r="H305" s="83"/>
      <c r="I305" s="83"/>
      <c r="L305" s="84"/>
      <c r="M305" s="84"/>
      <c r="AM305" s="733"/>
    </row>
    <row r="306" spans="1:39" s="82" customFormat="1" ht="12.75">
      <c r="A306" s="511"/>
      <c r="F306" s="83"/>
      <c r="G306" s="83"/>
      <c r="H306" s="83"/>
      <c r="I306" s="83"/>
      <c r="L306" s="84"/>
      <c r="M306" s="84"/>
      <c r="AM306" s="733"/>
    </row>
    <row r="307" spans="1:39" s="82" customFormat="1" ht="12.75">
      <c r="A307" s="511"/>
      <c r="F307" s="83"/>
      <c r="G307" s="83"/>
      <c r="H307" s="83"/>
      <c r="I307" s="83"/>
      <c r="L307" s="84"/>
      <c r="M307" s="84"/>
      <c r="AM307" s="733"/>
    </row>
    <row r="308" spans="1:39" s="82" customFormat="1" ht="12.75">
      <c r="A308" s="511"/>
      <c r="F308" s="83"/>
      <c r="G308" s="83"/>
      <c r="H308" s="83"/>
      <c r="I308" s="83"/>
      <c r="L308" s="84"/>
      <c r="M308" s="84"/>
      <c r="AM308" s="733"/>
    </row>
    <row r="309" spans="1:39" s="82" customFormat="1" ht="12.75">
      <c r="A309" s="511"/>
      <c r="F309" s="83"/>
      <c r="G309" s="83"/>
      <c r="H309" s="83"/>
      <c r="I309" s="83"/>
      <c r="L309" s="84"/>
      <c r="M309" s="84"/>
      <c r="AM309" s="733"/>
    </row>
    <row r="310" spans="1:39" s="82" customFormat="1" ht="12.75">
      <c r="A310" s="511"/>
      <c r="F310" s="83"/>
      <c r="G310" s="83"/>
      <c r="H310" s="83"/>
      <c r="I310" s="83"/>
      <c r="L310" s="84"/>
      <c r="M310" s="84"/>
      <c r="AM310" s="733"/>
    </row>
    <row r="311" spans="1:39" s="82" customFormat="1" ht="12.75">
      <c r="A311" s="511"/>
      <c r="F311" s="83"/>
      <c r="G311" s="83"/>
      <c r="H311" s="83"/>
      <c r="I311" s="83"/>
      <c r="L311" s="84"/>
      <c r="M311" s="84"/>
      <c r="AM311" s="733"/>
    </row>
    <row r="312" spans="1:39" s="82" customFormat="1" ht="12.75">
      <c r="A312" s="511"/>
      <c r="F312" s="83"/>
      <c r="G312" s="83"/>
      <c r="H312" s="83"/>
      <c r="I312" s="83"/>
      <c r="L312" s="84"/>
      <c r="M312" s="84"/>
      <c r="AM312" s="733"/>
    </row>
    <row r="313" spans="1:39" customFormat="1" ht="12.75">
      <c r="A313" s="512"/>
      <c r="F313" s="1"/>
      <c r="G313" s="1"/>
      <c r="H313" s="1"/>
      <c r="I313" s="1"/>
      <c r="L313" s="45"/>
      <c r="M313" s="45"/>
      <c r="AM313" s="734"/>
    </row>
    <row r="314" spans="1:39" customFormat="1" ht="12.75">
      <c r="A314" s="512"/>
      <c r="F314" s="1"/>
      <c r="G314" s="1"/>
      <c r="H314" s="1"/>
      <c r="I314" s="1"/>
      <c r="L314" s="45"/>
      <c r="M314" s="45"/>
      <c r="AM314" s="734"/>
    </row>
    <row r="315" spans="1:39" customFormat="1" ht="12.75">
      <c r="A315" s="512"/>
      <c r="F315" s="1"/>
      <c r="G315" s="1"/>
      <c r="H315" s="1"/>
      <c r="I315" s="1"/>
      <c r="L315" s="45"/>
      <c r="M315" s="45"/>
      <c r="AM315" s="734"/>
    </row>
    <row r="316" spans="1:39" customFormat="1" ht="12.75">
      <c r="A316" s="512"/>
      <c r="F316" s="1"/>
      <c r="G316" s="1"/>
      <c r="H316" s="1"/>
      <c r="I316" s="1"/>
      <c r="L316" s="45"/>
      <c r="M316" s="45"/>
      <c r="AM316" s="734"/>
    </row>
    <row r="317" spans="1:39" customFormat="1" ht="12.75">
      <c r="A317" s="512"/>
      <c r="F317" s="1"/>
      <c r="G317" s="1"/>
      <c r="H317" s="1"/>
      <c r="I317" s="1"/>
      <c r="L317" s="45"/>
      <c r="M317" s="45"/>
      <c r="AM317" s="734"/>
    </row>
    <row r="318" spans="1:39" customFormat="1" ht="12.75">
      <c r="A318" s="512"/>
      <c r="F318" s="1"/>
      <c r="G318" s="1"/>
      <c r="H318" s="1"/>
      <c r="I318" s="1"/>
      <c r="L318" s="45"/>
      <c r="M318" s="45"/>
      <c r="AM318" s="734"/>
    </row>
    <row r="319" spans="1:39" customFormat="1" ht="12.75">
      <c r="A319" s="512"/>
      <c r="F319" s="1"/>
      <c r="G319" s="1"/>
      <c r="H319" s="1"/>
      <c r="I319" s="1"/>
      <c r="L319" s="45"/>
      <c r="M319" s="45"/>
      <c r="AM319" s="734"/>
    </row>
    <row r="320" spans="1:39" customFormat="1" ht="12.75">
      <c r="A320" s="512"/>
      <c r="F320" s="1"/>
      <c r="G320" s="1"/>
      <c r="H320" s="1"/>
      <c r="I320" s="1"/>
      <c r="L320" s="45"/>
      <c r="M320" s="45"/>
      <c r="AM320" s="734"/>
    </row>
    <row r="321" spans="1:39" customFormat="1" ht="12.75">
      <c r="A321" s="512"/>
      <c r="F321" s="1"/>
      <c r="G321" s="1"/>
      <c r="H321" s="1"/>
      <c r="I321" s="1"/>
      <c r="L321" s="45"/>
      <c r="M321" s="45"/>
      <c r="AM321" s="734"/>
    </row>
    <row r="322" spans="1:39" customFormat="1" ht="12.75">
      <c r="A322" s="512"/>
      <c r="F322" s="1"/>
      <c r="G322" s="1"/>
      <c r="H322" s="1"/>
      <c r="I322" s="1"/>
      <c r="L322" s="45"/>
      <c r="M322" s="45"/>
      <c r="AM322" s="734"/>
    </row>
    <row r="323" spans="1:39" customFormat="1" ht="12.75">
      <c r="A323" s="512"/>
      <c r="F323" s="1"/>
      <c r="G323" s="1"/>
      <c r="H323" s="1"/>
      <c r="I323" s="1"/>
      <c r="L323" s="45"/>
      <c r="M323" s="45"/>
      <c r="AM323" s="734"/>
    </row>
    <row r="324" spans="1:39" customFormat="1" ht="12.75">
      <c r="A324" s="512"/>
      <c r="F324" s="1"/>
      <c r="G324" s="1"/>
      <c r="H324" s="1"/>
      <c r="I324" s="1"/>
      <c r="L324" s="45"/>
      <c r="M324" s="45"/>
      <c r="AM324" s="734"/>
    </row>
    <row r="325" spans="1:39" customFormat="1" ht="12.75">
      <c r="A325" s="512"/>
      <c r="F325" s="1"/>
      <c r="G325" s="1"/>
      <c r="H325" s="1"/>
      <c r="I325" s="1"/>
      <c r="L325" s="45"/>
      <c r="M325" s="45"/>
      <c r="AM325" s="734"/>
    </row>
    <row r="326" spans="1:39" customFormat="1" ht="12.75">
      <c r="A326" s="512"/>
      <c r="F326" s="1"/>
      <c r="G326" s="1"/>
      <c r="H326" s="1"/>
      <c r="I326" s="1"/>
      <c r="L326" s="45"/>
      <c r="M326" s="45"/>
      <c r="AM326" s="734"/>
    </row>
    <row r="327" spans="1:39" customFormat="1" ht="12.75">
      <c r="A327" s="512"/>
      <c r="F327" s="1"/>
      <c r="G327" s="1"/>
      <c r="H327" s="1"/>
      <c r="I327" s="1"/>
      <c r="L327" s="45"/>
      <c r="M327" s="45"/>
      <c r="AM327" s="734"/>
    </row>
    <row r="328" spans="1:39" customFormat="1" ht="12.75">
      <c r="A328" s="512"/>
      <c r="F328" s="1"/>
      <c r="G328" s="1"/>
      <c r="H328" s="1"/>
      <c r="I328" s="1"/>
      <c r="L328" s="45"/>
      <c r="M328" s="45"/>
      <c r="AM328" s="734"/>
    </row>
    <row r="329" spans="1:39" customFormat="1" ht="12.75">
      <c r="A329" s="512"/>
      <c r="F329" s="1"/>
      <c r="G329" s="1"/>
      <c r="H329" s="1"/>
      <c r="I329" s="1"/>
      <c r="L329" s="45"/>
      <c r="M329" s="45"/>
      <c r="AM329" s="734"/>
    </row>
    <row r="330" spans="1:39" customFormat="1" ht="12.75">
      <c r="A330" s="512"/>
      <c r="F330" s="1"/>
      <c r="G330" s="1"/>
      <c r="H330" s="1"/>
      <c r="I330" s="1"/>
      <c r="L330" s="45"/>
      <c r="M330" s="45"/>
      <c r="AM330" s="734"/>
    </row>
    <row r="331" spans="1:39" customFormat="1" ht="12.75">
      <c r="A331" s="512"/>
      <c r="F331" s="1"/>
      <c r="G331" s="1"/>
      <c r="H331" s="1"/>
      <c r="I331" s="1"/>
      <c r="L331" s="45"/>
      <c r="M331" s="45"/>
      <c r="AM331" s="734"/>
    </row>
    <row r="332" spans="1:39" customFormat="1" ht="12.75">
      <c r="A332" s="512"/>
      <c r="F332" s="1"/>
      <c r="G332" s="1"/>
      <c r="H332" s="1"/>
      <c r="I332" s="1"/>
      <c r="L332" s="45"/>
      <c r="M332" s="45"/>
      <c r="AM332" s="734"/>
    </row>
    <row r="333" spans="1:39" customFormat="1" ht="12.75">
      <c r="A333" s="512"/>
      <c r="F333" s="1"/>
      <c r="G333" s="1"/>
      <c r="H333" s="1"/>
      <c r="I333" s="1"/>
      <c r="L333" s="45"/>
      <c r="M333" s="45"/>
      <c r="AM333" s="734"/>
    </row>
    <row r="334" spans="1:39" customFormat="1" ht="12.75">
      <c r="A334" s="512"/>
      <c r="F334" s="1"/>
      <c r="G334" s="1"/>
      <c r="H334" s="1"/>
      <c r="I334" s="1"/>
      <c r="L334" s="45"/>
      <c r="M334" s="45"/>
      <c r="AM334" s="734"/>
    </row>
    <row r="335" spans="1:39" customFormat="1" ht="12.75">
      <c r="A335" s="512"/>
      <c r="F335" s="1"/>
      <c r="G335" s="1"/>
      <c r="H335" s="1"/>
      <c r="I335" s="1"/>
      <c r="L335" s="45"/>
      <c r="M335" s="45"/>
      <c r="AM335" s="734"/>
    </row>
    <row r="336" spans="1:39" customFormat="1" ht="12.75">
      <c r="A336" s="512"/>
      <c r="F336" s="1"/>
      <c r="G336" s="1"/>
      <c r="H336" s="1"/>
      <c r="I336" s="1"/>
      <c r="L336" s="45"/>
      <c r="M336" s="45"/>
      <c r="AM336" s="734"/>
    </row>
    <row r="337" spans="1:39" customFormat="1" ht="12.75">
      <c r="A337" s="512"/>
      <c r="F337" s="1"/>
      <c r="G337" s="1"/>
      <c r="H337" s="1"/>
      <c r="I337" s="1"/>
      <c r="L337" s="45"/>
      <c r="M337" s="45"/>
      <c r="AM337" s="734"/>
    </row>
    <row r="338" spans="1:39" customFormat="1" ht="12.75">
      <c r="A338" s="512"/>
      <c r="F338" s="1"/>
      <c r="G338" s="1"/>
      <c r="H338" s="1"/>
      <c r="I338" s="1"/>
      <c r="L338" s="45"/>
      <c r="M338" s="45"/>
      <c r="AM338" s="734"/>
    </row>
    <row r="339" spans="1:39" customFormat="1" ht="12.75">
      <c r="A339" s="512"/>
      <c r="F339" s="1"/>
      <c r="G339" s="1"/>
      <c r="H339" s="1"/>
      <c r="I339" s="1"/>
      <c r="L339" s="45"/>
      <c r="M339" s="45"/>
      <c r="AM339" s="734"/>
    </row>
    <row r="340" spans="1:39" customFormat="1" ht="12.75">
      <c r="A340" s="512"/>
      <c r="F340" s="1"/>
      <c r="G340" s="1"/>
      <c r="H340" s="1"/>
      <c r="I340" s="1"/>
      <c r="L340" s="45"/>
      <c r="M340" s="45"/>
      <c r="AM340" s="734"/>
    </row>
    <row r="341" spans="1:39" customFormat="1" ht="12.75">
      <c r="A341" s="512"/>
      <c r="F341" s="1"/>
      <c r="G341" s="1"/>
      <c r="H341" s="1"/>
      <c r="I341" s="1"/>
      <c r="L341" s="45"/>
      <c r="M341" s="45"/>
      <c r="AM341" s="734"/>
    </row>
    <row r="342" spans="1:39" customFormat="1" ht="12.75">
      <c r="A342" s="512"/>
      <c r="F342" s="1"/>
      <c r="G342" s="1"/>
      <c r="H342" s="1"/>
      <c r="I342" s="1"/>
      <c r="L342" s="45"/>
      <c r="M342" s="45"/>
      <c r="AM342" s="734"/>
    </row>
    <row r="343" spans="1:39" customFormat="1" ht="12.75">
      <c r="A343" s="512"/>
      <c r="F343" s="1"/>
      <c r="G343" s="1"/>
      <c r="H343" s="1"/>
      <c r="I343" s="1"/>
      <c r="L343" s="45"/>
      <c r="M343" s="45"/>
      <c r="AM343" s="734"/>
    </row>
    <row r="344" spans="1:39" customFormat="1" ht="12.75">
      <c r="A344" s="512"/>
      <c r="F344" s="1"/>
      <c r="G344" s="1"/>
      <c r="H344" s="1"/>
      <c r="I344" s="1"/>
      <c r="L344" s="45"/>
      <c r="M344" s="45"/>
      <c r="AM344" s="734"/>
    </row>
    <row r="345" spans="1:39" customFormat="1" ht="12.75">
      <c r="A345" s="512"/>
      <c r="F345" s="1"/>
      <c r="G345" s="1"/>
      <c r="H345" s="1"/>
      <c r="I345" s="1"/>
      <c r="L345" s="45"/>
      <c r="M345" s="45"/>
      <c r="AM345" s="734"/>
    </row>
    <row r="346" spans="1:39" customFormat="1" ht="12.75">
      <c r="A346" s="512"/>
      <c r="F346" s="1"/>
      <c r="G346" s="1"/>
      <c r="H346" s="1"/>
      <c r="I346" s="1"/>
      <c r="L346" s="45"/>
      <c r="M346" s="45"/>
      <c r="AM346" s="734"/>
    </row>
    <row r="347" spans="1:39" customFormat="1" ht="12.75">
      <c r="A347" s="512"/>
      <c r="F347" s="1"/>
      <c r="G347" s="1"/>
      <c r="H347" s="1"/>
      <c r="I347" s="1"/>
      <c r="L347" s="45"/>
      <c r="M347" s="45"/>
      <c r="AM347" s="734"/>
    </row>
    <row r="348" spans="1:39" customFormat="1" ht="12.75">
      <c r="A348" s="512"/>
      <c r="F348" s="1"/>
      <c r="G348" s="1"/>
      <c r="H348" s="1"/>
      <c r="I348" s="1"/>
      <c r="L348" s="45"/>
      <c r="M348" s="45"/>
      <c r="AM348" s="734"/>
    </row>
    <row r="349" spans="1:39" customFormat="1" ht="12.75">
      <c r="A349" s="512"/>
      <c r="F349" s="1"/>
      <c r="G349" s="1"/>
      <c r="H349" s="1"/>
      <c r="I349" s="1"/>
      <c r="L349" s="45"/>
      <c r="M349" s="45"/>
      <c r="AM349" s="734"/>
    </row>
    <row r="350" spans="1:39" customFormat="1" ht="12.75">
      <c r="A350" s="512"/>
      <c r="F350" s="1"/>
      <c r="G350" s="1"/>
      <c r="H350" s="1"/>
      <c r="I350" s="1"/>
      <c r="L350" s="45"/>
      <c r="M350" s="45"/>
      <c r="AM350" s="734"/>
    </row>
    <row r="351" spans="1:39" customFormat="1" ht="12.75">
      <c r="A351" s="512"/>
      <c r="F351" s="1"/>
      <c r="G351" s="1"/>
      <c r="H351" s="1"/>
      <c r="I351" s="1"/>
      <c r="L351" s="45"/>
      <c r="M351" s="45"/>
      <c r="AM351" s="734"/>
    </row>
    <row r="352" spans="1:39" customFormat="1" ht="12.75">
      <c r="A352" s="512"/>
      <c r="F352" s="1"/>
      <c r="G352" s="1"/>
      <c r="H352" s="1"/>
      <c r="I352" s="1"/>
      <c r="L352" s="45"/>
      <c r="M352" s="45"/>
      <c r="AM352" s="734"/>
    </row>
    <row r="353" spans="1:39" customFormat="1" ht="12.75">
      <c r="A353" s="512"/>
      <c r="F353" s="1"/>
      <c r="G353" s="1"/>
      <c r="H353" s="1"/>
      <c r="I353" s="1"/>
      <c r="L353" s="45"/>
      <c r="M353" s="45"/>
      <c r="AM353" s="734"/>
    </row>
    <row r="354" spans="1:39" customFormat="1" ht="12.75">
      <c r="A354" s="512"/>
      <c r="F354" s="1"/>
      <c r="G354" s="1"/>
      <c r="H354" s="1"/>
      <c r="I354" s="1"/>
      <c r="L354" s="45"/>
      <c r="M354" s="45"/>
      <c r="AM354" s="734"/>
    </row>
    <row r="355" spans="1:39" customFormat="1" ht="12.75">
      <c r="A355" s="512"/>
      <c r="F355" s="1"/>
      <c r="G355" s="1"/>
      <c r="H355" s="1"/>
      <c r="I355" s="1"/>
      <c r="L355" s="45"/>
      <c r="M355" s="45"/>
      <c r="AM355" s="734"/>
    </row>
    <row r="356" spans="1:39" customFormat="1" ht="12.75">
      <c r="A356" s="512"/>
      <c r="F356" s="1"/>
      <c r="G356" s="1"/>
      <c r="H356" s="1"/>
      <c r="I356" s="1"/>
      <c r="L356" s="45"/>
      <c r="M356" s="45"/>
      <c r="AM356" s="734"/>
    </row>
    <row r="357" spans="1:39" customFormat="1" ht="12.75">
      <c r="A357" s="512"/>
      <c r="F357" s="1"/>
      <c r="G357" s="1"/>
      <c r="H357" s="1"/>
      <c r="I357" s="1"/>
      <c r="L357" s="45"/>
      <c r="M357" s="45"/>
      <c r="AM357" s="734"/>
    </row>
    <row r="358" spans="1:39" customFormat="1" ht="12.75">
      <c r="A358" s="512"/>
      <c r="F358" s="1"/>
      <c r="G358" s="1"/>
      <c r="H358" s="1"/>
      <c r="I358" s="1"/>
      <c r="L358" s="45"/>
      <c r="M358" s="45"/>
      <c r="AM358" s="734"/>
    </row>
    <row r="359" spans="1:39" customFormat="1" ht="12.75">
      <c r="A359" s="512"/>
      <c r="F359" s="1"/>
      <c r="G359" s="1"/>
      <c r="H359" s="1"/>
      <c r="I359" s="1"/>
      <c r="L359" s="45"/>
      <c r="M359" s="45"/>
      <c r="AM359" s="734"/>
    </row>
    <row r="360" spans="1:39" customFormat="1" ht="12.75">
      <c r="A360" s="512"/>
      <c r="F360" s="1"/>
      <c r="G360" s="1"/>
      <c r="H360" s="1"/>
      <c r="I360" s="1"/>
      <c r="L360" s="45"/>
      <c r="M360" s="45"/>
      <c r="AM360" s="734"/>
    </row>
    <row r="361" spans="1:39" customFormat="1" ht="12.75">
      <c r="A361" s="512"/>
      <c r="F361" s="1"/>
      <c r="G361" s="1"/>
      <c r="H361" s="1"/>
      <c r="I361" s="1"/>
      <c r="L361" s="45"/>
      <c r="M361" s="45"/>
      <c r="AM361" s="734"/>
    </row>
    <row r="362" spans="1:39" customFormat="1" ht="12.75">
      <c r="A362" s="512"/>
      <c r="F362" s="1"/>
      <c r="G362" s="1"/>
      <c r="H362" s="1"/>
      <c r="I362" s="1"/>
      <c r="L362" s="45"/>
      <c r="M362" s="45"/>
      <c r="AM362" s="734"/>
    </row>
    <row r="363" spans="1:39" customFormat="1" ht="12.75">
      <c r="A363" s="512"/>
      <c r="F363" s="1"/>
      <c r="G363" s="1"/>
      <c r="H363" s="1"/>
      <c r="I363" s="1"/>
      <c r="L363" s="45"/>
      <c r="M363" s="45"/>
      <c r="AM363" s="734"/>
    </row>
    <row r="364" spans="1:39" customFormat="1" ht="12.75">
      <c r="A364" s="512"/>
      <c r="F364" s="1"/>
      <c r="G364" s="1"/>
      <c r="H364" s="1"/>
      <c r="I364" s="1"/>
      <c r="L364" s="45"/>
      <c r="M364" s="45"/>
      <c r="AM364" s="734"/>
    </row>
    <row r="365" spans="1:39" customFormat="1" ht="12.75">
      <c r="A365" s="512"/>
      <c r="F365" s="1"/>
      <c r="G365" s="1"/>
      <c r="H365" s="1"/>
      <c r="I365" s="1"/>
      <c r="L365" s="45"/>
      <c r="M365" s="45"/>
      <c r="AM365" s="734"/>
    </row>
    <row r="366" spans="1:39" customFormat="1" ht="12.75">
      <c r="A366" s="512"/>
      <c r="F366" s="1"/>
      <c r="G366" s="1"/>
      <c r="H366" s="1"/>
      <c r="I366" s="1"/>
      <c r="L366" s="45"/>
      <c r="M366" s="45"/>
      <c r="AM366" s="734"/>
    </row>
    <row r="367" spans="1:39" customFormat="1" ht="12.75">
      <c r="A367" s="512"/>
      <c r="F367" s="1"/>
      <c r="G367" s="1"/>
      <c r="H367" s="1"/>
      <c r="I367" s="1"/>
      <c r="L367" s="45"/>
      <c r="M367" s="45"/>
      <c r="AM367" s="734"/>
    </row>
    <row r="368" spans="1:39" customFormat="1" ht="12.75">
      <c r="A368" s="512"/>
      <c r="F368" s="1"/>
      <c r="G368" s="1"/>
      <c r="H368" s="1"/>
      <c r="I368" s="1"/>
      <c r="L368" s="45"/>
      <c r="M368" s="45"/>
      <c r="AM368" s="734"/>
    </row>
    <row r="369" spans="1:39" customFormat="1" ht="12.75">
      <c r="A369" s="512"/>
      <c r="F369" s="1"/>
      <c r="G369" s="1"/>
      <c r="H369" s="1"/>
      <c r="I369" s="1"/>
      <c r="L369" s="45"/>
      <c r="M369" s="45"/>
      <c r="AM369" s="734"/>
    </row>
    <row r="370" spans="1:39" customFormat="1" ht="12.75">
      <c r="A370" s="512"/>
      <c r="F370" s="1"/>
      <c r="G370" s="1"/>
      <c r="H370" s="1"/>
      <c r="I370" s="1"/>
      <c r="L370" s="45"/>
      <c r="M370" s="45"/>
      <c r="AM370" s="734"/>
    </row>
    <row r="371" spans="1:39" customFormat="1" ht="12.75">
      <c r="A371" s="512"/>
      <c r="F371" s="1"/>
      <c r="G371" s="1"/>
      <c r="H371" s="1"/>
      <c r="I371" s="1"/>
      <c r="L371" s="45"/>
      <c r="M371" s="45"/>
      <c r="AM371" s="734"/>
    </row>
    <row r="372" spans="1:39" customFormat="1" ht="12.75">
      <c r="A372" s="512"/>
      <c r="F372" s="1"/>
      <c r="G372" s="1"/>
      <c r="H372" s="1"/>
      <c r="I372" s="1"/>
      <c r="L372" s="45"/>
      <c r="M372" s="45"/>
      <c r="AM372" s="734"/>
    </row>
    <row r="373" spans="1:39" customFormat="1" ht="12.75">
      <c r="A373" s="512"/>
      <c r="F373" s="1"/>
      <c r="G373" s="1"/>
      <c r="H373" s="1"/>
      <c r="I373" s="1"/>
      <c r="L373" s="45"/>
      <c r="M373" s="45"/>
      <c r="AM373" s="734"/>
    </row>
    <row r="374" spans="1:39" customFormat="1" ht="12.75">
      <c r="A374" s="512"/>
      <c r="F374" s="1"/>
      <c r="G374" s="1"/>
      <c r="H374" s="1"/>
      <c r="I374" s="1"/>
      <c r="L374" s="45"/>
      <c r="M374" s="45"/>
      <c r="AM374" s="734"/>
    </row>
    <row r="375" spans="1:39" customFormat="1" ht="12.75">
      <c r="A375" s="512"/>
      <c r="F375" s="1"/>
      <c r="G375" s="1"/>
      <c r="H375" s="1"/>
      <c r="I375" s="1"/>
      <c r="L375" s="45"/>
      <c r="M375" s="45"/>
      <c r="AM375" s="734"/>
    </row>
    <row r="376" spans="1:39" customFormat="1" ht="12.75">
      <c r="A376" s="512"/>
      <c r="F376" s="1"/>
      <c r="G376" s="1"/>
      <c r="H376" s="1"/>
      <c r="I376" s="1"/>
      <c r="L376" s="45"/>
      <c r="M376" s="45"/>
      <c r="AM376" s="734"/>
    </row>
    <row r="377" spans="1:39" customFormat="1" ht="12.75">
      <c r="A377" s="512"/>
      <c r="F377" s="1"/>
      <c r="G377" s="1"/>
      <c r="H377" s="1"/>
      <c r="I377" s="1"/>
      <c r="L377" s="45"/>
      <c r="M377" s="45"/>
      <c r="AM377" s="734"/>
    </row>
    <row r="378" spans="1:39" customFormat="1" ht="12.75">
      <c r="A378" s="512"/>
      <c r="F378" s="1"/>
      <c r="G378" s="1"/>
      <c r="H378" s="1"/>
      <c r="I378" s="1"/>
      <c r="L378" s="45"/>
      <c r="M378" s="45"/>
      <c r="AM378" s="734"/>
    </row>
    <row r="379" spans="1:39" customFormat="1" ht="12.75">
      <c r="A379" s="512"/>
      <c r="F379" s="1"/>
      <c r="G379" s="1"/>
      <c r="H379" s="1"/>
      <c r="I379" s="1"/>
      <c r="L379" s="45"/>
      <c r="M379" s="45"/>
      <c r="AM379" s="734"/>
    </row>
    <row r="380" spans="1:39" customFormat="1" ht="12.75">
      <c r="A380" s="512"/>
      <c r="F380" s="1"/>
      <c r="G380" s="1"/>
      <c r="H380" s="1"/>
      <c r="I380" s="1"/>
      <c r="L380" s="45"/>
      <c r="M380" s="45"/>
      <c r="AM380" s="734"/>
    </row>
    <row r="381" spans="1:39" customFormat="1" ht="12.75">
      <c r="A381" s="512"/>
      <c r="F381" s="1"/>
      <c r="G381" s="1"/>
      <c r="H381" s="1"/>
      <c r="I381" s="1"/>
      <c r="L381" s="45"/>
      <c r="M381" s="45"/>
      <c r="AM381" s="734"/>
    </row>
    <row r="382" spans="1:39" customFormat="1" ht="12.75">
      <c r="A382" s="512"/>
      <c r="F382" s="1"/>
      <c r="G382" s="1"/>
      <c r="H382" s="1"/>
      <c r="I382" s="1"/>
      <c r="L382" s="45"/>
      <c r="M382" s="45"/>
      <c r="AM382" s="734"/>
    </row>
    <row r="383" spans="1:39" customFormat="1" ht="12.75">
      <c r="A383" s="512"/>
      <c r="F383" s="1"/>
      <c r="G383" s="1"/>
      <c r="H383" s="1"/>
      <c r="I383" s="1"/>
      <c r="L383" s="45"/>
      <c r="M383" s="45"/>
      <c r="AM383" s="734"/>
    </row>
    <row r="384" spans="1:39" customFormat="1" ht="12.75">
      <c r="A384" s="512"/>
      <c r="F384" s="1"/>
      <c r="G384" s="1"/>
      <c r="H384" s="1"/>
      <c r="I384" s="1"/>
      <c r="L384" s="45"/>
      <c r="M384" s="45"/>
      <c r="AM384" s="734"/>
    </row>
    <row r="385" spans="1:39" customFormat="1" ht="12.75">
      <c r="A385" s="512"/>
      <c r="F385" s="1"/>
      <c r="G385" s="1"/>
      <c r="H385" s="1"/>
      <c r="I385" s="1"/>
      <c r="L385" s="45"/>
      <c r="M385" s="45"/>
      <c r="AM385" s="734"/>
    </row>
    <row r="386" spans="1:39" customFormat="1" ht="12.75">
      <c r="A386" s="512"/>
      <c r="F386" s="1"/>
      <c r="G386" s="1"/>
      <c r="H386" s="1"/>
      <c r="I386" s="1"/>
      <c r="L386" s="45"/>
      <c r="M386" s="45"/>
      <c r="AM386" s="734"/>
    </row>
    <row r="387" spans="1:39" customFormat="1" ht="12.75">
      <c r="A387" s="512"/>
      <c r="F387" s="1"/>
      <c r="G387" s="1"/>
      <c r="H387" s="1"/>
      <c r="I387" s="1"/>
      <c r="L387" s="45"/>
      <c r="M387" s="45"/>
      <c r="AM387" s="734"/>
    </row>
    <row r="388" spans="1:39" customFormat="1" ht="12.75">
      <c r="A388" s="512"/>
      <c r="F388" s="1"/>
      <c r="G388" s="1"/>
      <c r="H388" s="1"/>
      <c r="I388" s="1"/>
      <c r="L388" s="45"/>
      <c r="M388" s="45"/>
      <c r="AM388" s="734"/>
    </row>
    <row r="389" spans="1:39" customFormat="1" ht="12.75">
      <c r="A389" s="512"/>
      <c r="F389" s="1"/>
      <c r="G389" s="1"/>
      <c r="H389" s="1"/>
      <c r="I389" s="1"/>
      <c r="L389" s="45"/>
      <c r="M389" s="45"/>
      <c r="AM389" s="734"/>
    </row>
    <row r="390" spans="1:39" customFormat="1" ht="12.75">
      <c r="A390" s="512"/>
      <c r="F390" s="1"/>
      <c r="G390" s="1"/>
      <c r="H390" s="1"/>
      <c r="I390" s="1"/>
      <c r="L390" s="45"/>
      <c r="M390" s="45"/>
      <c r="AM390" s="734"/>
    </row>
    <row r="391" spans="1:39" customFormat="1" ht="12.75">
      <c r="A391" s="512"/>
      <c r="F391" s="1"/>
      <c r="G391" s="1"/>
      <c r="H391" s="1"/>
      <c r="I391" s="1"/>
      <c r="L391" s="45"/>
      <c r="M391" s="45"/>
      <c r="AM391" s="734"/>
    </row>
    <row r="392" spans="1:39" customFormat="1" ht="12.75">
      <c r="A392" s="512"/>
      <c r="F392" s="1"/>
      <c r="G392" s="1"/>
      <c r="H392" s="1"/>
      <c r="I392" s="1"/>
      <c r="L392" s="45"/>
      <c r="M392" s="45"/>
      <c r="AM392" s="734"/>
    </row>
    <row r="393" spans="1:39" customFormat="1" ht="12.75">
      <c r="A393" s="512"/>
      <c r="F393" s="1"/>
      <c r="G393" s="1"/>
      <c r="H393" s="1"/>
      <c r="I393" s="1"/>
      <c r="L393" s="45"/>
      <c r="M393" s="45"/>
      <c r="AM393" s="734"/>
    </row>
    <row r="394" spans="1:39" customFormat="1" ht="12.75">
      <c r="A394" s="512"/>
      <c r="F394" s="1"/>
      <c r="G394" s="1"/>
      <c r="H394" s="1"/>
      <c r="I394" s="1"/>
      <c r="L394" s="45"/>
      <c r="M394" s="45"/>
      <c r="AM394" s="734"/>
    </row>
    <row r="395" spans="1:39" customFormat="1" ht="12.75">
      <c r="A395" s="512"/>
      <c r="F395" s="1"/>
      <c r="G395" s="1"/>
      <c r="H395" s="1"/>
      <c r="I395" s="1"/>
      <c r="L395" s="45"/>
      <c r="M395" s="45"/>
      <c r="AM395" s="734"/>
    </row>
    <row r="396" spans="1:39" customFormat="1" ht="12.75">
      <c r="A396" s="512"/>
      <c r="F396" s="1"/>
      <c r="G396" s="1"/>
      <c r="H396" s="1"/>
      <c r="I396" s="1"/>
      <c r="L396" s="45"/>
      <c r="M396" s="45"/>
      <c r="AM396" s="734"/>
    </row>
    <row r="397" spans="1:39" customFormat="1" ht="12.75">
      <c r="A397" s="512"/>
      <c r="F397" s="1"/>
      <c r="G397" s="1"/>
      <c r="H397" s="1"/>
      <c r="I397" s="1"/>
      <c r="L397" s="45"/>
      <c r="M397" s="45"/>
      <c r="AM397" s="734"/>
    </row>
    <row r="398" spans="1:39" customFormat="1" ht="12.75">
      <c r="A398" s="512"/>
      <c r="F398" s="1"/>
      <c r="G398" s="1"/>
      <c r="H398" s="1"/>
      <c r="I398" s="1"/>
      <c r="L398" s="45"/>
      <c r="M398" s="45"/>
      <c r="AM398" s="734"/>
    </row>
    <row r="399" spans="1:39" customFormat="1" ht="12.75">
      <c r="A399" s="512"/>
      <c r="F399" s="1"/>
      <c r="G399" s="1"/>
      <c r="H399" s="1"/>
      <c r="I399" s="1"/>
      <c r="L399" s="45"/>
      <c r="M399" s="45"/>
      <c r="AM399" s="734"/>
    </row>
    <row r="400" spans="1:39" customFormat="1" ht="12.75">
      <c r="A400" s="512"/>
      <c r="F400" s="1"/>
      <c r="G400" s="1"/>
      <c r="H400" s="1"/>
      <c r="I400" s="1"/>
      <c r="L400" s="45"/>
      <c r="M400" s="45"/>
      <c r="AM400" s="734"/>
    </row>
    <row r="401" spans="1:39" customFormat="1" ht="12.75">
      <c r="A401" s="512"/>
      <c r="F401" s="1"/>
      <c r="G401" s="1"/>
      <c r="H401" s="1"/>
      <c r="I401" s="1"/>
      <c r="L401" s="45"/>
      <c r="M401" s="45"/>
      <c r="AM401" s="734"/>
    </row>
    <row r="402" spans="1:39" customFormat="1" ht="12.75">
      <c r="A402" s="512"/>
      <c r="F402" s="1"/>
      <c r="G402" s="1"/>
      <c r="H402" s="1"/>
      <c r="I402" s="1"/>
      <c r="L402" s="45"/>
      <c r="M402" s="45"/>
      <c r="AM402" s="734"/>
    </row>
    <row r="403" spans="1:39" customFormat="1" ht="12.75">
      <c r="A403" s="512"/>
      <c r="F403" s="1"/>
      <c r="G403" s="1"/>
      <c r="H403" s="1"/>
      <c r="I403" s="1"/>
      <c r="L403" s="45"/>
      <c r="M403" s="45"/>
      <c r="AM403" s="734"/>
    </row>
    <row r="404" spans="1:39" customFormat="1" ht="12.75">
      <c r="A404" s="512"/>
      <c r="F404" s="1"/>
      <c r="G404" s="1"/>
      <c r="H404" s="1"/>
      <c r="I404" s="1"/>
      <c r="L404" s="45"/>
      <c r="M404" s="45"/>
      <c r="AM404" s="734"/>
    </row>
    <row r="405" spans="1:39" customFormat="1" ht="12.75">
      <c r="A405" s="512"/>
      <c r="F405" s="1"/>
      <c r="G405" s="1"/>
      <c r="H405" s="1"/>
      <c r="I405" s="1"/>
      <c r="L405" s="45"/>
      <c r="M405" s="45"/>
      <c r="AM405" s="734"/>
    </row>
    <row r="406" spans="1:39" customFormat="1" ht="12.75">
      <c r="A406" s="512"/>
      <c r="F406" s="1"/>
      <c r="G406" s="1"/>
      <c r="H406" s="1"/>
      <c r="I406" s="1"/>
      <c r="L406" s="45"/>
      <c r="M406" s="45"/>
      <c r="AM406" s="734"/>
    </row>
    <row r="407" spans="1:39" customFormat="1" ht="12.75">
      <c r="A407" s="512"/>
      <c r="F407" s="1"/>
      <c r="G407" s="1"/>
      <c r="H407" s="1"/>
      <c r="I407" s="1"/>
      <c r="L407" s="45"/>
      <c r="M407" s="45"/>
      <c r="AM407" s="734"/>
    </row>
    <row r="408" spans="1:39" customFormat="1" ht="12.75">
      <c r="A408" s="512"/>
      <c r="F408" s="1"/>
      <c r="G408" s="1"/>
      <c r="H408" s="1"/>
      <c r="I408" s="1"/>
      <c r="L408" s="45"/>
      <c r="M408" s="45"/>
      <c r="AM408" s="734"/>
    </row>
    <row r="409" spans="1:39" customFormat="1" ht="12.75">
      <c r="A409" s="512"/>
      <c r="F409" s="1"/>
      <c r="G409" s="1"/>
      <c r="H409" s="1"/>
      <c r="I409" s="1"/>
      <c r="L409" s="45"/>
      <c r="M409" s="45"/>
      <c r="AM409" s="734"/>
    </row>
    <row r="410" spans="1:39" customFormat="1" ht="12.75">
      <c r="A410" s="512"/>
      <c r="F410" s="1"/>
      <c r="G410" s="1"/>
      <c r="H410" s="1"/>
      <c r="I410" s="1"/>
      <c r="L410" s="45"/>
      <c r="M410" s="45"/>
      <c r="AM410" s="734"/>
    </row>
    <row r="411" spans="1:39" customFormat="1" ht="12.75">
      <c r="A411" s="512"/>
      <c r="F411" s="1"/>
      <c r="G411" s="1"/>
      <c r="H411" s="1"/>
      <c r="I411" s="1"/>
      <c r="L411" s="45"/>
      <c r="M411" s="45"/>
      <c r="AM411" s="734"/>
    </row>
    <row r="412" spans="1:39" customFormat="1" ht="12.75">
      <c r="A412" s="512"/>
      <c r="F412" s="1"/>
      <c r="G412" s="1"/>
      <c r="H412" s="1"/>
      <c r="I412" s="1"/>
      <c r="L412" s="45"/>
      <c r="M412" s="45"/>
      <c r="AM412" s="734"/>
    </row>
    <row r="413" spans="1:39" customFormat="1" ht="12.75">
      <c r="A413" s="512"/>
      <c r="F413" s="1"/>
      <c r="G413" s="1"/>
      <c r="H413" s="1"/>
      <c r="I413" s="1"/>
      <c r="L413" s="45"/>
      <c r="M413" s="45"/>
      <c r="AM413" s="734"/>
    </row>
    <row r="414" spans="1:39" customFormat="1" ht="12.75">
      <c r="A414" s="512"/>
      <c r="F414" s="1"/>
      <c r="G414" s="1"/>
      <c r="H414" s="1"/>
      <c r="I414" s="1"/>
      <c r="L414" s="45"/>
      <c r="M414" s="45"/>
      <c r="AM414" s="734"/>
    </row>
    <row r="415" spans="1:39" customFormat="1" ht="12.75">
      <c r="A415" s="512"/>
      <c r="F415" s="1"/>
      <c r="G415" s="1"/>
      <c r="H415" s="1"/>
      <c r="I415" s="1"/>
      <c r="L415" s="45"/>
      <c r="M415" s="45"/>
      <c r="AM415" s="734"/>
    </row>
    <row r="416" spans="1:39" customFormat="1" ht="12.75">
      <c r="A416" s="512"/>
      <c r="F416" s="1"/>
      <c r="G416" s="1"/>
      <c r="H416" s="1"/>
      <c r="I416" s="1"/>
      <c r="L416" s="45"/>
      <c r="M416" s="45"/>
      <c r="AM416" s="734"/>
    </row>
    <row r="417" spans="1:39" customFormat="1" ht="12.75">
      <c r="A417" s="512"/>
      <c r="F417" s="1"/>
      <c r="G417" s="1"/>
      <c r="H417" s="1"/>
      <c r="I417" s="1"/>
      <c r="L417" s="45"/>
      <c r="M417" s="45"/>
      <c r="AM417" s="734"/>
    </row>
    <row r="418" spans="1:39" customFormat="1" ht="12.75">
      <c r="A418" s="512"/>
      <c r="F418" s="1"/>
      <c r="G418" s="1"/>
      <c r="H418" s="1"/>
      <c r="I418" s="1"/>
      <c r="L418" s="45"/>
      <c r="M418" s="45"/>
      <c r="AM418" s="734"/>
    </row>
    <row r="419" spans="1:39" customFormat="1" ht="12.75">
      <c r="A419" s="512"/>
      <c r="F419" s="1"/>
      <c r="G419" s="1"/>
      <c r="H419" s="1"/>
      <c r="I419" s="1"/>
      <c r="L419" s="45"/>
      <c r="M419" s="45"/>
      <c r="AM419" s="734"/>
    </row>
    <row r="420" spans="1:39" customFormat="1" ht="12.75">
      <c r="A420" s="512"/>
      <c r="F420" s="1"/>
      <c r="G420" s="1"/>
      <c r="H420" s="1"/>
      <c r="I420" s="1"/>
      <c r="L420" s="45"/>
      <c r="M420" s="45"/>
      <c r="AM420" s="734"/>
    </row>
    <row r="421" spans="1:39" customFormat="1" ht="12.75">
      <c r="A421" s="512"/>
      <c r="F421" s="1"/>
      <c r="G421" s="1"/>
      <c r="H421" s="1"/>
      <c r="I421" s="1"/>
      <c r="L421" s="45"/>
      <c r="M421" s="45"/>
      <c r="AM421" s="734"/>
    </row>
    <row r="422" spans="1:39" customFormat="1" ht="12.75">
      <c r="A422" s="512"/>
      <c r="F422" s="1"/>
      <c r="G422" s="1"/>
      <c r="H422" s="1"/>
      <c r="I422" s="1"/>
      <c r="L422" s="45"/>
      <c r="M422" s="45"/>
      <c r="AM422" s="734"/>
    </row>
    <row r="423" spans="1:39" customFormat="1" ht="12.75">
      <c r="A423" s="512"/>
      <c r="F423" s="1"/>
      <c r="G423" s="1"/>
      <c r="H423" s="1"/>
      <c r="I423" s="1"/>
      <c r="L423" s="45"/>
      <c r="M423" s="45"/>
      <c r="AM423" s="734"/>
    </row>
    <row r="424" spans="1:39" customFormat="1" ht="12.75">
      <c r="A424" s="512"/>
      <c r="F424" s="1"/>
      <c r="G424" s="1"/>
      <c r="H424" s="1"/>
      <c r="I424" s="1"/>
      <c r="L424" s="45"/>
      <c r="M424" s="45"/>
      <c r="AM424" s="734"/>
    </row>
    <row r="425" spans="1:39" customFormat="1" ht="12.75">
      <c r="A425" s="512"/>
      <c r="F425" s="1"/>
      <c r="G425" s="1"/>
      <c r="H425" s="1"/>
      <c r="I425" s="1"/>
      <c r="L425" s="45"/>
      <c r="M425" s="45"/>
      <c r="AM425" s="734"/>
    </row>
    <row r="426" spans="1:39" customFormat="1" ht="12.75">
      <c r="A426" s="512"/>
      <c r="F426" s="1"/>
      <c r="G426" s="1"/>
      <c r="H426" s="1"/>
      <c r="I426" s="1"/>
      <c r="L426" s="45"/>
      <c r="M426" s="45"/>
      <c r="AM426" s="734"/>
    </row>
    <row r="427" spans="1:39" customFormat="1" ht="12.75">
      <c r="A427" s="512"/>
      <c r="F427" s="1"/>
      <c r="G427" s="1"/>
      <c r="H427" s="1"/>
      <c r="I427" s="1"/>
      <c r="L427" s="45"/>
      <c r="M427" s="45"/>
      <c r="AM427" s="734"/>
    </row>
    <row r="428" spans="1:39" customFormat="1" ht="12.75">
      <c r="A428" s="512"/>
      <c r="F428" s="1"/>
      <c r="G428" s="1"/>
      <c r="H428" s="1"/>
      <c r="I428" s="1"/>
      <c r="L428" s="45"/>
      <c r="M428" s="45"/>
      <c r="AM428" s="734"/>
    </row>
    <row r="429" spans="1:39" customFormat="1" ht="12.75">
      <c r="A429" s="512"/>
      <c r="F429" s="1"/>
      <c r="G429" s="1"/>
      <c r="H429" s="1"/>
      <c r="I429" s="1"/>
      <c r="L429" s="45"/>
      <c r="M429" s="45"/>
      <c r="AM429" s="734"/>
    </row>
    <row r="430" spans="1:39" customFormat="1" ht="12.75">
      <c r="A430" s="512"/>
      <c r="F430" s="1"/>
      <c r="G430" s="1"/>
      <c r="H430" s="1"/>
      <c r="I430" s="1"/>
      <c r="L430" s="45"/>
      <c r="M430" s="45"/>
      <c r="AM430" s="734"/>
    </row>
    <row r="431" spans="1:39" customFormat="1" ht="12.75">
      <c r="A431" s="512"/>
      <c r="F431" s="1"/>
      <c r="G431" s="1"/>
      <c r="H431" s="1"/>
      <c r="I431" s="1"/>
      <c r="L431" s="45"/>
      <c r="M431" s="45"/>
      <c r="AM431" s="734"/>
    </row>
    <row r="432" spans="1:39" customFormat="1" ht="12.75">
      <c r="A432" s="512"/>
      <c r="F432" s="1"/>
      <c r="G432" s="1"/>
      <c r="H432" s="1"/>
      <c r="I432" s="1"/>
      <c r="L432" s="45"/>
      <c r="M432" s="45"/>
      <c r="AM432" s="734"/>
    </row>
    <row r="433" spans="1:39" customFormat="1" ht="12.75">
      <c r="A433" s="512"/>
      <c r="F433" s="1"/>
      <c r="G433" s="1"/>
      <c r="H433" s="1"/>
      <c r="I433" s="1"/>
      <c r="L433" s="45"/>
      <c r="M433" s="45"/>
      <c r="AM433" s="734"/>
    </row>
    <row r="434" spans="1:39" customFormat="1" ht="12.75">
      <c r="A434" s="512"/>
      <c r="F434" s="1"/>
      <c r="G434" s="1"/>
      <c r="H434" s="1"/>
      <c r="I434" s="1"/>
      <c r="L434" s="45"/>
      <c r="M434" s="45"/>
      <c r="AM434" s="734"/>
    </row>
    <row r="435" spans="1:39" customFormat="1" ht="12.75">
      <c r="A435" s="512"/>
      <c r="F435" s="1"/>
      <c r="G435" s="1"/>
      <c r="H435" s="1"/>
      <c r="I435" s="1"/>
      <c r="L435" s="45"/>
      <c r="M435" s="45"/>
      <c r="AM435" s="734"/>
    </row>
    <row r="436" spans="1:39" customFormat="1" ht="12.75">
      <c r="A436" s="512"/>
      <c r="F436" s="1"/>
      <c r="G436" s="1"/>
      <c r="H436" s="1"/>
      <c r="I436" s="1"/>
      <c r="L436" s="45"/>
      <c r="M436" s="45"/>
      <c r="AM436" s="734"/>
    </row>
    <row r="437" spans="1:39" customFormat="1" ht="12.75">
      <c r="A437" s="512"/>
      <c r="F437" s="1"/>
      <c r="G437" s="1"/>
      <c r="H437" s="1"/>
      <c r="I437" s="1"/>
      <c r="L437" s="45"/>
      <c r="M437" s="45"/>
      <c r="AM437" s="734"/>
    </row>
    <row r="438" spans="1:39" customFormat="1" ht="12.75">
      <c r="A438" s="512"/>
      <c r="F438" s="1"/>
      <c r="G438" s="1"/>
      <c r="H438" s="1"/>
      <c r="I438" s="1"/>
      <c r="L438" s="45"/>
      <c r="M438" s="45"/>
      <c r="AM438" s="734"/>
    </row>
    <row r="439" spans="1:39" customFormat="1" ht="12.75">
      <c r="A439" s="512"/>
      <c r="F439" s="1"/>
      <c r="G439" s="1"/>
      <c r="H439" s="1"/>
      <c r="I439" s="1"/>
      <c r="L439" s="45"/>
      <c r="M439" s="45"/>
      <c r="AM439" s="734"/>
    </row>
    <row r="440" spans="1:39" customFormat="1" ht="12.75">
      <c r="A440" s="512"/>
      <c r="F440" s="1"/>
      <c r="G440" s="1"/>
      <c r="H440" s="1"/>
      <c r="I440" s="1"/>
      <c r="L440" s="45"/>
      <c r="M440" s="45"/>
      <c r="AM440" s="734"/>
    </row>
    <row r="441" spans="1:39" customFormat="1" ht="12.75">
      <c r="A441" s="512"/>
      <c r="F441" s="1"/>
      <c r="G441" s="1"/>
      <c r="H441" s="1"/>
      <c r="I441" s="1"/>
      <c r="L441" s="45"/>
      <c r="M441" s="45"/>
      <c r="AM441" s="734"/>
    </row>
    <row r="442" spans="1:39" customFormat="1" ht="12.75">
      <c r="A442" s="512"/>
      <c r="F442" s="1"/>
      <c r="G442" s="1"/>
      <c r="H442" s="1"/>
      <c r="I442" s="1"/>
      <c r="L442" s="45"/>
      <c r="M442" s="45"/>
      <c r="AM442" s="734"/>
    </row>
    <row r="443" spans="1:39" customFormat="1" ht="12.75">
      <c r="A443" s="512"/>
      <c r="F443" s="1"/>
      <c r="G443" s="1"/>
      <c r="H443" s="1"/>
      <c r="I443" s="1"/>
      <c r="L443" s="45"/>
      <c r="M443" s="45"/>
      <c r="AM443" s="734"/>
    </row>
    <row r="444" spans="1:39" customFormat="1" ht="12.75">
      <c r="A444" s="512"/>
      <c r="F444" s="1"/>
      <c r="G444" s="1"/>
      <c r="H444" s="1"/>
      <c r="I444" s="1"/>
      <c r="L444" s="45"/>
      <c r="M444" s="45"/>
      <c r="AM444" s="734"/>
    </row>
    <row r="445" spans="1:39" customFormat="1" ht="12.75">
      <c r="A445" s="512"/>
      <c r="F445" s="1"/>
      <c r="G445" s="1"/>
      <c r="H445" s="1"/>
      <c r="I445" s="1"/>
      <c r="L445" s="45"/>
      <c r="M445" s="45"/>
      <c r="AM445" s="734"/>
    </row>
    <row r="446" spans="1:39" customFormat="1" ht="12.75">
      <c r="A446" s="512"/>
      <c r="F446" s="1"/>
      <c r="G446" s="1"/>
      <c r="H446" s="1"/>
      <c r="I446" s="1"/>
      <c r="L446" s="45"/>
      <c r="M446" s="45"/>
      <c r="AM446" s="734"/>
    </row>
    <row r="447" spans="1:39" customFormat="1" ht="12.75">
      <c r="A447" s="512"/>
      <c r="F447" s="1"/>
      <c r="G447" s="1"/>
      <c r="H447" s="1"/>
      <c r="I447" s="1"/>
      <c r="L447" s="45"/>
      <c r="M447" s="45"/>
      <c r="AM447" s="734"/>
    </row>
    <row r="448" spans="1:39" customFormat="1" ht="12.75">
      <c r="A448" s="512"/>
      <c r="F448" s="1"/>
      <c r="G448" s="1"/>
      <c r="H448" s="1"/>
      <c r="I448" s="1"/>
      <c r="L448" s="45"/>
      <c r="M448" s="45"/>
      <c r="AM448" s="734"/>
    </row>
    <row r="449" spans="1:39" customFormat="1" ht="12.75">
      <c r="A449" s="512"/>
      <c r="F449" s="1"/>
      <c r="G449" s="1"/>
      <c r="H449" s="1"/>
      <c r="I449" s="1"/>
      <c r="L449" s="45"/>
      <c r="M449" s="45"/>
      <c r="AM449" s="734"/>
    </row>
    <row r="450" spans="1:39" customFormat="1" ht="12.75">
      <c r="A450" s="512"/>
      <c r="F450" s="1"/>
      <c r="G450" s="1"/>
      <c r="H450" s="1"/>
      <c r="I450" s="1"/>
      <c r="L450" s="45"/>
      <c r="M450" s="45"/>
      <c r="AM450" s="734"/>
    </row>
    <row r="451" spans="1:39" customFormat="1" ht="12.75">
      <c r="A451" s="512"/>
      <c r="F451" s="1"/>
      <c r="G451" s="1"/>
      <c r="H451" s="1"/>
      <c r="I451" s="1"/>
      <c r="L451" s="45"/>
      <c r="M451" s="45"/>
      <c r="AM451" s="734"/>
    </row>
    <row r="452" spans="1:39" customFormat="1" ht="12.75">
      <c r="A452" s="512"/>
      <c r="F452" s="1"/>
      <c r="G452" s="1"/>
      <c r="H452" s="1"/>
      <c r="I452" s="1"/>
      <c r="L452" s="45"/>
      <c r="M452" s="45"/>
      <c r="AM452" s="734"/>
    </row>
    <row r="453" spans="1:39" customFormat="1" ht="12.75">
      <c r="A453" s="512"/>
      <c r="F453" s="1"/>
      <c r="G453" s="1"/>
      <c r="H453" s="1"/>
      <c r="I453" s="1"/>
      <c r="L453" s="45"/>
      <c r="M453" s="45"/>
      <c r="AM453" s="734"/>
    </row>
    <row r="454" spans="1:39" customFormat="1" ht="12.75">
      <c r="A454" s="512"/>
      <c r="F454" s="1"/>
      <c r="G454" s="1"/>
      <c r="H454" s="1"/>
      <c r="I454" s="1"/>
      <c r="L454" s="45"/>
      <c r="M454" s="45"/>
      <c r="AM454" s="734"/>
    </row>
    <row r="455" spans="1:39" customFormat="1" ht="12.75">
      <c r="A455" s="512"/>
      <c r="F455" s="1"/>
      <c r="G455" s="1"/>
      <c r="H455" s="1"/>
      <c r="I455" s="1"/>
      <c r="L455" s="45"/>
      <c r="M455" s="45"/>
      <c r="AM455" s="734"/>
    </row>
    <row r="456" spans="1:39" customFormat="1" ht="12.75">
      <c r="A456" s="512"/>
      <c r="F456" s="1"/>
      <c r="G456" s="1"/>
      <c r="H456" s="1"/>
      <c r="I456" s="1"/>
      <c r="L456" s="45"/>
      <c r="M456" s="45"/>
      <c r="AM456" s="734"/>
    </row>
    <row r="457" spans="1:39" customFormat="1" ht="12.75">
      <c r="A457" s="512"/>
      <c r="F457" s="1"/>
      <c r="G457" s="1"/>
      <c r="H457" s="1"/>
      <c r="I457" s="1"/>
      <c r="L457" s="45"/>
      <c r="M457" s="45"/>
      <c r="AM457" s="734"/>
    </row>
    <row r="458" spans="1:39" customFormat="1" ht="12.75">
      <c r="A458" s="512"/>
      <c r="F458" s="1"/>
      <c r="G458" s="1"/>
      <c r="H458" s="1"/>
      <c r="I458" s="1"/>
      <c r="L458" s="45"/>
      <c r="M458" s="45"/>
      <c r="AM458" s="734"/>
    </row>
    <row r="459" spans="1:39" customFormat="1" ht="12.75">
      <c r="A459" s="512"/>
      <c r="F459" s="1"/>
      <c r="G459" s="1"/>
      <c r="H459" s="1"/>
      <c r="I459" s="1"/>
      <c r="L459" s="45"/>
      <c r="M459" s="45"/>
      <c r="AM459" s="734"/>
    </row>
    <row r="460" spans="1:39" customFormat="1" ht="12.75">
      <c r="A460" s="512"/>
      <c r="F460" s="1"/>
      <c r="G460" s="1"/>
      <c r="H460" s="1"/>
      <c r="I460" s="1"/>
      <c r="L460" s="45"/>
      <c r="M460" s="45"/>
      <c r="AM460" s="734"/>
    </row>
    <row r="461" spans="1:39" customFormat="1" ht="12.75">
      <c r="A461" s="512"/>
      <c r="F461" s="1"/>
      <c r="G461" s="1"/>
      <c r="H461" s="1"/>
      <c r="I461" s="1"/>
      <c r="L461" s="45"/>
      <c r="M461" s="45"/>
      <c r="AM461" s="734"/>
    </row>
    <row r="462" spans="1:39" customFormat="1" ht="12.75">
      <c r="A462" s="512"/>
      <c r="F462" s="1"/>
      <c r="G462" s="1"/>
      <c r="H462" s="1"/>
      <c r="I462" s="1"/>
      <c r="L462" s="45"/>
      <c r="M462" s="45"/>
      <c r="AM462" s="734"/>
    </row>
    <row r="463" spans="1:39" customFormat="1" ht="12.75">
      <c r="A463" s="512"/>
      <c r="F463" s="1"/>
      <c r="G463" s="1"/>
      <c r="H463" s="1"/>
      <c r="I463" s="1"/>
      <c r="L463" s="45"/>
      <c r="M463" s="45"/>
      <c r="AM463" s="734"/>
    </row>
    <row r="464" spans="1:39" customFormat="1" ht="12.75">
      <c r="A464" s="512"/>
      <c r="F464" s="1"/>
      <c r="G464" s="1"/>
      <c r="H464" s="1"/>
      <c r="I464" s="1"/>
      <c r="L464" s="45"/>
      <c r="M464" s="45"/>
      <c r="AM464" s="734"/>
    </row>
    <row r="465" spans="1:39" customFormat="1" ht="12.75">
      <c r="A465" s="512"/>
      <c r="F465" s="1"/>
      <c r="G465" s="1"/>
      <c r="H465" s="1"/>
      <c r="I465" s="1"/>
      <c r="L465" s="45"/>
      <c r="M465" s="45"/>
      <c r="AM465" s="734"/>
    </row>
    <row r="466" spans="1:39" customFormat="1" ht="12.75">
      <c r="A466" s="512"/>
      <c r="F466" s="1"/>
      <c r="G466" s="1"/>
      <c r="H466" s="1"/>
      <c r="I466" s="1"/>
      <c r="L466" s="45"/>
      <c r="M466" s="45"/>
      <c r="AM466" s="734"/>
    </row>
    <row r="467" spans="1:39" customFormat="1" ht="12.75">
      <c r="A467" s="512"/>
      <c r="F467" s="1"/>
      <c r="G467" s="1"/>
      <c r="H467" s="1"/>
      <c r="I467" s="1"/>
      <c r="L467" s="45"/>
      <c r="M467" s="45"/>
      <c r="AM467" s="734"/>
    </row>
    <row r="468" spans="1:39" customFormat="1" ht="12.75">
      <c r="A468" s="512"/>
      <c r="F468" s="1"/>
      <c r="G468" s="1"/>
      <c r="H468" s="1"/>
      <c r="I468" s="1"/>
      <c r="L468" s="45"/>
      <c r="M468" s="45"/>
      <c r="AM468" s="734"/>
    </row>
    <row r="469" spans="1:39" customFormat="1" ht="12.75">
      <c r="A469" s="512"/>
      <c r="F469" s="1"/>
      <c r="G469" s="1"/>
      <c r="H469" s="1"/>
      <c r="I469" s="1"/>
      <c r="L469" s="45"/>
      <c r="M469" s="45"/>
      <c r="AM469" s="734"/>
    </row>
    <row r="470" spans="1:39" customFormat="1" ht="12.75">
      <c r="A470" s="512"/>
      <c r="F470" s="1"/>
      <c r="G470" s="1"/>
      <c r="H470" s="1"/>
      <c r="I470" s="1"/>
      <c r="L470" s="45"/>
      <c r="M470" s="45"/>
      <c r="AM470" s="734"/>
    </row>
    <row r="471" spans="1:39" customFormat="1" ht="12.75">
      <c r="A471" s="512"/>
      <c r="F471" s="1"/>
      <c r="G471" s="1"/>
      <c r="H471" s="1"/>
      <c r="I471" s="1"/>
      <c r="L471" s="45"/>
      <c r="M471" s="45"/>
      <c r="AM471" s="734"/>
    </row>
    <row r="472" spans="1:39" customFormat="1" ht="12.75">
      <c r="A472" s="512"/>
      <c r="F472" s="1"/>
      <c r="G472" s="1"/>
      <c r="H472" s="1"/>
      <c r="I472" s="1"/>
      <c r="L472" s="45"/>
      <c r="M472" s="45"/>
      <c r="AM472" s="734"/>
    </row>
    <row r="473" spans="1:39" customFormat="1" ht="12.75">
      <c r="A473" s="512"/>
      <c r="F473" s="1"/>
      <c r="G473" s="1"/>
      <c r="H473" s="1"/>
      <c r="I473" s="1"/>
      <c r="L473" s="45"/>
      <c r="M473" s="45"/>
      <c r="AM473" s="734"/>
    </row>
    <row r="474" spans="1:39" customFormat="1" ht="12.75">
      <c r="A474" s="512"/>
      <c r="F474" s="1"/>
      <c r="G474" s="1"/>
      <c r="H474" s="1"/>
      <c r="I474" s="1"/>
      <c r="L474" s="45"/>
      <c r="M474" s="45"/>
      <c r="AM474" s="734"/>
    </row>
    <row r="475" spans="1:39" customFormat="1" ht="12.75">
      <c r="A475" s="512"/>
      <c r="F475" s="1"/>
      <c r="G475" s="1"/>
      <c r="H475" s="1"/>
      <c r="I475" s="1"/>
      <c r="L475" s="45"/>
      <c r="M475" s="45"/>
      <c r="AM475" s="734"/>
    </row>
    <row r="476" spans="1:39" customFormat="1" ht="12.75">
      <c r="A476" s="512"/>
      <c r="F476" s="1"/>
      <c r="G476" s="1"/>
      <c r="H476" s="1"/>
      <c r="I476" s="1"/>
      <c r="L476" s="45"/>
      <c r="M476" s="45"/>
      <c r="AM476" s="734"/>
    </row>
    <row r="477" spans="1:39" customFormat="1" ht="12.75">
      <c r="A477" s="512"/>
      <c r="F477" s="1"/>
      <c r="G477" s="1"/>
      <c r="H477" s="1"/>
      <c r="I477" s="1"/>
      <c r="L477" s="45"/>
      <c r="M477" s="45"/>
      <c r="AM477" s="734"/>
    </row>
    <row r="478" spans="1:39" customFormat="1" ht="12.75">
      <c r="A478" s="512"/>
      <c r="F478" s="1"/>
      <c r="G478" s="1"/>
      <c r="H478" s="1"/>
      <c r="I478" s="1"/>
      <c r="L478" s="45"/>
      <c r="M478" s="45"/>
      <c r="AM478" s="734"/>
    </row>
    <row r="479" spans="1:39" customFormat="1" ht="12.75">
      <c r="A479" s="512"/>
      <c r="F479" s="1"/>
      <c r="G479" s="1"/>
      <c r="H479" s="1"/>
      <c r="I479" s="1"/>
      <c r="L479" s="45"/>
      <c r="M479" s="45"/>
      <c r="AM479" s="734"/>
    </row>
    <row r="480" spans="1:39" customFormat="1" ht="12.75">
      <c r="A480" s="512"/>
      <c r="F480" s="1"/>
      <c r="G480" s="1"/>
      <c r="H480" s="1"/>
      <c r="I480" s="1"/>
      <c r="L480" s="45"/>
      <c r="M480" s="45"/>
      <c r="AM480" s="734"/>
    </row>
    <row r="481" spans="1:39" customFormat="1" ht="12.75">
      <c r="A481" s="512"/>
      <c r="F481" s="1"/>
      <c r="G481" s="1"/>
      <c r="H481" s="1"/>
      <c r="I481" s="1"/>
      <c r="L481" s="45"/>
      <c r="M481" s="45"/>
      <c r="AM481" s="734"/>
    </row>
    <row r="482" spans="1:39" customFormat="1" ht="12.75">
      <c r="A482" s="512"/>
      <c r="F482" s="1"/>
      <c r="G482" s="1"/>
      <c r="H482" s="1"/>
      <c r="I482" s="1"/>
      <c r="L482" s="45"/>
      <c r="M482" s="45"/>
      <c r="AM482" s="734"/>
    </row>
    <row r="483" spans="1:39" customFormat="1" ht="12.75">
      <c r="A483" s="512"/>
      <c r="F483" s="1"/>
      <c r="G483" s="1"/>
      <c r="H483" s="1"/>
      <c r="I483" s="1"/>
      <c r="L483" s="45"/>
      <c r="M483" s="45"/>
      <c r="AM483" s="734"/>
    </row>
    <row r="484" spans="1:39" customFormat="1" ht="12.75">
      <c r="A484" s="512"/>
      <c r="F484" s="1"/>
      <c r="G484" s="1"/>
      <c r="H484" s="1"/>
      <c r="I484" s="1"/>
      <c r="L484" s="45"/>
      <c r="M484" s="45"/>
      <c r="AM484" s="734"/>
    </row>
    <row r="485" spans="1:39" customFormat="1" ht="12.75">
      <c r="A485" s="512"/>
      <c r="F485" s="1"/>
      <c r="G485" s="1"/>
      <c r="H485" s="1"/>
      <c r="I485" s="1"/>
      <c r="L485" s="45"/>
      <c r="M485" s="45"/>
      <c r="AM485" s="734"/>
    </row>
    <row r="486" spans="1:39" customFormat="1" ht="12.75">
      <c r="A486" s="512"/>
      <c r="F486" s="1"/>
      <c r="G486" s="1"/>
      <c r="H486" s="1"/>
      <c r="I486" s="1"/>
      <c r="L486" s="45"/>
      <c r="M486" s="45"/>
      <c r="AM486" s="734"/>
    </row>
    <row r="487" spans="1:39" customFormat="1" ht="12.75">
      <c r="A487" s="512"/>
      <c r="F487" s="1"/>
      <c r="G487" s="1"/>
      <c r="H487" s="1"/>
      <c r="I487" s="1"/>
      <c r="L487" s="45"/>
      <c r="M487" s="45"/>
      <c r="AM487" s="734"/>
    </row>
    <row r="488" spans="1:39" customFormat="1" ht="12.75">
      <c r="A488" s="512"/>
      <c r="F488" s="1"/>
      <c r="G488" s="1"/>
      <c r="H488" s="1"/>
      <c r="I488" s="1"/>
      <c r="L488" s="45"/>
      <c r="M488" s="45"/>
      <c r="AM488" s="734"/>
    </row>
    <row r="489" spans="1:39" customFormat="1" ht="12.75">
      <c r="A489" s="512"/>
      <c r="F489" s="1"/>
      <c r="G489" s="1"/>
      <c r="H489" s="1"/>
      <c r="I489" s="1"/>
      <c r="L489" s="45"/>
      <c r="M489" s="45"/>
      <c r="AM489" s="734"/>
    </row>
    <row r="490" spans="1:39" customFormat="1" ht="12.75">
      <c r="A490" s="512"/>
      <c r="F490" s="1"/>
      <c r="G490" s="1"/>
      <c r="H490" s="1"/>
      <c r="I490" s="1"/>
      <c r="L490" s="45"/>
      <c r="M490" s="45"/>
      <c r="AM490" s="734"/>
    </row>
    <row r="491" spans="1:39" customFormat="1" ht="12.75">
      <c r="A491" s="512"/>
      <c r="F491" s="1"/>
      <c r="G491" s="1"/>
      <c r="H491" s="1"/>
      <c r="I491" s="1"/>
      <c r="L491" s="45"/>
      <c r="M491" s="45"/>
      <c r="AM491" s="734"/>
    </row>
    <row r="492" spans="1:39" customFormat="1" ht="12.75">
      <c r="A492" s="512"/>
      <c r="F492" s="1"/>
      <c r="G492" s="1"/>
      <c r="H492" s="1"/>
      <c r="I492" s="1"/>
      <c r="L492" s="45"/>
      <c r="M492" s="45"/>
      <c r="AM492" s="734"/>
    </row>
    <row r="493" spans="1:39" customFormat="1" ht="12.75">
      <c r="A493" s="512"/>
      <c r="F493" s="1"/>
      <c r="G493" s="1"/>
      <c r="H493" s="1"/>
      <c r="I493" s="1"/>
      <c r="L493" s="45"/>
      <c r="M493" s="45"/>
      <c r="AM493" s="734"/>
    </row>
    <row r="494" spans="1:39" customFormat="1" ht="12.75">
      <c r="A494" s="512"/>
      <c r="F494" s="1"/>
      <c r="G494" s="1"/>
      <c r="H494" s="1"/>
      <c r="I494" s="1"/>
      <c r="L494" s="45"/>
      <c r="M494" s="45"/>
      <c r="AM494" s="734"/>
    </row>
    <row r="495" spans="1:39" customFormat="1" ht="12.75">
      <c r="A495" s="512"/>
      <c r="F495" s="1"/>
      <c r="G495" s="1"/>
      <c r="H495" s="1"/>
      <c r="I495" s="1"/>
      <c r="L495" s="45"/>
      <c r="M495" s="45"/>
      <c r="AM495" s="734"/>
    </row>
    <row r="496" spans="1:39" customFormat="1" ht="12.75">
      <c r="A496" s="512"/>
      <c r="F496" s="1"/>
      <c r="G496" s="1"/>
      <c r="H496" s="1"/>
      <c r="I496" s="1"/>
      <c r="L496" s="45"/>
      <c r="M496" s="45"/>
      <c r="AM496" s="734"/>
    </row>
    <row r="497" spans="1:39" customFormat="1" ht="12.75">
      <c r="A497" s="512"/>
      <c r="F497" s="1"/>
      <c r="G497" s="1"/>
      <c r="H497" s="1"/>
      <c r="I497" s="1"/>
      <c r="L497" s="45"/>
      <c r="M497" s="45"/>
      <c r="AM497" s="734"/>
    </row>
    <row r="498" spans="1:39" customFormat="1" ht="12.75">
      <c r="A498" s="512"/>
      <c r="F498" s="1"/>
      <c r="G498" s="1"/>
      <c r="H498" s="1"/>
      <c r="I498" s="1"/>
      <c r="L498" s="45"/>
      <c r="M498" s="45"/>
      <c r="AM498" s="734"/>
    </row>
    <row r="499" spans="1:39" customFormat="1" ht="12.75">
      <c r="A499" s="512"/>
      <c r="F499" s="1"/>
      <c r="G499" s="1"/>
      <c r="H499" s="1"/>
      <c r="I499" s="1"/>
      <c r="L499" s="45"/>
      <c r="M499" s="45"/>
      <c r="AM499" s="734"/>
    </row>
    <row r="500" spans="1:39" customFormat="1" ht="12.75">
      <c r="A500" s="512"/>
      <c r="F500" s="1"/>
      <c r="G500" s="1"/>
      <c r="H500" s="1"/>
      <c r="I500" s="1"/>
      <c r="L500" s="45"/>
      <c r="M500" s="45"/>
      <c r="AM500" s="734"/>
    </row>
    <row r="501" spans="1:39" customFormat="1" ht="12.75">
      <c r="A501" s="512"/>
      <c r="F501" s="1"/>
      <c r="G501" s="1"/>
      <c r="H501" s="1"/>
      <c r="I501" s="1"/>
      <c r="L501" s="45"/>
      <c r="M501" s="45"/>
      <c r="AM501" s="734"/>
    </row>
    <row r="502" spans="1:39" customFormat="1" ht="12.75">
      <c r="A502" s="512"/>
      <c r="F502" s="1"/>
      <c r="G502" s="1"/>
      <c r="H502" s="1"/>
      <c r="I502" s="1"/>
      <c r="L502" s="45"/>
      <c r="M502" s="45"/>
      <c r="AM502" s="734"/>
    </row>
    <row r="503" spans="1:39" customFormat="1" ht="12.75">
      <c r="A503" s="512"/>
      <c r="F503" s="1"/>
      <c r="G503" s="1"/>
      <c r="H503" s="1"/>
      <c r="I503" s="1"/>
      <c r="L503" s="45"/>
      <c r="M503" s="45"/>
      <c r="AM503" s="734"/>
    </row>
    <row r="504" spans="1:39" customFormat="1" ht="12.75">
      <c r="A504" s="512"/>
      <c r="F504" s="1"/>
      <c r="G504" s="1"/>
      <c r="H504" s="1"/>
      <c r="I504" s="1"/>
      <c r="L504" s="45"/>
      <c r="M504" s="45"/>
      <c r="AM504" s="734"/>
    </row>
    <row r="505" spans="1:39" customFormat="1" ht="12.75">
      <c r="A505" s="512"/>
      <c r="F505" s="1"/>
      <c r="G505" s="1"/>
      <c r="H505" s="1"/>
      <c r="I505" s="1"/>
      <c r="L505" s="45"/>
      <c r="M505" s="45"/>
      <c r="AM505" s="734"/>
    </row>
    <row r="506" spans="1:39" customFormat="1" ht="12.75">
      <c r="A506" s="512"/>
      <c r="F506" s="1"/>
      <c r="G506" s="1"/>
      <c r="H506" s="1"/>
      <c r="I506" s="1"/>
      <c r="L506" s="45"/>
      <c r="M506" s="45"/>
      <c r="AM506" s="734"/>
    </row>
    <row r="507" spans="1:39" customFormat="1" ht="12.75">
      <c r="A507" s="512"/>
      <c r="F507" s="1"/>
      <c r="G507" s="1"/>
      <c r="H507" s="1"/>
      <c r="I507" s="1"/>
      <c r="L507" s="45"/>
      <c r="M507" s="45"/>
      <c r="AM507" s="734"/>
    </row>
    <row r="508" spans="1:39" customFormat="1" ht="12.75">
      <c r="A508" s="512"/>
      <c r="F508" s="1"/>
      <c r="G508" s="1"/>
      <c r="H508" s="1"/>
      <c r="I508" s="1"/>
      <c r="L508" s="45"/>
      <c r="M508" s="45"/>
      <c r="AM508" s="734"/>
    </row>
    <row r="509" spans="1:39" customFormat="1" ht="12.75">
      <c r="A509" s="512"/>
      <c r="F509" s="1"/>
      <c r="G509" s="1"/>
      <c r="H509" s="1"/>
      <c r="I509" s="1"/>
      <c r="L509" s="45"/>
      <c r="M509" s="45"/>
      <c r="AM509" s="734"/>
    </row>
    <row r="510" spans="1:39" customFormat="1" ht="12.75">
      <c r="A510" s="512"/>
      <c r="F510" s="1"/>
      <c r="G510" s="1"/>
      <c r="H510" s="1"/>
      <c r="I510" s="1"/>
      <c r="L510" s="45"/>
      <c r="M510" s="45"/>
      <c r="AM510" s="734"/>
    </row>
    <row r="511" spans="1:39" customFormat="1" ht="12.75">
      <c r="A511" s="512"/>
      <c r="F511" s="1"/>
      <c r="G511" s="1"/>
      <c r="H511" s="1"/>
      <c r="I511" s="1"/>
      <c r="L511" s="45"/>
      <c r="M511" s="45"/>
      <c r="AM511" s="734"/>
    </row>
    <row r="512" spans="1:39" customFormat="1" ht="12.75">
      <c r="A512" s="512"/>
      <c r="F512" s="1"/>
      <c r="G512" s="1"/>
      <c r="H512" s="1"/>
      <c r="I512" s="1"/>
      <c r="L512" s="45"/>
      <c r="M512" s="45"/>
      <c r="AM512" s="734"/>
    </row>
    <row r="513" spans="1:39" customFormat="1" ht="12.75">
      <c r="A513" s="512"/>
      <c r="F513" s="1"/>
      <c r="G513" s="1"/>
      <c r="H513" s="1"/>
      <c r="I513" s="1"/>
      <c r="L513" s="45"/>
      <c r="M513" s="45"/>
      <c r="AM513" s="734"/>
    </row>
    <row r="514" spans="1:39" customFormat="1" ht="12.75">
      <c r="A514" s="512"/>
      <c r="F514" s="1"/>
      <c r="G514" s="1"/>
      <c r="H514" s="1"/>
      <c r="I514" s="1"/>
      <c r="L514" s="45"/>
      <c r="M514" s="45"/>
      <c r="AM514" s="734"/>
    </row>
    <row r="515" spans="1:39" customFormat="1" ht="12.75">
      <c r="A515" s="512"/>
      <c r="F515" s="1"/>
      <c r="G515" s="1"/>
      <c r="H515" s="1"/>
      <c r="I515" s="1"/>
      <c r="L515" s="45"/>
      <c r="M515" s="45"/>
      <c r="AM515" s="734"/>
    </row>
    <row r="516" spans="1:39" customFormat="1" ht="12.75">
      <c r="A516" s="512"/>
      <c r="F516" s="1"/>
      <c r="G516" s="1"/>
      <c r="H516" s="1"/>
      <c r="I516" s="1"/>
      <c r="L516" s="45"/>
      <c r="M516" s="45"/>
      <c r="AM516" s="734"/>
    </row>
    <row r="517" spans="1:39" customFormat="1" ht="12.75">
      <c r="A517" s="512"/>
      <c r="F517" s="1"/>
      <c r="G517" s="1"/>
      <c r="H517" s="1"/>
      <c r="I517" s="1"/>
      <c r="L517" s="45"/>
      <c r="M517" s="45"/>
      <c r="AM517" s="734"/>
    </row>
    <row r="518" spans="1:39" customFormat="1" ht="12.75">
      <c r="A518" s="512"/>
      <c r="F518" s="1"/>
      <c r="G518" s="1"/>
      <c r="H518" s="1"/>
      <c r="I518" s="1"/>
      <c r="L518" s="45"/>
      <c r="M518" s="45"/>
      <c r="AM518" s="734"/>
    </row>
    <row r="519" spans="1:39" customFormat="1" ht="12.75">
      <c r="A519" s="512"/>
      <c r="F519" s="1"/>
      <c r="G519" s="1"/>
      <c r="H519" s="1"/>
      <c r="I519" s="1"/>
      <c r="L519" s="45"/>
      <c r="M519" s="45"/>
      <c r="AM519" s="734"/>
    </row>
    <row r="520" spans="1:39" customFormat="1" ht="12.75">
      <c r="A520" s="512"/>
      <c r="F520" s="1"/>
      <c r="G520" s="1"/>
      <c r="H520" s="1"/>
      <c r="I520" s="1"/>
      <c r="L520" s="45"/>
      <c r="M520" s="45"/>
      <c r="AM520" s="734"/>
    </row>
    <row r="521" spans="1:39" customFormat="1" ht="12.75">
      <c r="A521" s="512"/>
      <c r="F521" s="1"/>
      <c r="G521" s="1"/>
      <c r="H521" s="1"/>
      <c r="I521" s="1"/>
      <c r="L521" s="45"/>
      <c r="M521" s="45"/>
      <c r="AM521" s="734"/>
    </row>
    <row r="522" spans="1:39" customFormat="1" ht="12.75">
      <c r="A522" s="512"/>
      <c r="F522" s="1"/>
      <c r="G522" s="1"/>
      <c r="H522" s="1"/>
      <c r="I522" s="1"/>
      <c r="L522" s="45"/>
      <c r="M522" s="45"/>
      <c r="AM522" s="734"/>
    </row>
    <row r="523" spans="1:39" customFormat="1" ht="12.75">
      <c r="A523" s="512"/>
      <c r="F523" s="1"/>
      <c r="G523" s="1"/>
      <c r="H523" s="1"/>
      <c r="I523" s="1"/>
      <c r="L523" s="45"/>
      <c r="M523" s="45"/>
      <c r="AM523" s="734"/>
    </row>
    <row r="524" spans="1:39" customFormat="1" ht="12.75">
      <c r="A524" s="512"/>
      <c r="F524" s="1"/>
      <c r="G524" s="1"/>
      <c r="H524" s="1"/>
      <c r="I524" s="1"/>
      <c r="L524" s="45"/>
      <c r="M524" s="45"/>
      <c r="AM524" s="734"/>
    </row>
    <row r="525" spans="1:39" customFormat="1" ht="12.75">
      <c r="A525" s="512"/>
      <c r="F525" s="1"/>
      <c r="G525" s="1"/>
      <c r="H525" s="1"/>
      <c r="I525" s="1"/>
      <c r="L525" s="45"/>
      <c r="M525" s="45"/>
      <c r="AM525" s="734"/>
    </row>
    <row r="526" spans="1:39" customFormat="1" ht="12.75">
      <c r="A526" s="512"/>
      <c r="F526" s="1"/>
      <c r="G526" s="1"/>
      <c r="H526" s="1"/>
      <c r="I526" s="1"/>
      <c r="L526" s="45"/>
      <c r="M526" s="45"/>
      <c r="AM526" s="734"/>
    </row>
    <row r="527" spans="1:39" customFormat="1" ht="12.75">
      <c r="A527" s="512"/>
      <c r="F527" s="1"/>
      <c r="G527" s="1"/>
      <c r="H527" s="1"/>
      <c r="I527" s="1"/>
      <c r="L527" s="45"/>
      <c r="M527" s="45"/>
      <c r="AM527" s="734"/>
    </row>
    <row r="528" spans="1:39" customFormat="1" ht="12.75">
      <c r="A528" s="512"/>
      <c r="F528" s="1"/>
      <c r="G528" s="1"/>
      <c r="H528" s="1"/>
      <c r="I528" s="1"/>
      <c r="L528" s="45"/>
      <c r="M528" s="45"/>
      <c r="AM528" s="734"/>
    </row>
    <row r="529" spans="1:39" customFormat="1" ht="12.75">
      <c r="A529" s="512"/>
      <c r="F529" s="1"/>
      <c r="G529" s="1"/>
      <c r="H529" s="1"/>
      <c r="I529" s="1"/>
      <c r="L529" s="45"/>
      <c r="M529" s="45"/>
      <c r="AM529" s="734"/>
    </row>
    <row r="530" spans="1:39" customFormat="1" ht="12.75">
      <c r="A530" s="512"/>
      <c r="F530" s="1"/>
      <c r="G530" s="1"/>
      <c r="H530" s="1"/>
      <c r="I530" s="1"/>
      <c r="L530" s="45"/>
      <c r="M530" s="45"/>
      <c r="AM530" s="734"/>
    </row>
    <row r="531" spans="1:39" customFormat="1" ht="12.75">
      <c r="A531" s="512"/>
      <c r="F531" s="1"/>
      <c r="G531" s="1"/>
      <c r="H531" s="1"/>
      <c r="I531" s="1"/>
      <c r="L531" s="45"/>
      <c r="M531" s="45"/>
      <c r="AM531" s="734"/>
    </row>
    <row r="532" spans="1:39" customFormat="1" ht="12.75">
      <c r="A532" s="512"/>
      <c r="F532" s="1"/>
      <c r="G532" s="1"/>
      <c r="H532" s="1"/>
      <c r="I532" s="1"/>
      <c r="L532" s="45"/>
      <c r="M532" s="45"/>
      <c r="AM532" s="734"/>
    </row>
    <row r="533" spans="1:39" customFormat="1" ht="12.75">
      <c r="A533" s="512"/>
      <c r="F533" s="1"/>
      <c r="G533" s="1"/>
      <c r="H533" s="1"/>
      <c r="I533" s="1"/>
      <c r="L533" s="45"/>
      <c r="M533" s="45"/>
      <c r="AM533" s="734"/>
    </row>
    <row r="534" spans="1:39" customFormat="1" ht="12.75">
      <c r="A534" s="512"/>
      <c r="F534" s="1"/>
      <c r="G534" s="1"/>
      <c r="H534" s="1"/>
      <c r="I534" s="1"/>
      <c r="L534" s="45"/>
      <c r="M534" s="45"/>
      <c r="AM534" s="734"/>
    </row>
    <row r="535" spans="1:39" customFormat="1" ht="12.75">
      <c r="A535" s="512"/>
      <c r="F535" s="1"/>
      <c r="G535" s="1"/>
      <c r="H535" s="1"/>
      <c r="I535" s="1"/>
      <c r="L535" s="45"/>
      <c r="M535" s="45"/>
      <c r="AM535" s="734"/>
    </row>
    <row r="536" spans="1:39" customFormat="1" ht="12.75">
      <c r="A536" s="512"/>
      <c r="F536" s="1"/>
      <c r="G536" s="1"/>
      <c r="H536" s="1"/>
      <c r="I536" s="1"/>
      <c r="L536" s="45"/>
      <c r="M536" s="45"/>
      <c r="AM536" s="734"/>
    </row>
    <row r="537" spans="1:39" customFormat="1" ht="12.75">
      <c r="A537" s="512"/>
      <c r="F537" s="1"/>
      <c r="G537" s="1"/>
      <c r="H537" s="1"/>
      <c r="I537" s="1"/>
      <c r="L537" s="45"/>
      <c r="M537" s="45"/>
      <c r="AM537" s="734"/>
    </row>
    <row r="538" spans="1:39" customFormat="1" ht="12.75">
      <c r="A538" s="512"/>
      <c r="F538" s="1"/>
      <c r="G538" s="1"/>
      <c r="H538" s="1"/>
      <c r="I538" s="1"/>
      <c r="L538" s="45"/>
      <c r="M538" s="45"/>
      <c r="AM538" s="734"/>
    </row>
    <row r="539" spans="1:39" customFormat="1" ht="12.75">
      <c r="A539" s="512"/>
      <c r="F539" s="1"/>
      <c r="G539" s="1"/>
      <c r="H539" s="1"/>
      <c r="I539" s="1"/>
      <c r="L539" s="45"/>
      <c r="M539" s="45"/>
      <c r="AM539" s="734"/>
    </row>
    <row r="540" spans="1:39" customFormat="1" ht="12.75">
      <c r="A540" s="512"/>
      <c r="F540" s="1"/>
      <c r="G540" s="1"/>
      <c r="H540" s="1"/>
      <c r="I540" s="1"/>
      <c r="L540" s="45"/>
      <c r="M540" s="45"/>
      <c r="AM540" s="734"/>
    </row>
    <row r="541" spans="1:39" customFormat="1" ht="12.75">
      <c r="A541" s="512"/>
      <c r="F541" s="1"/>
      <c r="G541" s="1"/>
      <c r="H541" s="1"/>
      <c r="I541" s="1"/>
      <c r="L541" s="45"/>
      <c r="M541" s="45"/>
      <c r="AM541" s="734"/>
    </row>
    <row r="542" spans="1:39" customFormat="1" ht="12.75">
      <c r="A542" s="512"/>
      <c r="F542" s="1"/>
      <c r="G542" s="1"/>
      <c r="H542" s="1"/>
      <c r="I542" s="1"/>
      <c r="L542" s="45"/>
      <c r="M542" s="45"/>
      <c r="AM542" s="734"/>
    </row>
    <row r="543" spans="1:39" customFormat="1" ht="12.75">
      <c r="A543" s="512"/>
      <c r="F543" s="1"/>
      <c r="G543" s="1"/>
      <c r="H543" s="1"/>
      <c r="I543" s="1"/>
      <c r="L543" s="45"/>
      <c r="M543" s="45"/>
      <c r="AM543" s="734"/>
    </row>
    <row r="544" spans="1:39" customFormat="1" ht="12.75">
      <c r="A544" s="512"/>
      <c r="F544" s="1"/>
      <c r="G544" s="1"/>
      <c r="H544" s="1"/>
      <c r="I544" s="1"/>
      <c r="L544" s="45"/>
      <c r="M544" s="45"/>
      <c r="AM544" s="734"/>
    </row>
    <row r="545" spans="1:39" customFormat="1" ht="12.75">
      <c r="A545" s="512"/>
      <c r="F545" s="1"/>
      <c r="G545" s="1"/>
      <c r="H545" s="1"/>
      <c r="I545" s="1"/>
      <c r="L545" s="45"/>
      <c r="M545" s="45"/>
      <c r="AM545" s="734"/>
    </row>
    <row r="546" spans="1:39" customFormat="1" ht="12.75">
      <c r="A546" s="512"/>
      <c r="F546" s="1"/>
      <c r="G546" s="1"/>
      <c r="H546" s="1"/>
      <c r="I546" s="1"/>
      <c r="L546" s="45"/>
      <c r="M546" s="45"/>
      <c r="AM546" s="734"/>
    </row>
    <row r="547" spans="1:39" customFormat="1" ht="12.75">
      <c r="A547" s="512"/>
      <c r="F547" s="1"/>
      <c r="G547" s="1"/>
      <c r="H547" s="1"/>
      <c r="I547" s="1"/>
      <c r="L547" s="45"/>
      <c r="M547" s="45"/>
      <c r="AM547" s="734"/>
    </row>
    <row r="548" spans="1:39" customFormat="1" ht="12.75">
      <c r="A548" s="512"/>
      <c r="F548" s="1"/>
      <c r="G548" s="1"/>
      <c r="H548" s="1"/>
      <c r="I548" s="1"/>
      <c r="L548" s="45"/>
      <c r="M548" s="45"/>
      <c r="AM548" s="734"/>
    </row>
    <row r="549" spans="1:39" customFormat="1" ht="12.75">
      <c r="A549" s="512"/>
      <c r="F549" s="1"/>
      <c r="G549" s="1"/>
      <c r="H549" s="1"/>
      <c r="I549" s="1"/>
      <c r="L549" s="45"/>
      <c r="M549" s="45"/>
      <c r="AM549" s="734"/>
    </row>
    <row r="550" spans="1:39" customFormat="1" ht="12.75">
      <c r="A550" s="512"/>
      <c r="F550" s="1"/>
      <c r="G550" s="1"/>
      <c r="H550" s="1"/>
      <c r="I550" s="1"/>
      <c r="L550" s="45"/>
      <c r="M550" s="45"/>
      <c r="AM550" s="734"/>
    </row>
    <row r="551" spans="1:39" customFormat="1" ht="12.75">
      <c r="A551" s="512"/>
      <c r="F551" s="1"/>
      <c r="G551" s="1"/>
      <c r="H551" s="1"/>
      <c r="I551" s="1"/>
      <c r="L551" s="45"/>
      <c r="M551" s="45"/>
      <c r="AM551" s="734"/>
    </row>
    <row r="552" spans="1:39" customFormat="1" ht="12.75">
      <c r="A552" s="512"/>
      <c r="F552" s="1"/>
      <c r="G552" s="1"/>
      <c r="H552" s="1"/>
      <c r="I552" s="1"/>
      <c r="L552" s="45"/>
      <c r="M552" s="45"/>
      <c r="AM552" s="734"/>
    </row>
    <row r="553" spans="1:39" customFormat="1" ht="12.75">
      <c r="A553" s="512"/>
      <c r="F553" s="1"/>
      <c r="G553" s="1"/>
      <c r="H553" s="1"/>
      <c r="I553" s="1"/>
      <c r="L553" s="45"/>
      <c r="M553" s="45"/>
      <c r="AM553" s="734"/>
    </row>
    <row r="554" spans="1:39" customFormat="1" ht="12.75">
      <c r="A554" s="512"/>
      <c r="F554" s="1"/>
      <c r="G554" s="1"/>
      <c r="H554" s="1"/>
      <c r="I554" s="1"/>
      <c r="L554" s="45"/>
      <c r="M554" s="45"/>
      <c r="AM554" s="734"/>
    </row>
    <row r="555" spans="1:39" customFormat="1" ht="12.75">
      <c r="A555" s="512"/>
      <c r="F555" s="1"/>
      <c r="G555" s="1"/>
      <c r="H555" s="1"/>
      <c r="I555" s="1"/>
      <c r="L555" s="45"/>
      <c r="M555" s="45"/>
      <c r="AM555" s="734"/>
    </row>
    <row r="556" spans="1:39" customFormat="1" ht="12.75">
      <c r="A556" s="512"/>
      <c r="F556" s="1"/>
      <c r="G556" s="1"/>
      <c r="H556" s="1"/>
      <c r="I556" s="1"/>
      <c r="L556" s="45"/>
      <c r="M556" s="45"/>
      <c r="AM556" s="734"/>
    </row>
    <row r="557" spans="1:39" customFormat="1" ht="12.75">
      <c r="A557" s="512"/>
      <c r="F557" s="1"/>
      <c r="G557" s="1"/>
      <c r="H557" s="1"/>
      <c r="I557" s="1"/>
      <c r="L557" s="45"/>
      <c r="M557" s="45"/>
      <c r="AM557" s="734"/>
    </row>
    <row r="558" spans="1:39" customFormat="1" ht="12.75">
      <c r="A558" s="512"/>
      <c r="F558" s="1"/>
      <c r="G558" s="1"/>
      <c r="H558" s="1"/>
      <c r="I558" s="1"/>
      <c r="L558" s="45"/>
      <c r="M558" s="45"/>
      <c r="AM558" s="734"/>
    </row>
    <row r="559" spans="1:39" customFormat="1" ht="12.75">
      <c r="A559" s="512"/>
      <c r="F559" s="1"/>
      <c r="G559" s="1"/>
      <c r="H559" s="1"/>
      <c r="I559" s="1"/>
      <c r="L559" s="45"/>
      <c r="M559" s="45"/>
      <c r="AM559" s="734"/>
    </row>
    <row r="560" spans="1:39" customFormat="1" ht="12.75">
      <c r="A560" s="512"/>
      <c r="F560" s="1"/>
      <c r="G560" s="1"/>
      <c r="H560" s="1"/>
      <c r="I560" s="1"/>
      <c r="L560" s="45"/>
      <c r="M560" s="45"/>
      <c r="AM560" s="734"/>
    </row>
    <row r="561" spans="1:39" customFormat="1" ht="12.75">
      <c r="A561" s="512"/>
      <c r="F561" s="1"/>
      <c r="G561" s="1"/>
      <c r="H561" s="1"/>
      <c r="I561" s="1"/>
      <c r="L561" s="45"/>
      <c r="M561" s="45"/>
      <c r="AM561" s="734"/>
    </row>
    <row r="562" spans="1:39" customFormat="1" ht="12.75">
      <c r="A562" s="512"/>
      <c r="F562" s="1"/>
      <c r="G562" s="1"/>
      <c r="H562" s="1"/>
      <c r="I562" s="1"/>
      <c r="L562" s="45"/>
      <c r="M562" s="45"/>
      <c r="AM562" s="734"/>
    </row>
    <row r="563" spans="1:39" customFormat="1" ht="12.75">
      <c r="A563" s="512"/>
      <c r="F563" s="1"/>
      <c r="G563" s="1"/>
      <c r="H563" s="1"/>
      <c r="I563" s="1"/>
      <c r="L563" s="45"/>
      <c r="M563" s="45"/>
      <c r="AM563" s="734"/>
    </row>
    <row r="564" spans="1:39" customFormat="1" ht="12.75">
      <c r="A564" s="512"/>
      <c r="F564" s="1"/>
      <c r="G564" s="1"/>
      <c r="H564" s="1"/>
      <c r="I564" s="1"/>
      <c r="L564" s="45"/>
      <c r="M564" s="45"/>
      <c r="AM564" s="734"/>
    </row>
    <row r="565" spans="1:39" customFormat="1" ht="12.75">
      <c r="A565" s="512"/>
      <c r="F565" s="1"/>
      <c r="G565" s="1"/>
      <c r="H565" s="1"/>
      <c r="I565" s="1"/>
      <c r="L565" s="45"/>
      <c r="M565" s="45"/>
      <c r="AM565" s="734"/>
    </row>
    <row r="566" spans="1:39" customFormat="1" ht="12.75">
      <c r="A566" s="512"/>
      <c r="F566" s="1"/>
      <c r="G566" s="1"/>
      <c r="H566" s="1"/>
      <c r="I566" s="1"/>
      <c r="L566" s="45"/>
      <c r="M566" s="45"/>
      <c r="AM566" s="734"/>
    </row>
    <row r="567" spans="1:39" customFormat="1" ht="12.75">
      <c r="A567" s="512"/>
      <c r="F567" s="1"/>
      <c r="G567" s="1"/>
      <c r="H567" s="1"/>
      <c r="I567" s="1"/>
      <c r="L567" s="45"/>
      <c r="M567" s="45"/>
      <c r="AM567" s="734"/>
    </row>
    <row r="568" spans="1:39" customFormat="1" ht="12.75">
      <c r="A568" s="512"/>
      <c r="F568" s="1"/>
      <c r="G568" s="1"/>
      <c r="H568" s="1"/>
      <c r="I568" s="1"/>
      <c r="L568" s="45"/>
      <c r="M568" s="45"/>
      <c r="AM568" s="734"/>
    </row>
    <row r="569" spans="1:39" customFormat="1" ht="12.75">
      <c r="A569" s="512"/>
      <c r="F569" s="1"/>
      <c r="G569" s="1"/>
      <c r="H569" s="1"/>
      <c r="I569" s="1"/>
      <c r="L569" s="45"/>
      <c r="M569" s="45"/>
      <c r="AM569" s="734"/>
    </row>
    <row r="570" spans="1:39" customFormat="1" ht="12.75">
      <c r="A570" s="512"/>
      <c r="F570" s="1"/>
      <c r="G570" s="1"/>
      <c r="H570" s="1"/>
      <c r="I570" s="1"/>
      <c r="L570" s="45"/>
      <c r="M570" s="45"/>
      <c r="AM570" s="734"/>
    </row>
    <row r="571" spans="1:39" customFormat="1" ht="12.75">
      <c r="A571" s="512"/>
      <c r="F571" s="1"/>
      <c r="G571" s="1"/>
      <c r="H571" s="1"/>
      <c r="I571" s="1"/>
      <c r="L571" s="45"/>
      <c r="M571" s="45"/>
      <c r="AM571" s="734"/>
    </row>
    <row r="572" spans="1:39" customFormat="1" ht="12.75">
      <c r="A572" s="512"/>
      <c r="F572" s="1"/>
      <c r="G572" s="1"/>
      <c r="H572" s="1"/>
      <c r="I572" s="1"/>
      <c r="L572" s="45"/>
      <c r="M572" s="45"/>
      <c r="AM572" s="734"/>
    </row>
    <row r="573" spans="1:39" customFormat="1" ht="12.75">
      <c r="A573" s="512"/>
      <c r="F573" s="1"/>
      <c r="G573" s="1"/>
      <c r="H573" s="1"/>
      <c r="I573" s="1"/>
      <c r="L573" s="45"/>
      <c r="M573" s="45"/>
      <c r="AM573" s="734"/>
    </row>
    <row r="574" spans="1:39" customFormat="1" ht="12.75">
      <c r="A574" s="512"/>
      <c r="F574" s="1"/>
      <c r="G574" s="1"/>
      <c r="H574" s="1"/>
      <c r="I574" s="1"/>
      <c r="L574" s="45"/>
      <c r="M574" s="45"/>
      <c r="AM574" s="734"/>
    </row>
    <row r="575" spans="1:39" customFormat="1" ht="12.75">
      <c r="A575" s="512"/>
      <c r="F575" s="1"/>
      <c r="G575" s="1"/>
      <c r="H575" s="1"/>
      <c r="I575" s="1"/>
      <c r="L575" s="45"/>
      <c r="M575" s="45"/>
      <c r="AM575" s="734"/>
    </row>
    <row r="576" spans="1:39" customFormat="1" ht="12.75">
      <c r="A576" s="512"/>
      <c r="F576" s="1"/>
      <c r="G576" s="1"/>
      <c r="H576" s="1"/>
      <c r="I576" s="1"/>
      <c r="L576" s="45"/>
      <c r="M576" s="45"/>
      <c r="AM576" s="734"/>
    </row>
    <row r="577" spans="1:39" customFormat="1" ht="12.75">
      <c r="A577" s="512"/>
      <c r="F577" s="1"/>
      <c r="G577" s="1"/>
      <c r="H577" s="1"/>
      <c r="I577" s="1"/>
      <c r="L577" s="45"/>
      <c r="M577" s="45"/>
      <c r="AM577" s="734"/>
    </row>
    <row r="578" spans="1:39" customFormat="1" ht="12.75">
      <c r="A578" s="512"/>
      <c r="F578" s="1"/>
      <c r="G578" s="1"/>
      <c r="H578" s="1"/>
      <c r="I578" s="1"/>
      <c r="L578" s="45"/>
      <c r="M578" s="45"/>
      <c r="AM578" s="734"/>
    </row>
    <row r="579" spans="1:39" customFormat="1" ht="12.75">
      <c r="A579" s="512"/>
      <c r="F579" s="1"/>
      <c r="G579" s="1"/>
      <c r="H579" s="1"/>
      <c r="I579" s="1"/>
      <c r="L579" s="45"/>
      <c r="M579" s="45"/>
      <c r="AM579" s="734"/>
    </row>
    <row r="580" spans="1:39" customFormat="1" ht="12.75">
      <c r="A580" s="512"/>
      <c r="F580" s="1"/>
      <c r="G580" s="1"/>
      <c r="H580" s="1"/>
      <c r="I580" s="1"/>
      <c r="L580" s="45"/>
      <c r="M580" s="45"/>
      <c r="AM580" s="734"/>
    </row>
    <row r="581" spans="1:39" customFormat="1" ht="12.75">
      <c r="A581" s="512"/>
      <c r="F581" s="1"/>
      <c r="G581" s="1"/>
      <c r="H581" s="1"/>
      <c r="I581" s="1"/>
      <c r="L581" s="45"/>
      <c r="M581" s="45"/>
      <c r="AM581" s="734"/>
    </row>
    <row r="582" spans="1:39" customFormat="1" ht="12.75">
      <c r="A582" s="512"/>
      <c r="F582" s="1"/>
      <c r="G582" s="1"/>
      <c r="H582" s="1"/>
      <c r="I582" s="1"/>
      <c r="L582" s="45"/>
      <c r="M582" s="45"/>
      <c r="AM582" s="734"/>
    </row>
    <row r="583" spans="1:39" customFormat="1" ht="12.75">
      <c r="A583" s="512"/>
      <c r="F583" s="1"/>
      <c r="G583" s="1"/>
      <c r="H583" s="1"/>
      <c r="I583" s="1"/>
      <c r="L583" s="45"/>
      <c r="M583" s="45"/>
      <c r="AM583" s="734"/>
    </row>
    <row r="584" spans="1:39" customFormat="1" ht="12.75">
      <c r="A584" s="512"/>
      <c r="F584" s="1"/>
      <c r="G584" s="1"/>
      <c r="H584" s="1"/>
      <c r="I584" s="1"/>
      <c r="L584" s="45"/>
      <c r="M584" s="45"/>
      <c r="AM584" s="734"/>
    </row>
    <row r="585" spans="1:39" customFormat="1" ht="12.75">
      <c r="A585" s="512"/>
      <c r="F585" s="1"/>
      <c r="G585" s="1"/>
      <c r="H585" s="1"/>
      <c r="I585" s="1"/>
      <c r="L585" s="45"/>
      <c r="M585" s="45"/>
      <c r="AM585" s="734"/>
    </row>
    <row r="586" spans="1:39" customFormat="1" ht="12.75">
      <c r="A586" s="512"/>
      <c r="F586" s="1"/>
      <c r="G586" s="1"/>
      <c r="H586" s="1"/>
      <c r="I586" s="1"/>
      <c r="L586" s="45"/>
      <c r="M586" s="45"/>
      <c r="AM586" s="734"/>
    </row>
    <row r="587" spans="1:39" customFormat="1" ht="12.75">
      <c r="A587" s="512"/>
      <c r="F587" s="1"/>
      <c r="G587" s="1"/>
      <c r="H587" s="1"/>
      <c r="I587" s="1"/>
      <c r="L587" s="45"/>
      <c r="M587" s="45"/>
      <c r="AM587" s="734"/>
    </row>
    <row r="588" spans="1:39" customFormat="1" ht="12.75">
      <c r="A588" s="512"/>
      <c r="F588" s="1"/>
      <c r="G588" s="1"/>
      <c r="H588" s="1"/>
      <c r="I588" s="1"/>
      <c r="L588" s="45"/>
      <c r="M588" s="45"/>
      <c r="AM588" s="734"/>
    </row>
    <row r="589" spans="1:39" customFormat="1" ht="12.75">
      <c r="A589" s="512"/>
      <c r="F589" s="1"/>
      <c r="G589" s="1"/>
      <c r="H589" s="1"/>
      <c r="I589" s="1"/>
      <c r="L589" s="45"/>
      <c r="M589" s="45"/>
      <c r="AM589" s="734"/>
    </row>
    <row r="590" spans="1:39" customFormat="1" ht="12.75">
      <c r="A590" s="512"/>
      <c r="F590" s="1"/>
      <c r="G590" s="1"/>
      <c r="H590" s="1"/>
      <c r="I590" s="1"/>
      <c r="L590" s="45"/>
      <c r="M590" s="45"/>
      <c r="AM590" s="734"/>
    </row>
    <row r="591" spans="1:39" customFormat="1" ht="12.75">
      <c r="A591" s="512"/>
      <c r="F591" s="1"/>
      <c r="G591" s="1"/>
      <c r="H591" s="1"/>
      <c r="I591" s="1"/>
      <c r="L591" s="45"/>
      <c r="M591" s="45"/>
      <c r="AM591" s="734"/>
    </row>
    <row r="592" spans="1:39" customFormat="1" ht="12.75">
      <c r="A592" s="512"/>
      <c r="F592" s="1"/>
      <c r="G592" s="1"/>
      <c r="H592" s="1"/>
      <c r="I592" s="1"/>
      <c r="L592" s="45"/>
      <c r="M592" s="45"/>
      <c r="AM592" s="734"/>
    </row>
    <row r="593" spans="1:39" customFormat="1" ht="12.75">
      <c r="A593" s="512"/>
      <c r="F593" s="1"/>
      <c r="G593" s="1"/>
      <c r="H593" s="1"/>
      <c r="I593" s="1"/>
      <c r="L593" s="45"/>
      <c r="M593" s="45"/>
      <c r="AM593" s="734"/>
    </row>
    <row r="594" spans="1:39" customFormat="1" ht="12.75">
      <c r="A594" s="512"/>
      <c r="F594" s="1"/>
      <c r="G594" s="1"/>
      <c r="H594" s="1"/>
      <c r="I594" s="1"/>
      <c r="L594" s="45"/>
      <c r="M594" s="45"/>
      <c r="AM594" s="734"/>
    </row>
    <row r="595" spans="1:39" customFormat="1" ht="12.75">
      <c r="A595" s="512"/>
      <c r="F595" s="1"/>
      <c r="G595" s="1"/>
      <c r="H595" s="1"/>
      <c r="I595" s="1"/>
      <c r="L595" s="45"/>
      <c r="M595" s="45"/>
      <c r="AM595" s="734"/>
    </row>
    <row r="596" spans="1:39" customFormat="1" ht="12.75">
      <c r="A596" s="512"/>
      <c r="F596" s="1"/>
      <c r="G596" s="1"/>
      <c r="H596" s="1"/>
      <c r="I596" s="1"/>
      <c r="L596" s="45"/>
      <c r="M596" s="45"/>
      <c r="AM596" s="734"/>
    </row>
    <row r="597" spans="1:39" customFormat="1" ht="12.75">
      <c r="A597" s="512"/>
      <c r="F597" s="1"/>
      <c r="G597" s="1"/>
      <c r="H597" s="1"/>
      <c r="I597" s="1"/>
      <c r="L597" s="45"/>
      <c r="M597" s="45"/>
      <c r="AM597" s="734"/>
    </row>
    <row r="598" spans="1:39" customFormat="1" ht="12.75">
      <c r="A598" s="512"/>
      <c r="F598" s="1"/>
      <c r="G598" s="1"/>
      <c r="H598" s="1"/>
      <c r="I598" s="1"/>
      <c r="L598" s="45"/>
      <c r="M598" s="45"/>
      <c r="AM598" s="734"/>
    </row>
    <row r="599" spans="1:39" customFormat="1" ht="12.75">
      <c r="A599" s="512"/>
      <c r="F599" s="1"/>
      <c r="G599" s="1"/>
      <c r="H599" s="1"/>
      <c r="I599" s="1"/>
      <c r="L599" s="45"/>
      <c r="M599" s="45"/>
      <c r="AM599" s="734"/>
    </row>
    <row r="600" spans="1:39" customFormat="1" ht="12.75">
      <c r="A600" s="512"/>
      <c r="F600" s="1"/>
      <c r="G600" s="1"/>
      <c r="H600" s="1"/>
      <c r="I600" s="1"/>
      <c r="L600" s="45"/>
      <c r="M600" s="45"/>
      <c r="AM600" s="734"/>
    </row>
    <row r="601" spans="1:39" customFormat="1" ht="12.75">
      <c r="A601" s="512"/>
      <c r="F601" s="1"/>
      <c r="G601" s="1"/>
      <c r="H601" s="1"/>
      <c r="I601" s="1"/>
      <c r="L601" s="45"/>
      <c r="M601" s="45"/>
      <c r="AM601" s="734"/>
    </row>
    <row r="602" spans="1:39" customFormat="1" ht="12.75">
      <c r="A602" s="512"/>
      <c r="F602" s="1"/>
      <c r="G602" s="1"/>
      <c r="H602" s="1"/>
      <c r="I602" s="1"/>
      <c r="L602" s="45"/>
      <c r="M602" s="45"/>
      <c r="AM602" s="734"/>
    </row>
    <row r="603" spans="1:39" customFormat="1" ht="12.75">
      <c r="A603" s="512"/>
      <c r="F603" s="1"/>
      <c r="G603" s="1"/>
      <c r="H603" s="1"/>
      <c r="I603" s="1"/>
      <c r="L603" s="45"/>
      <c r="M603" s="45"/>
      <c r="AM603" s="734"/>
    </row>
    <row r="604" spans="1:39" customFormat="1" ht="12.75">
      <c r="A604" s="512"/>
      <c r="F604" s="1"/>
      <c r="G604" s="1"/>
      <c r="H604" s="1"/>
      <c r="I604" s="1"/>
      <c r="L604" s="45"/>
      <c r="M604" s="45"/>
      <c r="AM604" s="734"/>
    </row>
    <row r="605" spans="1:39" customFormat="1" ht="12.75">
      <c r="A605" s="512"/>
      <c r="F605" s="1"/>
      <c r="G605" s="1"/>
      <c r="H605" s="1"/>
      <c r="I605" s="1"/>
      <c r="L605" s="45"/>
      <c r="M605" s="45"/>
      <c r="AM605" s="734"/>
    </row>
    <row r="606" spans="1:39" customFormat="1" ht="12.75">
      <c r="A606" s="512"/>
      <c r="F606" s="1"/>
      <c r="G606" s="1"/>
      <c r="H606" s="1"/>
      <c r="I606" s="1"/>
      <c r="L606" s="45"/>
      <c r="M606" s="45"/>
      <c r="AM606" s="734"/>
    </row>
    <row r="607" spans="1:39" customFormat="1" ht="12.75">
      <c r="A607" s="512"/>
      <c r="F607" s="1"/>
      <c r="G607" s="1"/>
      <c r="H607" s="1"/>
      <c r="I607" s="1"/>
      <c r="L607" s="45"/>
      <c r="M607" s="45"/>
      <c r="AM607" s="734"/>
    </row>
    <row r="608" spans="1:39" customFormat="1" ht="12.75">
      <c r="A608" s="512"/>
      <c r="F608" s="1"/>
      <c r="G608" s="1"/>
      <c r="H608" s="1"/>
      <c r="I608" s="1"/>
      <c r="L608" s="45"/>
      <c r="M608" s="45"/>
      <c r="AM608" s="734"/>
    </row>
    <row r="609" spans="1:39" customFormat="1" ht="12.75">
      <c r="A609" s="512"/>
      <c r="F609" s="1"/>
      <c r="G609" s="1"/>
      <c r="H609" s="1"/>
      <c r="I609" s="1"/>
      <c r="L609" s="45"/>
      <c r="M609" s="45"/>
      <c r="AM609" s="734"/>
    </row>
    <row r="610" spans="1:39" customFormat="1" ht="12.75">
      <c r="A610" s="512"/>
      <c r="F610" s="1"/>
      <c r="G610" s="1"/>
      <c r="H610" s="1"/>
      <c r="I610" s="1"/>
      <c r="L610" s="45"/>
      <c r="M610" s="45"/>
      <c r="AM610" s="734"/>
    </row>
    <row r="611" spans="1:39" customFormat="1" ht="12.75">
      <c r="A611" s="512"/>
      <c r="F611" s="1"/>
      <c r="G611" s="1"/>
      <c r="H611" s="1"/>
      <c r="I611" s="1"/>
      <c r="L611" s="45"/>
      <c r="M611" s="45"/>
      <c r="AM611" s="734"/>
    </row>
    <row r="612" spans="1:39" customFormat="1" ht="12.75">
      <c r="A612" s="512"/>
      <c r="F612" s="1"/>
      <c r="G612" s="1"/>
      <c r="H612" s="1"/>
      <c r="I612" s="1"/>
      <c r="L612" s="45"/>
      <c r="M612" s="45"/>
      <c r="AM612" s="734"/>
    </row>
    <row r="613" spans="1:39" customFormat="1" ht="12.75">
      <c r="A613" s="512"/>
      <c r="F613" s="1"/>
      <c r="G613" s="1"/>
      <c r="H613" s="1"/>
      <c r="I613" s="1"/>
      <c r="L613" s="45"/>
      <c r="M613" s="45"/>
      <c r="AM613" s="734"/>
    </row>
    <row r="614" spans="1:39" customFormat="1" ht="12.75">
      <c r="A614" s="512"/>
      <c r="F614" s="1"/>
      <c r="G614" s="1"/>
      <c r="H614" s="1"/>
      <c r="I614" s="1"/>
      <c r="L614" s="45"/>
      <c r="M614" s="45"/>
      <c r="AM614" s="734"/>
    </row>
    <row r="615" spans="1:39" customFormat="1" ht="12.75">
      <c r="A615" s="512"/>
      <c r="F615" s="1"/>
      <c r="G615" s="1"/>
      <c r="H615" s="1"/>
      <c r="I615" s="1"/>
      <c r="L615" s="45"/>
      <c r="M615" s="45"/>
      <c r="AM615" s="734"/>
    </row>
    <row r="616" spans="1:39" customFormat="1" ht="12.75">
      <c r="A616" s="512"/>
      <c r="F616" s="1"/>
      <c r="G616" s="1"/>
      <c r="H616" s="1"/>
      <c r="I616" s="1"/>
      <c r="L616" s="45"/>
      <c r="M616" s="45"/>
      <c r="AM616" s="734"/>
    </row>
    <row r="617" spans="1:39" customFormat="1" ht="12.75">
      <c r="A617" s="512"/>
      <c r="F617" s="1"/>
      <c r="G617" s="1"/>
      <c r="H617" s="1"/>
      <c r="I617" s="1"/>
      <c r="L617" s="45"/>
      <c r="M617" s="45"/>
      <c r="AM617" s="734"/>
    </row>
    <row r="618" spans="1:39" customFormat="1" ht="12.75">
      <c r="A618" s="512"/>
      <c r="F618" s="1"/>
      <c r="G618" s="1"/>
      <c r="H618" s="1"/>
      <c r="I618" s="1"/>
      <c r="L618" s="45"/>
      <c r="M618" s="45"/>
      <c r="AM618" s="734"/>
    </row>
    <row r="619" spans="1:39" customFormat="1" ht="12.75">
      <c r="A619" s="512"/>
      <c r="F619" s="1"/>
      <c r="G619" s="1"/>
      <c r="H619" s="1"/>
      <c r="I619" s="1"/>
      <c r="L619" s="45"/>
      <c r="M619" s="45"/>
      <c r="AM619" s="734"/>
    </row>
    <row r="620" spans="1:39" customFormat="1" ht="12.75">
      <c r="A620" s="512"/>
      <c r="F620" s="1"/>
      <c r="G620" s="1"/>
      <c r="H620" s="1"/>
      <c r="I620" s="1"/>
      <c r="L620" s="45"/>
      <c r="M620" s="45"/>
      <c r="AM620" s="734"/>
    </row>
    <row r="621" spans="1:39" customFormat="1" ht="12.75">
      <c r="A621" s="512"/>
      <c r="F621" s="1"/>
      <c r="G621" s="1"/>
      <c r="H621" s="1"/>
      <c r="I621" s="1"/>
      <c r="L621" s="45"/>
      <c r="M621" s="45"/>
      <c r="AM621" s="734"/>
    </row>
    <row r="622" spans="1:39" customFormat="1" ht="12.75">
      <c r="A622" s="512"/>
      <c r="F622" s="1"/>
      <c r="G622" s="1"/>
      <c r="H622" s="1"/>
      <c r="I622" s="1"/>
      <c r="L622" s="45"/>
      <c r="M622" s="45"/>
      <c r="AM622" s="734"/>
    </row>
    <row r="623" spans="1:39" customFormat="1" ht="12.75">
      <c r="A623" s="512"/>
      <c r="F623" s="1"/>
      <c r="G623" s="1"/>
      <c r="H623" s="1"/>
      <c r="I623" s="1"/>
      <c r="L623" s="45"/>
      <c r="M623" s="45"/>
      <c r="AM623" s="734"/>
    </row>
    <row r="624" spans="1:39" customFormat="1" ht="12.75">
      <c r="A624" s="512"/>
      <c r="F624" s="1"/>
      <c r="G624" s="1"/>
      <c r="H624" s="1"/>
      <c r="I624" s="1"/>
      <c r="L624" s="45"/>
      <c r="M624" s="45"/>
      <c r="AM624" s="734"/>
    </row>
    <row r="625" spans="1:39" customFormat="1" ht="12.75">
      <c r="A625" s="512"/>
      <c r="F625" s="1"/>
      <c r="G625" s="1"/>
      <c r="H625" s="1"/>
      <c r="I625" s="1"/>
      <c r="L625" s="45"/>
      <c r="M625" s="45"/>
      <c r="AM625" s="734"/>
    </row>
    <row r="626" spans="1:39" customFormat="1" ht="12.75">
      <c r="A626" s="512"/>
      <c r="F626" s="1"/>
      <c r="G626" s="1"/>
      <c r="H626" s="1"/>
      <c r="I626" s="1"/>
      <c r="L626" s="45"/>
      <c r="M626" s="45"/>
      <c r="AM626" s="734"/>
    </row>
    <row r="627" spans="1:39" customFormat="1" ht="12.75">
      <c r="A627" s="512"/>
      <c r="F627" s="1"/>
      <c r="G627" s="1"/>
      <c r="H627" s="1"/>
      <c r="I627" s="1"/>
      <c r="L627" s="45"/>
      <c r="M627" s="45"/>
      <c r="AM627" s="734"/>
    </row>
    <row r="628" spans="1:39" customFormat="1" ht="12.75">
      <c r="A628" s="512"/>
      <c r="F628" s="1"/>
      <c r="G628" s="1"/>
      <c r="H628" s="1"/>
      <c r="I628" s="1"/>
      <c r="L628" s="45"/>
      <c r="M628" s="45"/>
      <c r="AM628" s="734"/>
    </row>
    <row r="629" spans="1:39" customFormat="1" ht="12.75">
      <c r="A629" s="512"/>
      <c r="F629" s="1"/>
      <c r="G629" s="1"/>
      <c r="H629" s="1"/>
      <c r="I629" s="1"/>
      <c r="L629" s="45"/>
      <c r="M629" s="45"/>
      <c r="AM629" s="734"/>
    </row>
    <row r="630" spans="1:39" customFormat="1" ht="12.75">
      <c r="A630" s="512"/>
      <c r="F630" s="1"/>
      <c r="G630" s="1"/>
      <c r="H630" s="1"/>
      <c r="I630" s="1"/>
      <c r="L630" s="45"/>
      <c r="M630" s="45"/>
      <c r="AM630" s="734"/>
    </row>
    <row r="631" spans="1:39" customFormat="1" ht="12.75">
      <c r="A631" s="512"/>
      <c r="F631" s="1"/>
      <c r="G631" s="1"/>
      <c r="H631" s="1"/>
      <c r="I631" s="1"/>
      <c r="L631" s="45"/>
      <c r="M631" s="45"/>
      <c r="AM631" s="734"/>
    </row>
    <row r="632" spans="1:39" customFormat="1" ht="12.75">
      <c r="A632" s="512"/>
      <c r="F632" s="1"/>
      <c r="G632" s="1"/>
      <c r="H632" s="1"/>
      <c r="I632" s="1"/>
      <c r="L632" s="45"/>
      <c r="M632" s="45"/>
      <c r="AM632" s="734"/>
    </row>
    <row r="633" spans="1:39" customFormat="1" ht="12.75">
      <c r="A633" s="512"/>
      <c r="F633" s="1"/>
      <c r="G633" s="1"/>
      <c r="H633" s="1"/>
      <c r="I633" s="1"/>
      <c r="L633" s="45"/>
      <c r="M633" s="45"/>
      <c r="AM633" s="734"/>
    </row>
    <row r="634" spans="1:39" customFormat="1" ht="12.75">
      <c r="A634" s="512"/>
      <c r="F634" s="1"/>
      <c r="G634" s="1"/>
      <c r="H634" s="1"/>
      <c r="I634" s="1"/>
      <c r="L634" s="45"/>
      <c r="M634" s="45"/>
      <c r="AM634" s="734"/>
    </row>
    <row r="635" spans="1:39" customFormat="1" ht="12.75">
      <c r="A635" s="512"/>
      <c r="F635" s="1"/>
      <c r="G635" s="1"/>
      <c r="H635" s="1"/>
      <c r="I635" s="1"/>
      <c r="L635" s="45"/>
      <c r="M635" s="45"/>
      <c r="AM635" s="734"/>
    </row>
    <row r="636" spans="1:39" customFormat="1" ht="12.75">
      <c r="A636" s="512"/>
      <c r="F636" s="1"/>
      <c r="G636" s="1"/>
      <c r="H636" s="1"/>
      <c r="I636" s="1"/>
      <c r="L636" s="45"/>
      <c r="M636" s="45"/>
      <c r="AM636" s="734"/>
    </row>
    <row r="637" spans="1:39" customFormat="1" ht="12.75">
      <c r="A637" s="512"/>
      <c r="F637" s="1"/>
      <c r="G637" s="1"/>
      <c r="H637" s="1"/>
      <c r="I637" s="1"/>
      <c r="L637" s="45"/>
      <c r="M637" s="45"/>
      <c r="AM637" s="734"/>
    </row>
    <row r="638" spans="1:39" customFormat="1" ht="12.75">
      <c r="A638" s="512"/>
      <c r="F638" s="1"/>
      <c r="G638" s="1"/>
      <c r="H638" s="1"/>
      <c r="I638" s="1"/>
      <c r="L638" s="45"/>
      <c r="M638" s="45"/>
      <c r="AM638" s="734"/>
    </row>
    <row r="639" spans="1:39" customFormat="1" ht="12.75">
      <c r="A639" s="512"/>
      <c r="F639" s="1"/>
      <c r="G639" s="1"/>
      <c r="H639" s="1"/>
      <c r="I639" s="1"/>
      <c r="L639" s="45"/>
      <c r="M639" s="45"/>
      <c r="AM639" s="734"/>
    </row>
    <row r="640" spans="1:39" customFormat="1" ht="12.75">
      <c r="A640" s="512"/>
      <c r="F640" s="1"/>
      <c r="G640" s="1"/>
      <c r="H640" s="1"/>
      <c r="I640" s="1"/>
      <c r="L640" s="45"/>
      <c r="M640" s="45"/>
      <c r="AM640" s="734"/>
    </row>
    <row r="641" spans="1:39" customFormat="1" ht="12.75">
      <c r="A641" s="512"/>
      <c r="F641" s="1"/>
      <c r="G641" s="1"/>
      <c r="H641" s="1"/>
      <c r="I641" s="1"/>
      <c r="L641" s="45"/>
      <c r="M641" s="45"/>
      <c r="AM641" s="734"/>
    </row>
    <row r="642" spans="1:39" customFormat="1" ht="12.75">
      <c r="A642" s="512"/>
      <c r="F642" s="1"/>
      <c r="G642" s="1"/>
      <c r="H642" s="1"/>
      <c r="I642" s="1"/>
      <c r="L642" s="45"/>
      <c r="M642" s="45"/>
      <c r="AM642" s="734"/>
    </row>
    <row r="643" spans="1:39" customFormat="1" ht="12.75">
      <c r="A643" s="512"/>
      <c r="F643" s="1"/>
      <c r="G643" s="1"/>
      <c r="H643" s="1"/>
      <c r="I643" s="1"/>
      <c r="L643" s="45"/>
      <c r="M643" s="45"/>
      <c r="AM643" s="734"/>
    </row>
    <row r="644" spans="1:39" customFormat="1" ht="12.75">
      <c r="A644" s="512"/>
      <c r="F644" s="1"/>
      <c r="G644" s="1"/>
      <c r="H644" s="1"/>
      <c r="I644" s="1"/>
      <c r="L644" s="45"/>
      <c r="M644" s="45"/>
      <c r="AM644" s="734"/>
    </row>
    <row r="645" spans="1:39" customFormat="1" ht="12.75">
      <c r="A645" s="512"/>
      <c r="F645" s="1"/>
      <c r="G645" s="1"/>
      <c r="H645" s="1"/>
      <c r="I645" s="1"/>
      <c r="L645" s="45"/>
      <c r="M645" s="45"/>
      <c r="AM645" s="734"/>
    </row>
    <row r="646" spans="1:39" customFormat="1" ht="12.75">
      <c r="A646" s="512"/>
      <c r="F646" s="1"/>
      <c r="G646" s="1"/>
      <c r="H646" s="1"/>
      <c r="I646" s="1"/>
      <c r="L646" s="45"/>
      <c r="M646" s="45"/>
      <c r="AM646" s="734"/>
    </row>
    <row r="647" spans="1:39" customFormat="1" ht="12.75">
      <c r="A647" s="512"/>
      <c r="F647" s="1"/>
      <c r="G647" s="1"/>
      <c r="H647" s="1"/>
      <c r="I647" s="1"/>
      <c r="L647" s="45"/>
      <c r="M647" s="45"/>
      <c r="AM647" s="734"/>
    </row>
    <row r="648" spans="1:39" customFormat="1" ht="12.75">
      <c r="A648" s="512"/>
      <c r="F648" s="1"/>
      <c r="G648" s="1"/>
      <c r="H648" s="1"/>
      <c r="I648" s="1"/>
      <c r="L648" s="45"/>
      <c r="M648" s="45"/>
      <c r="AM648" s="734"/>
    </row>
    <row r="649" spans="1:39" customFormat="1" ht="12.75">
      <c r="A649" s="512"/>
      <c r="F649" s="1"/>
      <c r="G649" s="1"/>
      <c r="H649" s="1"/>
      <c r="I649" s="1"/>
      <c r="L649" s="45"/>
      <c r="M649" s="45"/>
      <c r="AM649" s="734"/>
    </row>
    <row r="650" spans="1:39" customFormat="1" ht="12.75">
      <c r="A650" s="512"/>
      <c r="F650" s="1"/>
      <c r="G650" s="1"/>
      <c r="H650" s="1"/>
      <c r="I650" s="1"/>
      <c r="L650" s="45"/>
      <c r="M650" s="45"/>
      <c r="AM650" s="734"/>
    </row>
    <row r="651" spans="1:39" customFormat="1" ht="12.75">
      <c r="A651" s="512"/>
      <c r="F651" s="1"/>
      <c r="G651" s="1"/>
      <c r="H651" s="1"/>
      <c r="I651" s="1"/>
      <c r="L651" s="45"/>
      <c r="M651" s="45"/>
      <c r="AM651" s="734"/>
    </row>
    <row r="652" spans="1:39" customFormat="1" ht="12.75">
      <c r="A652" s="512"/>
      <c r="F652" s="1"/>
      <c r="G652" s="1"/>
      <c r="H652" s="1"/>
      <c r="I652" s="1"/>
      <c r="L652" s="45"/>
      <c r="M652" s="45"/>
      <c r="AM652" s="734"/>
    </row>
    <row r="653" spans="1:39" customFormat="1" ht="12.75">
      <c r="A653" s="512"/>
      <c r="F653" s="1"/>
      <c r="G653" s="1"/>
      <c r="H653" s="1"/>
      <c r="I653" s="1"/>
      <c r="L653" s="45"/>
      <c r="M653" s="45"/>
      <c r="AM653" s="734"/>
    </row>
    <row r="654" spans="1:39" customFormat="1" ht="12.75">
      <c r="A654" s="512"/>
      <c r="F654" s="1"/>
      <c r="G654" s="1"/>
      <c r="H654" s="1"/>
      <c r="I654" s="1"/>
      <c r="L654" s="45"/>
      <c r="M654" s="45"/>
      <c r="AM654" s="734"/>
    </row>
    <row r="655" spans="1:39" customFormat="1" ht="12.75">
      <c r="A655" s="512"/>
      <c r="F655" s="1"/>
      <c r="G655" s="1"/>
      <c r="H655" s="1"/>
      <c r="I655" s="1"/>
      <c r="L655" s="45"/>
      <c r="M655" s="45"/>
      <c r="AM655" s="734"/>
    </row>
    <row r="656" spans="1:39" customFormat="1" ht="12.75">
      <c r="A656" s="512"/>
      <c r="F656" s="1"/>
      <c r="G656" s="1"/>
      <c r="H656" s="1"/>
      <c r="I656" s="1"/>
      <c r="L656" s="45"/>
      <c r="M656" s="45"/>
      <c r="AM656" s="734"/>
    </row>
    <row r="657" spans="1:39" customFormat="1" ht="12.75">
      <c r="A657" s="512"/>
      <c r="F657" s="1"/>
      <c r="G657" s="1"/>
      <c r="H657" s="1"/>
      <c r="I657" s="1"/>
      <c r="L657" s="45"/>
      <c r="M657" s="45"/>
      <c r="AM657" s="734"/>
    </row>
    <row r="658" spans="1:39" customFormat="1" ht="12.75">
      <c r="A658" s="512"/>
      <c r="F658" s="1"/>
      <c r="G658" s="1"/>
      <c r="H658" s="1"/>
      <c r="I658" s="1"/>
      <c r="L658" s="45"/>
      <c r="M658" s="45"/>
      <c r="AM658" s="734"/>
    </row>
    <row r="659" spans="1:39" customFormat="1" ht="12.75">
      <c r="A659" s="512"/>
      <c r="F659" s="1"/>
      <c r="G659" s="1"/>
      <c r="H659" s="1"/>
      <c r="I659" s="1"/>
      <c r="L659" s="45"/>
      <c r="M659" s="45"/>
      <c r="AM659" s="734"/>
    </row>
    <row r="660" spans="1:39" customFormat="1" ht="12.75">
      <c r="A660" s="512"/>
      <c r="F660" s="1"/>
      <c r="G660" s="1"/>
      <c r="H660" s="1"/>
      <c r="I660" s="1"/>
      <c r="L660" s="45"/>
      <c r="M660" s="45"/>
      <c r="AM660" s="734"/>
    </row>
    <row r="661" spans="1:39" customFormat="1" ht="12.75">
      <c r="A661" s="512"/>
      <c r="F661" s="1"/>
      <c r="G661" s="1"/>
      <c r="H661" s="1"/>
      <c r="I661" s="1"/>
      <c r="L661" s="45"/>
      <c r="M661" s="45"/>
      <c r="AM661" s="734"/>
    </row>
    <row r="662" spans="1:39" customFormat="1" ht="12.75">
      <c r="A662" s="512"/>
      <c r="F662" s="1"/>
      <c r="G662" s="1"/>
      <c r="H662" s="1"/>
      <c r="I662" s="1"/>
      <c r="L662" s="45"/>
      <c r="M662" s="45"/>
      <c r="AM662" s="734"/>
    </row>
    <row r="663" spans="1:39" customFormat="1" ht="12.75">
      <c r="A663" s="512"/>
      <c r="F663" s="1"/>
      <c r="G663" s="1"/>
      <c r="H663" s="1"/>
      <c r="I663" s="1"/>
      <c r="L663" s="45"/>
      <c r="M663" s="45"/>
      <c r="AM663" s="734"/>
    </row>
    <row r="664" spans="1:39" customFormat="1" ht="12.75">
      <c r="A664" s="512"/>
      <c r="F664" s="1"/>
      <c r="G664" s="1"/>
      <c r="H664" s="1"/>
      <c r="I664" s="1"/>
      <c r="L664" s="45"/>
      <c r="M664" s="45"/>
      <c r="AM664" s="734"/>
    </row>
    <row r="665" spans="1:39" customFormat="1" ht="12.75">
      <c r="A665" s="512"/>
      <c r="F665" s="1"/>
      <c r="G665" s="1"/>
      <c r="H665" s="1"/>
      <c r="I665" s="1"/>
      <c r="L665" s="45"/>
      <c r="M665" s="45"/>
      <c r="AM665" s="734"/>
    </row>
    <row r="666" spans="1:39" customFormat="1" ht="12.75">
      <c r="A666" s="512"/>
      <c r="F666" s="1"/>
      <c r="G666" s="1"/>
      <c r="H666" s="1"/>
      <c r="I666" s="1"/>
      <c r="L666" s="45"/>
      <c r="M666" s="45"/>
      <c r="AM666" s="734"/>
    </row>
    <row r="667" spans="1:39" customFormat="1" ht="12.75">
      <c r="A667" s="512"/>
      <c r="F667" s="1"/>
      <c r="G667" s="1"/>
      <c r="H667" s="1"/>
      <c r="I667" s="1"/>
      <c r="L667" s="45"/>
      <c r="M667" s="45"/>
      <c r="AM667" s="734"/>
    </row>
    <row r="668" spans="1:39" customFormat="1" ht="12.75">
      <c r="A668" s="512"/>
      <c r="F668" s="1"/>
      <c r="G668" s="1"/>
      <c r="H668" s="1"/>
      <c r="I668" s="1"/>
      <c r="L668" s="45"/>
      <c r="M668" s="45"/>
      <c r="AM668" s="734"/>
    </row>
    <row r="669" spans="1:39" customFormat="1" ht="12.75">
      <c r="A669" s="512"/>
      <c r="F669" s="1"/>
      <c r="G669" s="1"/>
      <c r="H669" s="1"/>
      <c r="I669" s="1"/>
      <c r="L669" s="45"/>
      <c r="M669" s="45"/>
      <c r="AM669" s="734"/>
    </row>
    <row r="670" spans="1:39" customFormat="1" ht="12.75">
      <c r="A670" s="512"/>
      <c r="F670" s="1"/>
      <c r="G670" s="1"/>
      <c r="H670" s="1"/>
      <c r="I670" s="1"/>
      <c r="L670" s="45"/>
      <c r="M670" s="45"/>
      <c r="AM670" s="734"/>
    </row>
    <row r="671" spans="1:39" customFormat="1" ht="12.75">
      <c r="A671" s="512"/>
      <c r="F671" s="1"/>
      <c r="G671" s="1"/>
      <c r="H671" s="1"/>
      <c r="I671" s="1"/>
      <c r="L671" s="45"/>
      <c r="M671" s="45"/>
      <c r="AM671" s="734"/>
    </row>
    <row r="672" spans="1:39" customFormat="1" ht="12.75">
      <c r="A672" s="512"/>
      <c r="F672" s="1"/>
      <c r="G672" s="1"/>
      <c r="H672" s="1"/>
      <c r="I672" s="1"/>
      <c r="L672" s="45"/>
      <c r="M672" s="45"/>
      <c r="AM672" s="734"/>
    </row>
    <row r="673" spans="1:39" customFormat="1" ht="12.75">
      <c r="A673" s="512"/>
      <c r="F673" s="1"/>
      <c r="G673" s="1"/>
      <c r="H673" s="1"/>
      <c r="I673" s="1"/>
      <c r="L673" s="45"/>
      <c r="M673" s="45"/>
      <c r="AM673" s="734"/>
    </row>
    <row r="674" spans="1:39" customFormat="1" ht="12.75">
      <c r="A674" s="512"/>
      <c r="F674" s="1"/>
      <c r="G674" s="1"/>
      <c r="H674" s="1"/>
      <c r="I674" s="1"/>
      <c r="L674" s="45"/>
      <c r="M674" s="45"/>
      <c r="AM674" s="734"/>
    </row>
    <row r="675" spans="1:39" customFormat="1" ht="12.75">
      <c r="A675" s="512"/>
      <c r="F675" s="1"/>
      <c r="G675" s="1"/>
      <c r="H675" s="1"/>
      <c r="I675" s="1"/>
      <c r="L675" s="45"/>
      <c r="M675" s="45"/>
      <c r="AM675" s="734"/>
    </row>
    <row r="676" spans="1:39" customFormat="1" ht="12.75">
      <c r="A676" s="512"/>
      <c r="F676" s="1"/>
      <c r="G676" s="1"/>
      <c r="H676" s="1"/>
      <c r="I676" s="1"/>
      <c r="L676" s="45"/>
      <c r="M676" s="45"/>
      <c r="AM676" s="734"/>
    </row>
    <row r="677" spans="1:39" customFormat="1" ht="12.75">
      <c r="A677" s="512"/>
      <c r="F677" s="1"/>
      <c r="G677" s="1"/>
      <c r="H677" s="1"/>
      <c r="I677" s="1"/>
      <c r="L677" s="45"/>
      <c r="M677" s="45"/>
      <c r="AM677" s="734"/>
    </row>
    <row r="678" spans="1:39" customFormat="1" ht="12.75">
      <c r="A678" s="512"/>
      <c r="F678" s="1"/>
      <c r="G678" s="1"/>
      <c r="H678" s="1"/>
      <c r="I678" s="1"/>
      <c r="L678" s="45"/>
      <c r="M678" s="45"/>
      <c r="AM678" s="734"/>
    </row>
    <row r="679" spans="1:39" customFormat="1" ht="12.75">
      <c r="A679" s="512"/>
      <c r="F679" s="1"/>
      <c r="G679" s="1"/>
      <c r="H679" s="1"/>
      <c r="I679" s="1"/>
      <c r="L679" s="45"/>
      <c r="M679" s="45"/>
      <c r="AM679" s="734"/>
    </row>
    <row r="680" spans="1:39" customFormat="1" ht="12.75">
      <c r="A680" s="512"/>
      <c r="F680" s="1"/>
      <c r="G680" s="1"/>
      <c r="H680" s="1"/>
      <c r="I680" s="1"/>
      <c r="L680" s="45"/>
      <c r="M680" s="45"/>
      <c r="AM680" s="734"/>
    </row>
    <row r="681" spans="1:39" customFormat="1" ht="12.75">
      <c r="A681" s="512"/>
      <c r="F681" s="1"/>
      <c r="G681" s="1"/>
      <c r="H681" s="1"/>
      <c r="I681" s="1"/>
      <c r="L681" s="45"/>
      <c r="M681" s="45"/>
      <c r="AM681" s="734"/>
    </row>
    <row r="682" spans="1:39" customFormat="1" ht="12.75">
      <c r="A682" s="512"/>
      <c r="F682" s="1"/>
      <c r="G682" s="1"/>
      <c r="H682" s="1"/>
      <c r="I682" s="1"/>
      <c r="L682" s="45"/>
      <c r="M682" s="45"/>
      <c r="AM682" s="734"/>
    </row>
    <row r="683" spans="1:39" customFormat="1" ht="12.75">
      <c r="A683" s="512"/>
      <c r="F683" s="1"/>
      <c r="G683" s="1"/>
      <c r="H683" s="1"/>
      <c r="I683" s="1"/>
      <c r="L683" s="45"/>
      <c r="M683" s="45"/>
      <c r="AM683" s="734"/>
    </row>
    <row r="684" spans="1:39" customFormat="1" ht="12.75">
      <c r="A684" s="512"/>
      <c r="F684" s="1"/>
      <c r="G684" s="1"/>
      <c r="H684" s="1"/>
      <c r="I684" s="1"/>
      <c r="L684" s="45"/>
      <c r="M684" s="45"/>
      <c r="AM684" s="734"/>
    </row>
    <row r="685" spans="1:39" customFormat="1" ht="12.75">
      <c r="A685" s="512"/>
      <c r="F685" s="1"/>
      <c r="G685" s="1"/>
      <c r="H685" s="1"/>
      <c r="I685" s="1"/>
      <c r="L685" s="45"/>
      <c r="M685" s="45"/>
      <c r="AM685" s="734"/>
    </row>
    <row r="686" spans="1:39" customFormat="1" ht="12.75">
      <c r="A686" s="512"/>
      <c r="F686" s="1"/>
      <c r="G686" s="1"/>
      <c r="H686" s="1"/>
      <c r="I686" s="1"/>
      <c r="L686" s="45"/>
      <c r="M686" s="45"/>
      <c r="AM686" s="734"/>
    </row>
    <row r="687" spans="1:39" customFormat="1" ht="12.75">
      <c r="A687" s="512"/>
      <c r="F687" s="1"/>
      <c r="G687" s="1"/>
      <c r="H687" s="1"/>
      <c r="I687" s="1"/>
      <c r="L687" s="45"/>
      <c r="M687" s="45"/>
      <c r="AM687" s="734"/>
    </row>
    <row r="688" spans="1:39" customFormat="1" ht="12.75">
      <c r="A688" s="512"/>
      <c r="F688" s="1"/>
      <c r="G688" s="1"/>
      <c r="H688" s="1"/>
      <c r="I688" s="1"/>
      <c r="L688" s="45"/>
      <c r="M688" s="45"/>
      <c r="AM688" s="734"/>
    </row>
    <row r="689" spans="1:39" customFormat="1" ht="12.75">
      <c r="A689" s="512"/>
      <c r="F689" s="1"/>
      <c r="G689" s="1"/>
      <c r="H689" s="1"/>
      <c r="I689" s="1"/>
      <c r="L689" s="45"/>
      <c r="M689" s="45"/>
      <c r="AM689" s="734"/>
    </row>
    <row r="690" spans="1:39" customFormat="1" ht="12.75">
      <c r="A690" s="512"/>
      <c r="F690" s="1"/>
      <c r="G690" s="1"/>
      <c r="H690" s="1"/>
      <c r="I690" s="1"/>
      <c r="L690" s="45"/>
      <c r="M690" s="45"/>
      <c r="AM690" s="734"/>
    </row>
    <row r="691" spans="1:39" customFormat="1" ht="12.75">
      <c r="A691" s="512"/>
      <c r="F691" s="1"/>
      <c r="G691" s="1"/>
      <c r="H691" s="1"/>
      <c r="I691" s="1"/>
      <c r="L691" s="45"/>
      <c r="M691" s="45"/>
      <c r="AM691" s="734"/>
    </row>
    <row r="692" spans="1:39" customFormat="1" ht="12.75">
      <c r="A692" s="512"/>
      <c r="F692" s="1"/>
      <c r="G692" s="1"/>
      <c r="H692" s="1"/>
      <c r="I692" s="1"/>
      <c r="L692" s="45"/>
      <c r="M692" s="45"/>
      <c r="AM692" s="734"/>
    </row>
    <row r="693" spans="1:39" customFormat="1" ht="12.75">
      <c r="A693" s="512"/>
      <c r="F693" s="1"/>
      <c r="G693" s="1"/>
      <c r="H693" s="1"/>
      <c r="I693" s="1"/>
      <c r="L693" s="45"/>
      <c r="M693" s="45"/>
      <c r="AM693" s="734"/>
    </row>
    <row r="694" spans="1:39" customFormat="1" ht="12.75">
      <c r="A694" s="512"/>
      <c r="F694" s="1"/>
      <c r="G694" s="1"/>
      <c r="H694" s="1"/>
      <c r="I694" s="1"/>
      <c r="L694" s="45"/>
      <c r="M694" s="45"/>
      <c r="AM694" s="734"/>
    </row>
    <row r="695" spans="1:39" customFormat="1" ht="12.75">
      <c r="A695" s="512"/>
      <c r="F695" s="1"/>
      <c r="G695" s="1"/>
      <c r="H695" s="1"/>
      <c r="I695" s="1"/>
      <c r="L695" s="45"/>
      <c r="M695" s="45"/>
      <c r="AM695" s="734"/>
    </row>
    <row r="696" spans="1:39" customFormat="1" ht="12.75">
      <c r="A696" s="512"/>
      <c r="F696" s="1"/>
      <c r="G696" s="1"/>
      <c r="H696" s="1"/>
      <c r="I696" s="1"/>
      <c r="L696" s="45"/>
      <c r="M696" s="45"/>
      <c r="AM696" s="734"/>
    </row>
    <row r="697" spans="1:39" customFormat="1" ht="12.75">
      <c r="A697" s="512"/>
      <c r="F697" s="1"/>
      <c r="G697" s="1"/>
      <c r="H697" s="1"/>
      <c r="I697" s="1"/>
      <c r="L697" s="45"/>
      <c r="M697" s="45"/>
      <c r="AM697" s="734"/>
    </row>
    <row r="698" spans="1:39" customFormat="1" ht="12.75">
      <c r="A698" s="512"/>
      <c r="F698" s="1"/>
      <c r="G698" s="1"/>
      <c r="H698" s="1"/>
      <c r="I698" s="1"/>
      <c r="L698" s="45"/>
      <c r="M698" s="45"/>
      <c r="AM698" s="734"/>
    </row>
    <row r="699" spans="1:39" customFormat="1" ht="12.75">
      <c r="A699" s="512"/>
      <c r="F699" s="1"/>
      <c r="G699" s="1"/>
      <c r="H699" s="1"/>
      <c r="I699" s="1"/>
      <c r="L699" s="45"/>
      <c r="M699" s="45"/>
      <c r="AM699" s="734"/>
    </row>
    <row r="700" spans="1:39" customFormat="1" ht="12.75">
      <c r="A700" s="512"/>
      <c r="F700" s="1"/>
      <c r="G700" s="1"/>
      <c r="H700" s="1"/>
      <c r="I700" s="1"/>
      <c r="L700" s="45"/>
      <c r="M700" s="45"/>
      <c r="AM700" s="734"/>
    </row>
    <row r="701" spans="1:39" customFormat="1" ht="12.75">
      <c r="A701" s="512"/>
      <c r="F701" s="1"/>
      <c r="G701" s="1"/>
      <c r="H701" s="1"/>
      <c r="I701" s="1"/>
      <c r="L701" s="45"/>
      <c r="M701" s="45"/>
      <c r="AM701" s="734"/>
    </row>
    <row r="702" spans="1:39" customFormat="1" ht="12.75">
      <c r="A702" s="512"/>
      <c r="F702" s="1"/>
      <c r="G702" s="1"/>
      <c r="H702" s="1"/>
      <c r="I702" s="1"/>
      <c r="L702" s="45"/>
      <c r="M702" s="45"/>
      <c r="AM702" s="734"/>
    </row>
    <row r="703" spans="1:39" customFormat="1" ht="12.75">
      <c r="A703" s="512"/>
      <c r="F703" s="1"/>
      <c r="G703" s="1"/>
      <c r="H703" s="1"/>
      <c r="I703" s="1"/>
      <c r="L703" s="45"/>
      <c r="M703" s="45"/>
      <c r="AM703" s="734"/>
    </row>
    <row r="704" spans="1:39" customFormat="1" ht="12.75">
      <c r="A704" s="512"/>
      <c r="F704" s="1"/>
      <c r="G704" s="1"/>
      <c r="H704" s="1"/>
      <c r="I704" s="1"/>
      <c r="L704" s="45"/>
      <c r="M704" s="45"/>
      <c r="AM704" s="734"/>
    </row>
    <row r="705" spans="1:39" customFormat="1" ht="12.75">
      <c r="A705" s="512"/>
      <c r="F705" s="1"/>
      <c r="G705" s="1"/>
      <c r="H705" s="1"/>
      <c r="I705" s="1"/>
      <c r="L705" s="45"/>
      <c r="M705" s="45"/>
      <c r="AM705" s="734"/>
    </row>
    <row r="706" spans="1:39" customFormat="1" ht="12.75">
      <c r="A706" s="512"/>
      <c r="F706" s="1"/>
      <c r="G706" s="1"/>
      <c r="H706" s="1"/>
      <c r="I706" s="1"/>
      <c r="L706" s="45"/>
      <c r="M706" s="45"/>
      <c r="AM706" s="734"/>
    </row>
    <row r="707" spans="1:39" customFormat="1" ht="12.75">
      <c r="A707" s="512"/>
      <c r="F707" s="1"/>
      <c r="G707" s="1"/>
      <c r="H707" s="1"/>
      <c r="I707" s="1"/>
      <c r="L707" s="45"/>
      <c r="M707" s="45"/>
      <c r="AM707" s="734"/>
    </row>
    <row r="708" spans="1:39" customFormat="1" ht="12.75">
      <c r="A708" s="512"/>
      <c r="F708" s="1"/>
      <c r="G708" s="1"/>
      <c r="H708" s="1"/>
      <c r="I708" s="1"/>
      <c r="L708" s="45"/>
      <c r="M708" s="45"/>
      <c r="AM708" s="734"/>
    </row>
    <row r="709" spans="1:39" customFormat="1" ht="12.75">
      <c r="A709" s="512"/>
      <c r="F709" s="1"/>
      <c r="G709" s="1"/>
      <c r="H709" s="1"/>
      <c r="I709" s="1"/>
      <c r="L709" s="45"/>
      <c r="M709" s="45"/>
      <c r="AM709" s="734"/>
    </row>
    <row r="710" spans="1:39" customFormat="1" ht="12.75">
      <c r="A710" s="512"/>
      <c r="F710" s="1"/>
      <c r="G710" s="1"/>
      <c r="H710" s="1"/>
      <c r="I710" s="1"/>
      <c r="L710" s="45"/>
      <c r="M710" s="45"/>
      <c r="AM710" s="734"/>
    </row>
    <row r="711" spans="1:39" customFormat="1" ht="12.75">
      <c r="A711" s="512"/>
      <c r="F711" s="1"/>
      <c r="G711" s="1"/>
      <c r="H711" s="1"/>
      <c r="I711" s="1"/>
      <c r="L711" s="45"/>
      <c r="M711" s="45"/>
      <c r="AM711" s="734"/>
    </row>
    <row r="712" spans="1:39" customFormat="1" ht="12.75">
      <c r="A712" s="512"/>
      <c r="F712" s="1"/>
      <c r="G712" s="1"/>
      <c r="H712" s="1"/>
      <c r="I712" s="1"/>
      <c r="L712" s="45"/>
      <c r="M712" s="45"/>
      <c r="AM712" s="734"/>
    </row>
    <row r="713" spans="1:39" customFormat="1" ht="12.75">
      <c r="A713" s="512"/>
      <c r="F713" s="1"/>
      <c r="G713" s="1"/>
      <c r="H713" s="1"/>
      <c r="I713" s="1"/>
      <c r="L713" s="45"/>
      <c r="M713" s="45"/>
      <c r="AM713" s="734"/>
    </row>
    <row r="714" spans="1:39" customFormat="1" ht="12.75">
      <c r="A714" s="512"/>
      <c r="F714" s="1"/>
      <c r="G714" s="1"/>
      <c r="H714" s="1"/>
      <c r="I714" s="1"/>
      <c r="L714" s="45"/>
      <c r="M714" s="45"/>
      <c r="AM714" s="734"/>
    </row>
    <row r="715" spans="1:39" customFormat="1" ht="12.75">
      <c r="A715" s="512"/>
      <c r="F715" s="1"/>
      <c r="G715" s="1"/>
      <c r="H715" s="1"/>
      <c r="I715" s="1"/>
      <c r="L715" s="45"/>
      <c r="M715" s="45"/>
      <c r="AM715" s="734"/>
    </row>
    <row r="716" spans="1:39" customFormat="1" ht="12.75">
      <c r="A716" s="512"/>
      <c r="F716" s="1"/>
      <c r="G716" s="1"/>
      <c r="H716" s="1"/>
      <c r="I716" s="1"/>
      <c r="L716" s="45"/>
      <c r="M716" s="45"/>
      <c r="AM716" s="734"/>
    </row>
    <row r="717" spans="1:39" customFormat="1" ht="12.75">
      <c r="A717" s="512"/>
      <c r="F717" s="1"/>
      <c r="G717" s="1"/>
      <c r="H717" s="1"/>
      <c r="I717" s="1"/>
      <c r="L717" s="45"/>
      <c r="M717" s="45"/>
      <c r="AM717" s="734"/>
    </row>
    <row r="718" spans="1:39" customFormat="1" ht="12.75">
      <c r="A718" s="512"/>
      <c r="F718" s="1"/>
      <c r="G718" s="1"/>
      <c r="H718" s="1"/>
      <c r="I718" s="1"/>
      <c r="L718" s="45"/>
      <c r="M718" s="45"/>
      <c r="AM718" s="734"/>
    </row>
    <row r="719" spans="1:39" customFormat="1" ht="12.75">
      <c r="A719" s="512"/>
      <c r="F719" s="1"/>
      <c r="G719" s="1"/>
      <c r="H719" s="1"/>
      <c r="I719" s="1"/>
      <c r="L719" s="45"/>
      <c r="M719" s="45"/>
      <c r="AM719" s="734"/>
    </row>
    <row r="720" spans="1:39" customFormat="1" ht="12.75">
      <c r="A720" s="512"/>
      <c r="F720" s="1"/>
      <c r="G720" s="1"/>
      <c r="H720" s="1"/>
      <c r="I720" s="1"/>
      <c r="L720" s="45"/>
      <c r="M720" s="45"/>
      <c r="AM720" s="734"/>
    </row>
    <row r="721" spans="1:39" customFormat="1" ht="12.75">
      <c r="A721" s="512"/>
      <c r="F721" s="1"/>
      <c r="G721" s="1"/>
      <c r="H721" s="1"/>
      <c r="I721" s="1"/>
      <c r="L721" s="45"/>
      <c r="M721" s="45"/>
      <c r="AM721" s="734"/>
    </row>
    <row r="722" spans="1:39" customFormat="1" ht="12.75">
      <c r="A722" s="512"/>
      <c r="F722" s="1"/>
      <c r="G722" s="1"/>
      <c r="H722" s="1"/>
      <c r="I722" s="1"/>
      <c r="L722" s="45"/>
      <c r="M722" s="45"/>
      <c r="AM722" s="734"/>
    </row>
    <row r="723" spans="1:39" customFormat="1" ht="12.75">
      <c r="A723" s="512"/>
      <c r="F723" s="1"/>
      <c r="G723" s="1"/>
      <c r="H723" s="1"/>
      <c r="I723" s="1"/>
      <c r="L723" s="45"/>
      <c r="M723" s="45"/>
      <c r="AM723" s="734"/>
    </row>
    <row r="724" spans="1:39" customFormat="1" ht="12.75">
      <c r="A724" s="512"/>
      <c r="F724" s="1"/>
      <c r="G724" s="1"/>
      <c r="H724" s="1"/>
      <c r="I724" s="1"/>
      <c r="L724" s="45"/>
      <c r="M724" s="45"/>
      <c r="AM724" s="734"/>
    </row>
    <row r="725" spans="1:39" customFormat="1" ht="12.75">
      <c r="A725" s="512"/>
      <c r="F725" s="1"/>
      <c r="G725" s="1"/>
      <c r="H725" s="1"/>
      <c r="I725" s="1"/>
      <c r="L725" s="45"/>
      <c r="M725" s="45"/>
      <c r="AM725" s="734"/>
    </row>
    <row r="726" spans="1:39" customFormat="1" ht="12.75">
      <c r="A726" s="512"/>
      <c r="F726" s="1"/>
      <c r="G726" s="1"/>
      <c r="H726" s="1"/>
      <c r="I726" s="1"/>
      <c r="L726" s="45"/>
      <c r="M726" s="45"/>
      <c r="AM726" s="734"/>
    </row>
    <row r="727" spans="1:39" customFormat="1" ht="12.75">
      <c r="A727" s="512"/>
      <c r="F727" s="1"/>
      <c r="G727" s="1"/>
      <c r="H727" s="1"/>
      <c r="I727" s="1"/>
      <c r="L727" s="45"/>
      <c r="M727" s="45"/>
      <c r="AM727" s="734"/>
    </row>
    <row r="728" spans="1:39" customFormat="1" ht="12.75">
      <c r="A728" s="512"/>
      <c r="F728" s="1"/>
      <c r="G728" s="1"/>
      <c r="H728" s="1"/>
      <c r="I728" s="1"/>
      <c r="L728" s="45"/>
      <c r="M728" s="45"/>
      <c r="AM728" s="734"/>
    </row>
    <row r="729" spans="1:39" customFormat="1" ht="12.75">
      <c r="A729" s="512"/>
      <c r="F729" s="1"/>
      <c r="G729" s="1"/>
      <c r="H729" s="1"/>
      <c r="I729" s="1"/>
      <c r="L729" s="45"/>
      <c r="M729" s="45"/>
      <c r="AM729" s="734"/>
    </row>
    <row r="730" spans="1:39" customFormat="1" ht="12.75">
      <c r="A730" s="512"/>
      <c r="F730" s="1"/>
      <c r="G730" s="1"/>
      <c r="H730" s="1"/>
      <c r="I730" s="1"/>
      <c r="L730" s="45"/>
      <c r="M730" s="45"/>
      <c r="AM730" s="734"/>
    </row>
    <row r="731" spans="1:39" customFormat="1" ht="12.75">
      <c r="A731" s="512"/>
      <c r="F731" s="1"/>
      <c r="G731" s="1"/>
      <c r="H731" s="1"/>
      <c r="I731" s="1"/>
      <c r="L731" s="45"/>
      <c r="M731" s="45"/>
      <c r="AM731" s="734"/>
    </row>
    <row r="732" spans="1:39" customFormat="1" ht="12.75">
      <c r="A732" s="512"/>
      <c r="F732" s="1"/>
      <c r="G732" s="1"/>
      <c r="H732" s="1"/>
      <c r="I732" s="1"/>
      <c r="L732" s="45"/>
      <c r="M732" s="45"/>
      <c r="AM732" s="734"/>
    </row>
    <row r="733" spans="1:39" customFormat="1" ht="12.75">
      <c r="A733" s="512"/>
      <c r="F733" s="1"/>
      <c r="G733" s="1"/>
      <c r="H733" s="1"/>
      <c r="I733" s="1"/>
      <c r="L733" s="45"/>
      <c r="M733" s="45"/>
      <c r="AM733" s="734"/>
    </row>
    <row r="734" spans="1:39" customFormat="1" ht="12.75">
      <c r="A734" s="512"/>
      <c r="F734" s="1"/>
      <c r="G734" s="1"/>
      <c r="H734" s="1"/>
      <c r="I734" s="1"/>
      <c r="L734" s="45"/>
      <c r="M734" s="45"/>
      <c r="AM734" s="734"/>
    </row>
    <row r="735" spans="1:39" customFormat="1" ht="12.75">
      <c r="A735" s="512"/>
      <c r="F735" s="1"/>
      <c r="G735" s="1"/>
      <c r="H735" s="1"/>
      <c r="I735" s="1"/>
      <c r="L735" s="45"/>
      <c r="M735" s="45"/>
      <c r="AM735" s="734"/>
    </row>
    <row r="736" spans="1:39" customFormat="1" ht="12.75">
      <c r="A736" s="512"/>
      <c r="F736" s="1"/>
      <c r="G736" s="1"/>
      <c r="H736" s="1"/>
      <c r="I736" s="1"/>
      <c r="L736" s="45"/>
      <c r="M736" s="45"/>
      <c r="AM736" s="734"/>
    </row>
    <row r="737" spans="1:39" customFormat="1" ht="12.75">
      <c r="A737" s="512"/>
      <c r="F737" s="1"/>
      <c r="G737" s="1"/>
      <c r="H737" s="1"/>
      <c r="I737" s="1"/>
      <c r="L737" s="45"/>
      <c r="M737" s="45"/>
      <c r="AM737" s="734"/>
    </row>
    <row r="738" spans="1:39" customFormat="1" ht="12.75">
      <c r="A738" s="512"/>
      <c r="F738" s="1"/>
      <c r="G738" s="1"/>
      <c r="H738" s="1"/>
      <c r="I738" s="1"/>
      <c r="L738" s="45"/>
      <c r="M738" s="45"/>
      <c r="AM738" s="734"/>
    </row>
    <row r="739" spans="1:39" customFormat="1" ht="12.75">
      <c r="A739" s="512"/>
      <c r="F739" s="1"/>
      <c r="G739" s="1"/>
      <c r="H739" s="1"/>
      <c r="I739" s="1"/>
      <c r="L739" s="45"/>
      <c r="M739" s="45"/>
      <c r="AM739" s="734"/>
    </row>
    <row r="740" spans="1:39" customFormat="1" ht="12.75">
      <c r="A740" s="512"/>
      <c r="F740" s="1"/>
      <c r="G740" s="1"/>
      <c r="H740" s="1"/>
      <c r="I740" s="1"/>
      <c r="L740" s="45"/>
      <c r="M740" s="45"/>
      <c r="AM740" s="734"/>
    </row>
    <row r="741" spans="1:39" customFormat="1" ht="12.75">
      <c r="A741" s="512"/>
      <c r="F741" s="1"/>
      <c r="G741" s="1"/>
      <c r="H741" s="1"/>
      <c r="I741" s="1"/>
      <c r="L741" s="45"/>
      <c r="M741" s="45"/>
      <c r="AM741" s="734"/>
    </row>
    <row r="742" spans="1:39" customFormat="1" ht="12.75">
      <c r="A742" s="512"/>
      <c r="F742" s="1"/>
      <c r="G742" s="1"/>
      <c r="H742" s="1"/>
      <c r="I742" s="1"/>
      <c r="L742" s="45"/>
      <c r="M742" s="45"/>
      <c r="AM742" s="734"/>
    </row>
    <row r="743" spans="1:39" customFormat="1" ht="12.75">
      <c r="A743" s="512"/>
      <c r="F743" s="1"/>
      <c r="G743" s="1"/>
      <c r="H743" s="1"/>
      <c r="I743" s="1"/>
      <c r="L743" s="45"/>
      <c r="M743" s="45"/>
      <c r="AM743" s="734"/>
    </row>
    <row r="744" spans="1:39" customFormat="1" ht="12.75">
      <c r="A744" s="512"/>
      <c r="F744" s="1"/>
      <c r="G744" s="1"/>
      <c r="H744" s="1"/>
      <c r="I744" s="1"/>
      <c r="L744" s="45"/>
      <c r="M744" s="45"/>
      <c r="AM744" s="734"/>
    </row>
    <row r="745" spans="1:39" customFormat="1" ht="12.75">
      <c r="A745" s="512"/>
      <c r="F745" s="1"/>
      <c r="G745" s="1"/>
      <c r="H745" s="1"/>
      <c r="I745" s="1"/>
      <c r="L745" s="45"/>
      <c r="M745" s="45"/>
      <c r="AM745" s="734"/>
    </row>
    <row r="746" spans="1:39" customFormat="1" ht="12.75">
      <c r="A746" s="512"/>
      <c r="F746" s="1"/>
      <c r="G746" s="1"/>
      <c r="H746" s="1"/>
      <c r="I746" s="1"/>
      <c r="L746" s="45"/>
      <c r="M746" s="45"/>
      <c r="AM746" s="734"/>
    </row>
    <row r="747" spans="1:39" customFormat="1" ht="12.75">
      <c r="A747" s="512"/>
      <c r="F747" s="1"/>
      <c r="G747" s="1"/>
      <c r="H747" s="1"/>
      <c r="I747" s="1"/>
      <c r="L747" s="45"/>
      <c r="M747" s="45"/>
      <c r="AM747" s="734"/>
    </row>
    <row r="748" spans="1:39" customFormat="1" ht="12.75">
      <c r="A748" s="512"/>
      <c r="F748" s="1"/>
      <c r="G748" s="1"/>
      <c r="H748" s="1"/>
      <c r="I748" s="1"/>
      <c r="L748" s="45"/>
      <c r="M748" s="45"/>
      <c r="AM748" s="734"/>
    </row>
    <row r="749" spans="1:39" customFormat="1" ht="12.75">
      <c r="A749" s="512"/>
      <c r="F749" s="1"/>
      <c r="G749" s="1"/>
      <c r="H749" s="1"/>
      <c r="I749" s="1"/>
      <c r="L749" s="45"/>
      <c r="M749" s="45"/>
      <c r="AM749" s="734"/>
    </row>
    <row r="750" spans="1:39" customFormat="1" ht="12.75">
      <c r="A750" s="512"/>
      <c r="F750" s="1"/>
      <c r="G750" s="1"/>
      <c r="H750" s="1"/>
      <c r="I750" s="1"/>
      <c r="L750" s="45"/>
      <c r="M750" s="45"/>
      <c r="AM750" s="734"/>
    </row>
    <row r="751" spans="1:39" customFormat="1" ht="12.75">
      <c r="A751" s="512"/>
      <c r="F751" s="1"/>
      <c r="G751" s="1"/>
      <c r="H751" s="1"/>
      <c r="I751" s="1"/>
      <c r="L751" s="45"/>
      <c r="M751" s="45"/>
      <c r="AM751" s="734"/>
    </row>
    <row r="752" spans="1:39" customFormat="1" ht="12.75">
      <c r="A752" s="512"/>
      <c r="F752" s="1"/>
      <c r="G752" s="1"/>
      <c r="H752" s="1"/>
      <c r="I752" s="1"/>
      <c r="L752" s="45"/>
      <c r="M752" s="45"/>
      <c r="AM752" s="734"/>
    </row>
    <row r="753" spans="1:39" customFormat="1" ht="12.75">
      <c r="A753" s="512"/>
      <c r="F753" s="1"/>
      <c r="G753" s="1"/>
      <c r="H753" s="1"/>
      <c r="I753" s="1"/>
      <c r="L753" s="45"/>
      <c r="M753" s="45"/>
      <c r="AM753" s="734"/>
    </row>
    <row r="754" spans="1:39" customFormat="1" ht="12.75">
      <c r="A754" s="512"/>
      <c r="F754" s="1"/>
      <c r="G754" s="1"/>
      <c r="H754" s="1"/>
      <c r="I754" s="1"/>
      <c r="L754" s="45"/>
      <c r="M754" s="45"/>
      <c r="AM754" s="734"/>
    </row>
    <row r="755" spans="1:39" customFormat="1" ht="12.75">
      <c r="A755" s="512"/>
      <c r="F755" s="1"/>
      <c r="G755" s="1"/>
      <c r="H755" s="1"/>
      <c r="I755" s="1"/>
      <c r="L755" s="45"/>
      <c r="M755" s="45"/>
      <c r="AM755" s="734"/>
    </row>
    <row r="756" spans="1:39" customFormat="1" ht="12.75">
      <c r="A756" s="512"/>
      <c r="F756" s="1"/>
      <c r="G756" s="1"/>
      <c r="H756" s="1"/>
      <c r="I756" s="1"/>
      <c r="L756" s="45"/>
      <c r="M756" s="45"/>
      <c r="AM756" s="734"/>
    </row>
    <row r="757" spans="1:39" customFormat="1" ht="12.75">
      <c r="A757" s="512"/>
      <c r="F757" s="1"/>
      <c r="G757" s="1"/>
      <c r="H757" s="1"/>
      <c r="I757" s="1"/>
      <c r="L757" s="45"/>
      <c r="M757" s="45"/>
      <c r="AM757" s="734"/>
    </row>
    <row r="758" spans="1:39" customFormat="1" ht="12.75">
      <c r="A758" s="512"/>
      <c r="F758" s="1"/>
      <c r="G758" s="1"/>
      <c r="H758" s="1"/>
      <c r="I758" s="1"/>
      <c r="L758" s="45"/>
      <c r="M758" s="45"/>
      <c r="AM758" s="734"/>
    </row>
    <row r="759" spans="1:39" customFormat="1" ht="12.75">
      <c r="A759" s="512"/>
      <c r="F759" s="1"/>
      <c r="G759" s="1"/>
      <c r="H759" s="1"/>
      <c r="I759" s="1"/>
      <c r="L759" s="45"/>
      <c r="M759" s="45"/>
      <c r="AM759" s="734"/>
    </row>
    <row r="760" spans="1:39" customFormat="1" ht="12.75">
      <c r="A760" s="512"/>
      <c r="F760" s="1"/>
      <c r="G760" s="1"/>
      <c r="H760" s="1"/>
      <c r="I760" s="1"/>
      <c r="L760" s="45"/>
      <c r="M760" s="45"/>
      <c r="AM760" s="734"/>
    </row>
    <row r="761" spans="1:39" customFormat="1" ht="12.75">
      <c r="A761" s="512"/>
      <c r="F761" s="1"/>
      <c r="G761" s="1"/>
      <c r="H761" s="1"/>
      <c r="I761" s="1"/>
      <c r="L761" s="45"/>
      <c r="M761" s="45"/>
      <c r="AM761" s="734"/>
    </row>
    <row r="762" spans="1:39" customFormat="1" ht="12.75">
      <c r="A762" s="512"/>
      <c r="F762" s="1"/>
      <c r="G762" s="1"/>
      <c r="H762" s="1"/>
      <c r="I762" s="1"/>
      <c r="L762" s="45"/>
      <c r="M762" s="45"/>
      <c r="AM762" s="734"/>
    </row>
    <row r="763" spans="1:39" customFormat="1" ht="12.75">
      <c r="A763" s="512"/>
      <c r="F763" s="1"/>
      <c r="G763" s="1"/>
      <c r="H763" s="1"/>
      <c r="I763" s="1"/>
      <c r="L763" s="45"/>
      <c r="M763" s="45"/>
      <c r="AM763" s="734"/>
    </row>
    <row r="764" spans="1:39" customFormat="1" ht="12.75">
      <c r="A764" s="512"/>
      <c r="F764" s="1"/>
      <c r="G764" s="1"/>
      <c r="H764" s="1"/>
      <c r="I764" s="1"/>
      <c r="L764" s="45"/>
      <c r="M764" s="45"/>
      <c r="AM764" s="734"/>
    </row>
    <row r="765" spans="1:39" customFormat="1" ht="12.75">
      <c r="A765" s="512"/>
      <c r="F765" s="1"/>
      <c r="G765" s="1"/>
      <c r="H765" s="1"/>
      <c r="I765" s="1"/>
      <c r="L765" s="45"/>
      <c r="M765" s="45"/>
      <c r="AM765" s="734"/>
    </row>
    <row r="766" spans="1:39" customFormat="1" ht="12.75">
      <c r="A766" s="512"/>
      <c r="F766" s="1"/>
      <c r="G766" s="1"/>
      <c r="H766" s="1"/>
      <c r="I766" s="1"/>
      <c r="L766" s="45"/>
      <c r="M766" s="45"/>
      <c r="AM766" s="734"/>
    </row>
    <row r="767" spans="1:39" customFormat="1" ht="12.75">
      <c r="A767" s="512"/>
      <c r="F767" s="1"/>
      <c r="G767" s="1"/>
      <c r="H767" s="1"/>
      <c r="I767" s="1"/>
      <c r="L767" s="45"/>
      <c r="M767" s="45"/>
      <c r="AM767" s="734"/>
    </row>
    <row r="768" spans="1:39" customFormat="1" ht="12.75">
      <c r="A768" s="512"/>
      <c r="F768" s="1"/>
      <c r="G768" s="1"/>
      <c r="H768" s="1"/>
      <c r="I768" s="1"/>
      <c r="L768" s="45"/>
      <c r="M768" s="45"/>
      <c r="AM768" s="734"/>
    </row>
    <row r="769" spans="1:39" customFormat="1" ht="12.75">
      <c r="A769" s="512"/>
      <c r="F769" s="1"/>
      <c r="G769" s="1"/>
      <c r="H769" s="1"/>
      <c r="I769" s="1"/>
      <c r="L769" s="45"/>
      <c r="M769" s="45"/>
      <c r="AM769" s="734"/>
    </row>
    <row r="770" spans="1:39" customFormat="1" ht="12.75">
      <c r="A770" s="512"/>
      <c r="F770" s="1"/>
      <c r="G770" s="1"/>
      <c r="H770" s="1"/>
      <c r="I770" s="1"/>
      <c r="L770" s="45"/>
      <c r="M770" s="45"/>
      <c r="AM770" s="734"/>
    </row>
    <row r="771" spans="1:39" customFormat="1" ht="12.75">
      <c r="A771" s="512"/>
      <c r="F771" s="1"/>
      <c r="G771" s="1"/>
      <c r="H771" s="1"/>
      <c r="I771" s="1"/>
      <c r="L771" s="45"/>
      <c r="M771" s="45"/>
      <c r="AM771" s="734"/>
    </row>
    <row r="772" spans="1:39" customFormat="1" ht="12.75">
      <c r="A772" s="512"/>
      <c r="F772" s="1"/>
      <c r="G772" s="1"/>
      <c r="H772" s="1"/>
      <c r="I772" s="1"/>
      <c r="L772" s="45"/>
      <c r="M772" s="45"/>
      <c r="AM772" s="734"/>
    </row>
    <row r="773" spans="1:39" customFormat="1" ht="12.75">
      <c r="A773" s="512"/>
      <c r="F773" s="1"/>
      <c r="G773" s="1"/>
      <c r="H773" s="1"/>
      <c r="I773" s="1"/>
      <c r="L773" s="45"/>
      <c r="M773" s="45"/>
      <c r="AM773" s="734"/>
    </row>
    <row r="774" spans="1:39" customFormat="1" ht="12.75">
      <c r="A774" s="512"/>
      <c r="F774" s="1"/>
      <c r="G774" s="1"/>
      <c r="H774" s="1"/>
      <c r="I774" s="1"/>
      <c r="L774" s="45"/>
      <c r="M774" s="45"/>
      <c r="AM774" s="734"/>
    </row>
    <row r="775" spans="1:39" customFormat="1" ht="12.75">
      <c r="A775" s="512"/>
      <c r="F775" s="1"/>
      <c r="G775" s="1"/>
      <c r="H775" s="1"/>
      <c r="I775" s="1"/>
      <c r="L775" s="45"/>
      <c r="M775" s="45"/>
      <c r="AM775" s="734"/>
    </row>
    <row r="776" spans="1:39" customFormat="1" ht="12.75">
      <c r="A776" s="512"/>
      <c r="F776" s="1"/>
      <c r="G776" s="1"/>
      <c r="H776" s="1"/>
      <c r="I776" s="1"/>
      <c r="L776" s="45"/>
      <c r="M776" s="45"/>
      <c r="AM776" s="734"/>
    </row>
    <row r="777" spans="1:39" customFormat="1" ht="12.75">
      <c r="A777" s="512"/>
      <c r="F777" s="1"/>
      <c r="G777" s="1"/>
      <c r="H777" s="1"/>
      <c r="I777" s="1"/>
      <c r="L777" s="45"/>
      <c r="M777" s="45"/>
      <c r="AM777" s="734"/>
    </row>
    <row r="778" spans="1:39" customFormat="1" ht="12.75">
      <c r="A778" s="512"/>
      <c r="F778" s="1"/>
      <c r="G778" s="1"/>
      <c r="H778" s="1"/>
      <c r="I778" s="1"/>
      <c r="L778" s="45"/>
      <c r="M778" s="45"/>
      <c r="AM778" s="734"/>
    </row>
    <row r="779" spans="1:39" customFormat="1" ht="12.75">
      <c r="A779" s="512"/>
      <c r="F779" s="1"/>
      <c r="G779" s="1"/>
      <c r="H779" s="1"/>
      <c r="I779" s="1"/>
      <c r="L779" s="45"/>
      <c r="M779" s="45"/>
      <c r="AM779" s="734"/>
    </row>
    <row r="780" spans="1:39" customFormat="1" ht="12.75">
      <c r="A780" s="512"/>
      <c r="F780" s="1"/>
      <c r="G780" s="1"/>
      <c r="H780" s="1"/>
      <c r="I780" s="1"/>
      <c r="L780" s="45"/>
      <c r="M780" s="45"/>
      <c r="AM780" s="734"/>
    </row>
    <row r="781" spans="1:39" customFormat="1" ht="12.75">
      <c r="A781" s="512"/>
      <c r="F781" s="1"/>
      <c r="G781" s="1"/>
      <c r="H781" s="1"/>
      <c r="I781" s="1"/>
      <c r="L781" s="45"/>
      <c r="M781" s="45"/>
      <c r="AM781" s="734"/>
    </row>
    <row r="782" spans="1:39" customFormat="1" ht="12.75">
      <c r="A782" s="512"/>
      <c r="F782" s="1"/>
      <c r="G782" s="1"/>
      <c r="H782" s="1"/>
      <c r="I782" s="1"/>
      <c r="L782" s="45"/>
      <c r="M782" s="45"/>
      <c r="AM782" s="734"/>
    </row>
    <row r="783" spans="1:39" customFormat="1" ht="12.75">
      <c r="A783" s="512"/>
      <c r="F783" s="1"/>
      <c r="G783" s="1"/>
      <c r="H783" s="1"/>
      <c r="I783" s="1"/>
      <c r="L783" s="45"/>
      <c r="M783" s="45"/>
      <c r="AM783" s="734"/>
    </row>
    <row r="784" spans="1:39" customFormat="1" ht="12.75">
      <c r="A784" s="512"/>
      <c r="F784" s="1"/>
      <c r="G784" s="1"/>
      <c r="H784" s="1"/>
      <c r="I784" s="1"/>
      <c r="L784" s="45"/>
      <c r="M784" s="45"/>
      <c r="AM784" s="734"/>
    </row>
    <row r="785" spans="1:39" customFormat="1" ht="12.75">
      <c r="A785" s="512"/>
      <c r="F785" s="1"/>
      <c r="G785" s="1"/>
      <c r="H785" s="1"/>
      <c r="I785" s="1"/>
      <c r="L785" s="45"/>
      <c r="M785" s="45"/>
      <c r="AM785" s="734"/>
    </row>
    <row r="786" spans="1:39" customFormat="1" ht="12.75">
      <c r="A786" s="512"/>
      <c r="F786" s="1"/>
      <c r="G786" s="1"/>
      <c r="H786" s="1"/>
      <c r="I786" s="1"/>
      <c r="L786" s="45"/>
      <c r="M786" s="45"/>
      <c r="AM786" s="734"/>
    </row>
    <row r="787" spans="1:39" customFormat="1" ht="12.75">
      <c r="A787" s="512"/>
      <c r="F787" s="1"/>
      <c r="G787" s="1"/>
      <c r="H787" s="1"/>
      <c r="I787" s="1"/>
      <c r="L787" s="45"/>
      <c r="M787" s="45"/>
      <c r="AM787" s="734"/>
    </row>
    <row r="788" spans="1:39" customFormat="1" ht="12.75">
      <c r="A788" s="512"/>
      <c r="F788" s="1"/>
      <c r="G788" s="1"/>
      <c r="H788" s="1"/>
      <c r="I788" s="1"/>
      <c r="L788" s="45"/>
      <c r="M788" s="45"/>
      <c r="AM788" s="734"/>
    </row>
    <row r="789" spans="1:39" customFormat="1" ht="12.75">
      <c r="A789" s="512"/>
      <c r="F789" s="1"/>
      <c r="G789" s="1"/>
      <c r="H789" s="1"/>
      <c r="I789" s="1"/>
      <c r="L789" s="45"/>
      <c r="M789" s="45"/>
      <c r="AM789" s="734"/>
    </row>
    <row r="790" spans="1:39" customFormat="1" ht="12.75">
      <c r="A790" s="512"/>
      <c r="F790" s="1"/>
      <c r="G790" s="1"/>
      <c r="H790" s="1"/>
      <c r="I790" s="1"/>
      <c r="L790" s="45"/>
      <c r="M790" s="45"/>
      <c r="AM790" s="734"/>
    </row>
    <row r="791" spans="1:39" customFormat="1" ht="12.75">
      <c r="A791" s="512"/>
      <c r="F791" s="1"/>
      <c r="G791" s="1"/>
      <c r="H791" s="1"/>
      <c r="I791" s="1"/>
      <c r="L791" s="45"/>
      <c r="M791" s="45"/>
      <c r="AM791" s="734"/>
    </row>
    <row r="792" spans="1:39" customFormat="1" ht="12.75">
      <c r="A792" s="512"/>
      <c r="F792" s="1"/>
      <c r="G792" s="1"/>
      <c r="H792" s="1"/>
      <c r="I792" s="1"/>
      <c r="L792" s="45"/>
      <c r="M792" s="45"/>
      <c r="AM792" s="734"/>
    </row>
    <row r="793" spans="1:39" customFormat="1" ht="12.75">
      <c r="A793" s="512"/>
      <c r="F793" s="1"/>
      <c r="G793" s="1"/>
      <c r="H793" s="1"/>
      <c r="I793" s="1"/>
      <c r="L793" s="45"/>
      <c r="M793" s="45"/>
      <c r="AM793" s="734"/>
    </row>
    <row r="794" spans="1:39" customFormat="1" ht="12.75">
      <c r="A794" s="512"/>
      <c r="F794" s="1"/>
      <c r="G794" s="1"/>
      <c r="H794" s="1"/>
      <c r="I794" s="1"/>
      <c r="L794" s="45"/>
      <c r="M794" s="45"/>
      <c r="AM794" s="734"/>
    </row>
    <row r="795" spans="1:39" customFormat="1" ht="12.75">
      <c r="A795" s="512"/>
      <c r="F795" s="1"/>
      <c r="G795" s="1"/>
      <c r="H795" s="1"/>
      <c r="I795" s="1"/>
      <c r="L795" s="45"/>
      <c r="M795" s="45"/>
      <c r="AM795" s="734"/>
    </row>
    <row r="796" spans="1:39" customFormat="1" ht="12.75">
      <c r="A796" s="512"/>
      <c r="F796" s="1"/>
      <c r="G796" s="1"/>
      <c r="H796" s="1"/>
      <c r="I796" s="1"/>
      <c r="L796" s="45"/>
      <c r="M796" s="45"/>
      <c r="AM796" s="734"/>
    </row>
    <row r="797" spans="1:39" customFormat="1" ht="12.75">
      <c r="A797" s="512"/>
      <c r="F797" s="1"/>
      <c r="G797" s="1"/>
      <c r="H797" s="1"/>
      <c r="I797" s="1"/>
      <c r="L797" s="45"/>
      <c r="M797" s="45"/>
      <c r="AM797" s="734"/>
    </row>
    <row r="798" spans="1:39" customFormat="1" ht="12.75">
      <c r="A798" s="512"/>
      <c r="F798" s="1"/>
      <c r="G798" s="1"/>
      <c r="H798" s="1"/>
      <c r="I798" s="1"/>
      <c r="L798" s="45"/>
      <c r="M798" s="45"/>
      <c r="AM798" s="734"/>
    </row>
    <row r="799" spans="1:39" customFormat="1" ht="12.75">
      <c r="A799" s="512"/>
      <c r="F799" s="1"/>
      <c r="G799" s="1"/>
      <c r="H799" s="1"/>
      <c r="I799" s="1"/>
      <c r="L799" s="45"/>
      <c r="M799" s="45"/>
      <c r="AM799" s="734"/>
    </row>
    <row r="800" spans="1:39" customFormat="1" ht="12.75">
      <c r="A800" s="512"/>
      <c r="F800" s="1"/>
      <c r="G800" s="1"/>
      <c r="H800" s="1"/>
      <c r="I800" s="1"/>
      <c r="L800" s="45"/>
      <c r="M800" s="45"/>
      <c r="AM800" s="734"/>
    </row>
    <row r="801" spans="1:39" customFormat="1" ht="12.75">
      <c r="A801" s="512"/>
      <c r="F801" s="1"/>
      <c r="G801" s="1"/>
      <c r="H801" s="1"/>
      <c r="I801" s="1"/>
      <c r="L801" s="45"/>
      <c r="M801" s="45"/>
      <c r="AM801" s="734"/>
    </row>
    <row r="802" spans="1:39" customFormat="1" ht="12.75">
      <c r="A802" s="512"/>
      <c r="F802" s="1"/>
      <c r="G802" s="1"/>
      <c r="H802" s="1"/>
      <c r="I802" s="1"/>
      <c r="L802" s="45"/>
      <c r="M802" s="45"/>
      <c r="AM802" s="734"/>
    </row>
    <row r="803" spans="1:39" customFormat="1" ht="12.75">
      <c r="A803" s="512"/>
      <c r="F803" s="1"/>
      <c r="G803" s="1"/>
      <c r="H803" s="1"/>
      <c r="I803" s="1"/>
      <c r="L803" s="45"/>
      <c r="M803" s="45"/>
      <c r="AM803" s="734"/>
    </row>
    <row r="804" spans="1:39" customFormat="1" ht="12.75">
      <c r="A804" s="512"/>
      <c r="F804" s="1"/>
      <c r="G804" s="1"/>
      <c r="H804" s="1"/>
      <c r="I804" s="1"/>
      <c r="L804" s="45"/>
      <c r="M804" s="45"/>
      <c r="AM804" s="734"/>
    </row>
    <row r="805" spans="1:39" customFormat="1" ht="12.75">
      <c r="A805" s="512"/>
      <c r="F805" s="1"/>
      <c r="G805" s="1"/>
      <c r="H805" s="1"/>
      <c r="I805" s="1"/>
      <c r="L805" s="45"/>
      <c r="M805" s="45"/>
      <c r="AM805" s="734"/>
    </row>
    <row r="806" spans="1:39" customFormat="1" ht="12.75">
      <c r="A806" s="512"/>
      <c r="F806" s="1"/>
      <c r="G806" s="1"/>
      <c r="H806" s="1"/>
      <c r="I806" s="1"/>
      <c r="L806" s="45"/>
      <c r="M806" s="45"/>
      <c r="AM806" s="734"/>
    </row>
    <row r="807" spans="1:39" customFormat="1" ht="12.75">
      <c r="A807" s="512"/>
      <c r="F807" s="1"/>
      <c r="G807" s="1"/>
      <c r="H807" s="1"/>
      <c r="I807" s="1"/>
      <c r="L807" s="45"/>
      <c r="M807" s="45"/>
      <c r="AM807" s="734"/>
    </row>
    <row r="808" spans="1:39" customFormat="1" ht="12.75">
      <c r="A808" s="512"/>
      <c r="F808" s="1"/>
      <c r="G808" s="1"/>
      <c r="H808" s="1"/>
      <c r="I808" s="1"/>
      <c r="L808" s="45"/>
      <c r="M808" s="45"/>
      <c r="AM808" s="734"/>
    </row>
    <row r="809" spans="1:39" customFormat="1" ht="12.75">
      <c r="A809" s="512"/>
      <c r="F809" s="1"/>
      <c r="G809" s="1"/>
      <c r="H809" s="1"/>
      <c r="I809" s="1"/>
      <c r="L809" s="45"/>
      <c r="M809" s="45"/>
      <c r="AM809" s="734"/>
    </row>
    <row r="810" spans="1:39" customFormat="1" ht="12.75">
      <c r="A810" s="512"/>
      <c r="F810" s="1"/>
      <c r="G810" s="1"/>
      <c r="H810" s="1"/>
      <c r="I810" s="1"/>
      <c r="L810" s="45"/>
      <c r="M810" s="45"/>
      <c r="AM810" s="734"/>
    </row>
    <row r="811" spans="1:39" customFormat="1" ht="12.75">
      <c r="A811" s="512"/>
      <c r="F811" s="1"/>
      <c r="G811" s="1"/>
      <c r="H811" s="1"/>
      <c r="I811" s="1"/>
      <c r="L811" s="45"/>
      <c r="M811" s="45"/>
      <c r="AM811" s="734"/>
    </row>
    <row r="812" spans="1:39" customFormat="1" ht="12.75">
      <c r="A812" s="512"/>
      <c r="F812" s="1"/>
      <c r="G812" s="1"/>
      <c r="H812" s="1"/>
      <c r="I812" s="1"/>
      <c r="L812" s="45"/>
      <c r="M812" s="45"/>
      <c r="AM812" s="734"/>
    </row>
    <row r="813" spans="1:39" customFormat="1" ht="12.75">
      <c r="A813" s="512"/>
      <c r="F813" s="1"/>
      <c r="G813" s="1"/>
      <c r="H813" s="1"/>
      <c r="I813" s="1"/>
      <c r="L813" s="45"/>
      <c r="M813" s="45"/>
      <c r="AM813" s="734"/>
    </row>
    <row r="814" spans="1:39" customFormat="1" ht="12.75">
      <c r="A814" s="512"/>
      <c r="F814" s="1"/>
      <c r="G814" s="1"/>
      <c r="H814" s="1"/>
      <c r="I814" s="1"/>
      <c r="L814" s="45"/>
      <c r="M814" s="45"/>
      <c r="AM814" s="734"/>
    </row>
    <row r="815" spans="1:39" customFormat="1" ht="12.75">
      <c r="A815" s="512"/>
      <c r="F815" s="1"/>
      <c r="G815" s="1"/>
      <c r="H815" s="1"/>
      <c r="I815" s="1"/>
      <c r="L815" s="45"/>
      <c r="M815" s="45"/>
      <c r="AM815" s="734"/>
    </row>
    <row r="816" spans="1:39" customFormat="1" ht="12.75">
      <c r="A816" s="512"/>
      <c r="F816" s="1"/>
      <c r="G816" s="1"/>
      <c r="H816" s="1"/>
      <c r="I816" s="1"/>
      <c r="L816" s="45"/>
      <c r="M816" s="45"/>
      <c r="AM816" s="734"/>
    </row>
    <row r="817" spans="1:39" customFormat="1" ht="12.75">
      <c r="A817" s="512"/>
      <c r="F817" s="1"/>
      <c r="G817" s="1"/>
      <c r="H817" s="1"/>
      <c r="I817" s="1"/>
      <c r="L817" s="45"/>
      <c r="M817" s="45"/>
      <c r="AM817" s="734"/>
    </row>
    <row r="818" spans="1:39" customFormat="1" ht="12.75">
      <c r="A818" s="512"/>
      <c r="F818" s="1"/>
      <c r="G818" s="1"/>
      <c r="H818" s="1"/>
      <c r="I818" s="1"/>
      <c r="L818" s="45"/>
      <c r="M818" s="45"/>
      <c r="AM818" s="734"/>
    </row>
    <row r="819" spans="1:39" customFormat="1" ht="12.75">
      <c r="A819" s="512"/>
      <c r="F819" s="1"/>
      <c r="G819" s="1"/>
      <c r="H819" s="1"/>
      <c r="I819" s="1"/>
      <c r="L819" s="45"/>
      <c r="M819" s="45"/>
      <c r="AM819" s="734"/>
    </row>
    <row r="820" spans="1:39" customFormat="1" ht="12.75">
      <c r="A820" s="512"/>
      <c r="F820" s="1"/>
      <c r="G820" s="1"/>
      <c r="H820" s="1"/>
      <c r="I820" s="1"/>
      <c r="L820" s="45"/>
      <c r="M820" s="45"/>
      <c r="AM820" s="734"/>
    </row>
    <row r="821" spans="1:39" customFormat="1" ht="12.75">
      <c r="A821" s="512"/>
      <c r="F821" s="1"/>
      <c r="G821" s="1"/>
      <c r="H821" s="1"/>
      <c r="I821" s="1"/>
      <c r="L821" s="45"/>
      <c r="M821" s="45"/>
      <c r="AM821" s="734"/>
    </row>
    <row r="822" spans="1:39" customFormat="1" ht="12.75">
      <c r="A822" s="512"/>
      <c r="F822" s="1"/>
      <c r="G822" s="1"/>
      <c r="H822" s="1"/>
      <c r="I822" s="1"/>
      <c r="L822" s="45"/>
      <c r="M822" s="45"/>
      <c r="AM822" s="734"/>
    </row>
    <row r="823" spans="1:39" customFormat="1" ht="12.75">
      <c r="A823" s="512"/>
      <c r="F823" s="1"/>
      <c r="G823" s="1"/>
      <c r="H823" s="1"/>
      <c r="I823" s="1"/>
      <c r="L823" s="45"/>
      <c r="M823" s="45"/>
      <c r="AM823" s="734"/>
    </row>
    <row r="824" spans="1:39" customFormat="1" ht="12.75">
      <c r="A824" s="512"/>
      <c r="F824" s="1"/>
      <c r="G824" s="1"/>
      <c r="H824" s="1"/>
      <c r="I824" s="1"/>
      <c r="L824" s="45"/>
      <c r="M824" s="45"/>
      <c r="AM824" s="734"/>
    </row>
    <row r="825" spans="1:39" customFormat="1" ht="12.75">
      <c r="A825" s="512"/>
      <c r="F825" s="1"/>
      <c r="G825" s="1"/>
      <c r="H825" s="1"/>
      <c r="I825" s="1"/>
      <c r="L825" s="45"/>
      <c r="M825" s="45"/>
      <c r="AM825" s="734"/>
    </row>
    <row r="826" spans="1:39" customFormat="1" ht="12.75">
      <c r="A826" s="512"/>
      <c r="F826" s="1"/>
      <c r="G826" s="1"/>
      <c r="H826" s="1"/>
      <c r="I826" s="1"/>
      <c r="L826" s="45"/>
      <c r="M826" s="45"/>
      <c r="AM826" s="734"/>
    </row>
    <row r="827" spans="1:39" customFormat="1" ht="12.75">
      <c r="A827" s="512"/>
      <c r="F827" s="1"/>
      <c r="G827" s="1"/>
      <c r="H827" s="1"/>
      <c r="I827" s="1"/>
      <c r="L827" s="45"/>
      <c r="M827" s="45"/>
      <c r="AM827" s="734"/>
    </row>
    <row r="828" spans="1:39" customFormat="1" ht="12.75">
      <c r="A828" s="512"/>
      <c r="F828" s="1"/>
      <c r="G828" s="1"/>
      <c r="H828" s="1"/>
      <c r="I828" s="1"/>
      <c r="L828" s="45"/>
      <c r="M828" s="45"/>
      <c r="AM828" s="734"/>
    </row>
    <row r="829" spans="1:39" customFormat="1" ht="12.75">
      <c r="A829" s="512"/>
      <c r="F829" s="1"/>
      <c r="G829" s="1"/>
      <c r="H829" s="1"/>
      <c r="I829" s="1"/>
      <c r="L829" s="45"/>
      <c r="M829" s="45"/>
      <c r="AM829" s="734"/>
    </row>
    <row r="830" spans="1:39" customFormat="1" ht="12.75">
      <c r="A830" s="512"/>
      <c r="F830" s="1"/>
      <c r="G830" s="1"/>
      <c r="H830" s="1"/>
      <c r="I830" s="1"/>
      <c r="L830" s="45"/>
      <c r="M830" s="45"/>
      <c r="AM830" s="734"/>
    </row>
    <row r="831" spans="1:39" customFormat="1" ht="12.75">
      <c r="A831" s="512"/>
      <c r="F831" s="1"/>
      <c r="G831" s="1"/>
      <c r="H831" s="1"/>
      <c r="I831" s="1"/>
      <c r="L831" s="45"/>
      <c r="M831" s="45"/>
      <c r="AM831" s="734"/>
    </row>
    <row r="832" spans="1:39" customFormat="1" ht="12.75">
      <c r="A832" s="512"/>
      <c r="F832" s="1"/>
      <c r="G832" s="1"/>
      <c r="H832" s="1"/>
      <c r="I832" s="1"/>
      <c r="L832" s="45"/>
      <c r="M832" s="45"/>
      <c r="AM832" s="734"/>
    </row>
    <row r="833" spans="1:39" customFormat="1" ht="12.75">
      <c r="A833" s="512"/>
      <c r="F833" s="1"/>
      <c r="G833" s="1"/>
      <c r="H833" s="1"/>
      <c r="I833" s="1"/>
      <c r="L833" s="45"/>
      <c r="M833" s="45"/>
      <c r="AM833" s="734"/>
    </row>
    <row r="834" spans="1:39" customFormat="1" ht="12.75">
      <c r="A834" s="512"/>
      <c r="F834" s="1"/>
      <c r="G834" s="1"/>
      <c r="H834" s="1"/>
      <c r="I834" s="1"/>
      <c r="L834" s="45"/>
      <c r="M834" s="45"/>
      <c r="AM834" s="734"/>
    </row>
    <row r="835" spans="1:39" customFormat="1" ht="12.75">
      <c r="A835" s="512"/>
      <c r="F835" s="1"/>
      <c r="G835" s="1"/>
      <c r="H835" s="1"/>
      <c r="I835" s="1"/>
      <c r="L835" s="45"/>
      <c r="M835" s="45"/>
      <c r="AM835" s="734"/>
    </row>
    <row r="836" spans="1:39" customFormat="1" ht="12.75">
      <c r="A836" s="512"/>
      <c r="F836" s="1"/>
      <c r="G836" s="1"/>
      <c r="H836" s="1"/>
      <c r="I836" s="1"/>
      <c r="L836" s="45"/>
      <c r="M836" s="45"/>
      <c r="AM836" s="734"/>
    </row>
  </sheetData>
  <sheetProtection algorithmName="SHA-512" hashValue="mFOwCqfqAflkx4l6XN8rkud0a1LJKooI7cV+A87yCxNSnBSTuyZ1X1xXgLbNtUSdL+gubCFURatNpVZUGVOGJw==" saltValue="I4lr62YVBa0IqlO8tWiUxA==" spinCount="100000" sheet="1" objects="1" scenarios="1"/>
  <mergeCells count="85">
    <mergeCell ref="AC4:AH11"/>
    <mergeCell ref="J109:K109"/>
    <mergeCell ref="D104:H104"/>
    <mergeCell ref="D106:H106"/>
    <mergeCell ref="D108:H108"/>
    <mergeCell ref="D109:H109"/>
    <mergeCell ref="D107:G107"/>
    <mergeCell ref="J108:K108"/>
    <mergeCell ref="J106:K106"/>
    <mergeCell ref="D105:G105"/>
    <mergeCell ref="J104:K104"/>
    <mergeCell ref="G37:K38"/>
    <mergeCell ref="G34:K34"/>
    <mergeCell ref="D37:F37"/>
    <mergeCell ref="D35:F35"/>
    <mergeCell ref="U4:W11"/>
    <mergeCell ref="D21:F21"/>
    <mergeCell ref="C13:H13"/>
    <mergeCell ref="J13:K13"/>
    <mergeCell ref="D15:F15"/>
    <mergeCell ref="G15:K15"/>
    <mergeCell ref="B19:C19"/>
    <mergeCell ref="I16:K16"/>
    <mergeCell ref="C8:H8"/>
    <mergeCell ref="J8:K8"/>
    <mergeCell ref="I14:K14"/>
    <mergeCell ref="G14:H14"/>
    <mergeCell ref="C14:D14"/>
    <mergeCell ref="C12:F12"/>
    <mergeCell ref="J12:K12"/>
    <mergeCell ref="I42:K42"/>
    <mergeCell ref="B24:C25"/>
    <mergeCell ref="D25:F25"/>
    <mergeCell ref="G25:I25"/>
    <mergeCell ref="D33:F33"/>
    <mergeCell ref="D31:F32"/>
    <mergeCell ref="I40:K40"/>
    <mergeCell ref="G2:K2"/>
    <mergeCell ref="E3:F3"/>
    <mergeCell ref="G3:K3"/>
    <mergeCell ref="G4:K4"/>
    <mergeCell ref="C7:F7"/>
    <mergeCell ref="J7:K7"/>
    <mergeCell ref="B107:C107"/>
    <mergeCell ref="B108:C108"/>
    <mergeCell ref="B109:C109"/>
    <mergeCell ref="B71:C71"/>
    <mergeCell ref="B74:C74"/>
    <mergeCell ref="B106:C106"/>
    <mergeCell ref="B104:C104"/>
    <mergeCell ref="B88:C88"/>
    <mergeCell ref="B75:C75"/>
    <mergeCell ref="B80:C80"/>
    <mergeCell ref="B76:C76"/>
    <mergeCell ref="B78:C78"/>
    <mergeCell ref="B81:C81"/>
    <mergeCell ref="B86:C86"/>
    <mergeCell ref="B82:C82"/>
    <mergeCell ref="B84:D84"/>
    <mergeCell ref="I103:K103"/>
    <mergeCell ref="B91:C91"/>
    <mergeCell ref="D91:E91"/>
    <mergeCell ref="B55:K55"/>
    <mergeCell ref="B105:C105"/>
    <mergeCell ref="I98:K98"/>
    <mergeCell ref="I100:K100"/>
    <mergeCell ref="G94:H94"/>
    <mergeCell ref="I94:K94"/>
    <mergeCell ref="B94:F94"/>
    <mergeCell ref="B100:E100"/>
    <mergeCell ref="B98:D98"/>
    <mergeCell ref="J97:K97"/>
    <mergeCell ref="J95:K95"/>
    <mergeCell ref="J96:K96"/>
    <mergeCell ref="AZ99:BA99"/>
    <mergeCell ref="B51:C51"/>
    <mergeCell ref="I45:K45"/>
    <mergeCell ref="I44:K44"/>
    <mergeCell ref="I43:K43"/>
    <mergeCell ref="B49:C49"/>
    <mergeCell ref="B50:C50"/>
    <mergeCell ref="I47:K47"/>
    <mergeCell ref="I46:K46"/>
    <mergeCell ref="B87:C87"/>
    <mergeCell ref="E53:F53"/>
  </mergeCells>
  <conditionalFormatting sqref="J105">
    <cfRule type="expression" dxfId="107" priority="321" stopIfTrue="1">
      <formula>$B$105=""</formula>
    </cfRule>
  </conditionalFormatting>
  <conditionalFormatting sqref="I106">
    <cfRule type="expression" dxfId="106" priority="339" stopIfTrue="1">
      <formula>$B$106&lt;&gt;""</formula>
    </cfRule>
  </conditionalFormatting>
  <conditionalFormatting sqref="I107">
    <cfRule type="expression" dxfId="105" priority="340" stopIfTrue="1">
      <formula>$B$107&lt;&gt;""</formula>
    </cfRule>
  </conditionalFormatting>
  <conditionalFormatting sqref="I108">
    <cfRule type="expression" dxfId="104" priority="341" stopIfTrue="1">
      <formula>$B$108&lt;&gt;""</formula>
    </cfRule>
  </conditionalFormatting>
  <conditionalFormatting sqref="I109">
    <cfRule type="expression" dxfId="103" priority="342" stopIfTrue="1">
      <formula>OR($B$109&lt;&gt;"",$B$109=0)</formula>
    </cfRule>
  </conditionalFormatting>
  <conditionalFormatting sqref="I111">
    <cfRule type="expression" dxfId="102" priority="343" stopIfTrue="1">
      <formula>$B$111&lt;&gt;""</formula>
    </cfRule>
  </conditionalFormatting>
  <conditionalFormatting sqref="F74:F81">
    <cfRule type="expression" dxfId="101" priority="213">
      <formula>wohnen1</formula>
    </cfRule>
  </conditionalFormatting>
  <conditionalFormatting sqref="B86:C86">
    <cfRule type="expression" dxfId="100" priority="142">
      <formula>Zweckumbau=FALSE</formula>
    </cfRule>
  </conditionalFormatting>
  <conditionalFormatting sqref="I98">
    <cfRule type="cellIs" dxfId="99" priority="122" stopIfTrue="1" operator="equal">
      <formula>$N$13</formula>
    </cfRule>
    <cfRule type="cellIs" dxfId="98" priority="123" stopIfTrue="1" operator="equal">
      <formula>$N$15</formula>
    </cfRule>
  </conditionalFormatting>
  <conditionalFormatting sqref="I105">
    <cfRule type="expression" dxfId="97" priority="120" stopIfTrue="1">
      <formula>$B$105&lt;&gt;""</formula>
    </cfRule>
  </conditionalFormatting>
  <conditionalFormatting sqref="I104">
    <cfRule type="expression" dxfId="96" priority="119" stopIfTrue="1">
      <formula>$B$104&lt;&gt;""</formula>
    </cfRule>
  </conditionalFormatting>
  <conditionalFormatting sqref="K105">
    <cfRule type="expression" dxfId="95" priority="116">
      <formula>$B$105=""</formula>
    </cfRule>
  </conditionalFormatting>
  <conditionalFormatting sqref="K107">
    <cfRule type="cellIs" dxfId="94" priority="112" stopIfTrue="1" operator="equal">
      <formula>$Q$13</formula>
    </cfRule>
    <cfRule type="cellIs" dxfId="93" priority="113" stopIfTrue="1" operator="equal">
      <formula>$R$13</formula>
    </cfRule>
  </conditionalFormatting>
  <conditionalFormatting sqref="J106">
    <cfRule type="cellIs" dxfId="92" priority="104" stopIfTrue="1" operator="equal">
      <formula>$Q$13</formula>
    </cfRule>
    <cfRule type="cellIs" dxfId="91" priority="105" stopIfTrue="1" operator="equal">
      <formula>$R$13</formula>
    </cfRule>
  </conditionalFormatting>
  <conditionalFormatting sqref="I112">
    <cfRule type="expression" dxfId="90" priority="103" stopIfTrue="1">
      <formula>OR($B$112&lt;&gt;"",$B$112=0)</formula>
    </cfRule>
  </conditionalFormatting>
  <conditionalFormatting sqref="I110">
    <cfRule type="expression" dxfId="89" priority="102" stopIfTrue="1">
      <formula>$B$110&lt;&gt;""</formula>
    </cfRule>
  </conditionalFormatting>
  <conditionalFormatting sqref="J112">
    <cfRule type="cellIs" dxfId="88" priority="100" stopIfTrue="1" operator="equal">
      <formula>$Q$13</formula>
    </cfRule>
    <cfRule type="cellIs" dxfId="87" priority="101" stopIfTrue="1" operator="equal">
      <formula>$R$13</formula>
    </cfRule>
  </conditionalFormatting>
  <conditionalFormatting sqref="J110">
    <cfRule type="cellIs" dxfId="86" priority="89" stopIfTrue="1" operator="equal">
      <formula>$Q$13</formula>
    </cfRule>
    <cfRule type="cellIs" dxfId="85" priority="90" stopIfTrue="1" operator="equal">
      <formula>$R$13</formula>
    </cfRule>
  </conditionalFormatting>
  <conditionalFormatting sqref="I100">
    <cfRule type="cellIs" dxfId="84" priority="81" stopIfTrue="1" operator="equal">
      <formula>$N$13</formula>
    </cfRule>
    <cfRule type="cellIs" dxfId="83" priority="82" stopIfTrue="1" operator="equal">
      <formula>$N$15</formula>
    </cfRule>
  </conditionalFormatting>
  <conditionalFormatting sqref="B98 E98:K98">
    <cfRule type="expression" dxfId="82" priority="79">
      <formula>OR(minergie=TRUE,minergiep=TRUE,MUKEN=warh)</formula>
    </cfRule>
  </conditionalFormatting>
  <conditionalFormatting sqref="B99:K99">
    <cfRule type="expression" dxfId="81" priority="78" stopIfTrue="1">
      <formula>minergiea=FALSE</formula>
    </cfRule>
  </conditionalFormatting>
  <conditionalFormatting sqref="J91:K91 D91">
    <cfRule type="cellIs" dxfId="80" priority="77" operator="equal">
      <formula>$Q$13</formula>
    </cfRule>
  </conditionalFormatting>
  <conditionalFormatting sqref="C102:E102">
    <cfRule type="expression" dxfId="79" priority="75">
      <formula>minergiea=FALSE</formula>
    </cfRule>
  </conditionalFormatting>
  <conditionalFormatting sqref="D91">
    <cfRule type="cellIs" dxfId="78" priority="518" operator="equal">
      <formula>$R$13</formula>
    </cfRule>
  </conditionalFormatting>
  <conditionalFormatting sqref="F82">
    <cfRule type="expression" dxfId="77" priority="73">
      <formula>wohnen1</formula>
    </cfRule>
  </conditionalFormatting>
  <conditionalFormatting sqref="A100:K100">
    <cfRule type="expression" dxfId="76" priority="69">
      <formula>minergiea=FALSE</formula>
    </cfRule>
  </conditionalFormatting>
  <conditionalFormatting sqref="F86">
    <cfRule type="expression" dxfId="75" priority="571">
      <formula>$O$85</formula>
    </cfRule>
  </conditionalFormatting>
  <conditionalFormatting sqref="G86">
    <cfRule type="expression" dxfId="74" priority="572">
      <formula>$P$85</formula>
    </cfRule>
  </conditionalFormatting>
  <conditionalFormatting sqref="H86">
    <cfRule type="expression" dxfId="73" priority="573">
      <formula>$Q$85</formula>
    </cfRule>
  </conditionalFormatting>
  <conditionalFormatting sqref="I86">
    <cfRule type="expression" dxfId="72" priority="574">
      <formula>$R$85</formula>
    </cfRule>
  </conditionalFormatting>
  <conditionalFormatting sqref="F87:F88">
    <cfRule type="expression" dxfId="71" priority="575">
      <formula>$O$93</formula>
    </cfRule>
  </conditionalFormatting>
  <conditionalFormatting sqref="G87:G88">
    <cfRule type="expression" dxfId="70" priority="576">
      <formula>$P$93</formula>
    </cfRule>
  </conditionalFormatting>
  <conditionalFormatting sqref="H87:H88">
    <cfRule type="expression" dxfId="69" priority="577">
      <formula>$Q$93</formula>
    </cfRule>
  </conditionalFormatting>
  <conditionalFormatting sqref="I87:I88">
    <cfRule type="expression" dxfId="68" priority="578">
      <formula>$R$93</formula>
    </cfRule>
  </conditionalFormatting>
  <conditionalFormatting sqref="F89:F90">
    <cfRule type="expression" dxfId="67" priority="579">
      <formula>$O$86</formula>
    </cfRule>
    <cfRule type="expression" dxfId="66" priority="580" stopIfTrue="1">
      <formula>OR($O$83,$O$85,$O$87)</formula>
    </cfRule>
  </conditionalFormatting>
  <conditionalFormatting sqref="G89:G90">
    <cfRule type="expression" dxfId="65" priority="581">
      <formula>$P$86</formula>
    </cfRule>
    <cfRule type="expression" dxfId="64" priority="582" stopIfTrue="1">
      <formula>OR($P$83,$P$85,$P$87)</formula>
    </cfRule>
  </conditionalFormatting>
  <conditionalFormatting sqref="H89:H90">
    <cfRule type="expression" dxfId="63" priority="583">
      <formula>$Q$86</formula>
    </cfRule>
    <cfRule type="expression" dxfId="62" priority="584" stopIfTrue="1">
      <formula>OR($Q$83,$Q$85,$Q$87)</formula>
    </cfRule>
  </conditionalFormatting>
  <conditionalFormatting sqref="I89:I90">
    <cfRule type="expression" dxfId="61" priority="585">
      <formula>$R$86</formula>
    </cfRule>
    <cfRule type="expression" dxfId="60" priority="586" stopIfTrue="1">
      <formula>OR($R$83,$R$85,$R$87)</formula>
    </cfRule>
  </conditionalFormatting>
  <conditionalFormatting sqref="J104">
    <cfRule type="cellIs" dxfId="59" priority="49" stopIfTrue="1" operator="equal">
      <formula>$Q$13</formula>
    </cfRule>
    <cfRule type="cellIs" dxfId="58" priority="50" stopIfTrue="1" operator="equal">
      <formula>$R$13</formula>
    </cfRule>
  </conditionalFormatting>
  <conditionalFormatting sqref="I97:K97">
    <cfRule type="expression" dxfId="57" priority="48">
      <formula>OR($H$97=0,$H$97="")</formula>
    </cfRule>
  </conditionalFormatting>
  <conditionalFormatting sqref="J97">
    <cfRule type="expression" dxfId="56" priority="47">
      <formula>OR($H$97=0,$H$97="")</formula>
    </cfRule>
  </conditionalFormatting>
  <conditionalFormatting sqref="I13:K13">
    <cfRule type="expression" dxfId="55" priority="42">
      <formula>MUKEN=FALSE</formula>
    </cfRule>
  </conditionalFormatting>
  <conditionalFormatting sqref="F36">
    <cfRule type="expression" dxfId="54" priority="12">
      <formula>OR($D$31=$AN$25,$D$31=$AN$28)</formula>
    </cfRule>
  </conditionalFormatting>
  <conditionalFormatting sqref="F34">
    <cfRule type="expression" dxfId="53" priority="10">
      <formula>OR($D$31=$AN$25,$D$31=$AN$28,$D$31=$AN$27)</formula>
    </cfRule>
  </conditionalFormatting>
  <conditionalFormatting sqref="F26:F29">
    <cfRule type="expression" dxfId="52" priority="2">
      <formula>$F$20=$AT$22</formula>
    </cfRule>
    <cfRule type="expression" dxfId="51" priority="605">
      <formula>$F$20=$AT$21</formula>
    </cfRule>
  </conditionalFormatting>
  <conditionalFormatting sqref="D33">
    <cfRule type="expression" dxfId="50" priority="7">
      <formula>OR($AR$24=2,$AR$24=5)</formula>
    </cfRule>
  </conditionalFormatting>
  <conditionalFormatting sqref="F30">
    <cfRule type="expression" dxfId="49" priority="613">
      <formula>$F$20=$AT$22</formula>
    </cfRule>
  </conditionalFormatting>
  <conditionalFormatting sqref="I26:I29">
    <cfRule type="expression" dxfId="48" priority="614">
      <formula>$F$18&gt;=1</formula>
    </cfRule>
  </conditionalFormatting>
  <conditionalFormatting sqref="I40">
    <cfRule type="expression" dxfId="47" priority="615">
      <formula>$AP$59=FALSE</formula>
    </cfRule>
    <cfRule type="expression" dxfId="46" priority="616">
      <formula>$AP$59</formula>
    </cfRule>
  </conditionalFormatting>
  <conditionalFormatting sqref="I43">
    <cfRule type="expression" dxfId="45" priority="617">
      <formula>AND($C$43&gt;0,$C$41=$AK$43)</formula>
    </cfRule>
  </conditionalFormatting>
  <conditionalFormatting sqref="I44">
    <cfRule type="expression" dxfId="44" priority="618">
      <formula>AND($C$44&gt;0,$C$41=$AK$43)</formula>
    </cfRule>
  </conditionalFormatting>
  <conditionalFormatting sqref="I45">
    <cfRule type="expression" dxfId="43" priority="619">
      <formula>AND($C$45&gt;0,$C$41=$AK$43)</formula>
    </cfRule>
  </conditionalFormatting>
  <conditionalFormatting sqref="I46">
    <cfRule type="expression" dxfId="42" priority="620">
      <formula>AND($C$46&gt;0,$C$41=$AK$43)</formula>
    </cfRule>
  </conditionalFormatting>
  <conditionalFormatting sqref="I47">
    <cfRule type="expression" dxfId="41" priority="621">
      <formula>AND($C$47&gt;0,$C$41=$AK$43)</formula>
    </cfRule>
  </conditionalFormatting>
  <conditionalFormatting sqref="C43:C47">
    <cfRule type="expression" dxfId="40" priority="622">
      <formula>$C$41=$AK$43</formula>
    </cfRule>
  </conditionalFormatting>
  <conditionalFormatting sqref="C53">
    <cfRule type="expression" dxfId="39" priority="623">
      <formula>$C$41=$AK$44</formula>
    </cfRule>
  </conditionalFormatting>
  <conditionalFormatting sqref="K49:K51">
    <cfRule type="expression" dxfId="38" priority="1">
      <formula>$C$41=$AK$44</formula>
    </cfRule>
    <cfRule type="expression" dxfId="37" priority="624">
      <formula>$C$41=$AK$43</formula>
    </cfRule>
  </conditionalFormatting>
  <conditionalFormatting sqref="G26:I29">
    <cfRule type="expression" dxfId="36" priority="5">
      <formula>$F$18&gt;=1</formula>
    </cfRule>
  </conditionalFormatting>
  <dataValidations count="18">
    <dataValidation type="list" allowBlank="1" showInputMessage="1" showErrorMessage="1" sqref="I83" xr:uid="{00000000-0002-0000-0000-000000000000}">
      <formula1>Kleinanlagen4</formula1>
    </dataValidation>
    <dataValidation type="list" allowBlank="1" showInputMessage="1" showErrorMessage="1" sqref="H83" xr:uid="{00000000-0002-0000-0000-000001000000}">
      <formula1>Kleinanlagen3</formula1>
    </dataValidation>
    <dataValidation type="list" allowBlank="1" showInputMessage="1" showErrorMessage="1" sqref="G83" xr:uid="{00000000-0002-0000-0000-000002000000}">
      <formula1>Kleinanlagen2</formula1>
    </dataValidation>
    <dataValidation type="list" allowBlank="1" showInputMessage="1" showErrorMessage="1" sqref="F83" xr:uid="{00000000-0002-0000-0000-000003000000}">
      <formula1>Kleinanlagen1</formula1>
    </dataValidation>
    <dataValidation type="list" allowBlank="1" showInputMessage="1" showErrorMessage="1" sqref="S36" xr:uid="{00000000-0002-0000-0000-000004000000}">
      <formula1>#REF!</formula1>
    </dataValidation>
    <dataValidation type="list" allowBlank="1" showInputMessage="1" showErrorMessage="1" sqref="F86:I88 F74:F82 I104:I112" xr:uid="{00000000-0002-0000-0000-000005000000}">
      <formula1>$N$13:$N$15</formula1>
    </dataValidation>
    <dataValidation type="list" allowBlank="1" showInputMessage="1" showErrorMessage="1" sqref="K49:K51 I26:I29" xr:uid="{00000000-0002-0000-0000-000006000000}">
      <formula1>$AK$13:$AK$15</formula1>
    </dataValidation>
    <dataValidation type="list" allowBlank="1" showInputMessage="1" showErrorMessage="1" sqref="D31" xr:uid="{00000000-0002-0000-0000-000007000000}">
      <formula1>$AN$25:$AN$29</formula1>
    </dataValidation>
    <dataValidation type="list" allowBlank="1" showInputMessage="1" showErrorMessage="1" sqref="F26:F29" xr:uid="{00000000-0002-0000-0000-000008000000}">
      <formula1>$AK$13:$AK$16</formula1>
    </dataValidation>
    <dataValidation type="list" allowBlank="1" showInputMessage="1" showErrorMessage="1" sqref="D35" xr:uid="{00000000-0002-0000-0000-000009000000}">
      <formula1>$AT$25:$AT$26</formula1>
    </dataValidation>
    <dataValidation type="list" allowBlank="1" showInputMessage="1" showErrorMessage="1" sqref="F20" xr:uid="{00000000-0002-0000-0000-00000A000000}">
      <formula1>$AT$21:$AT$22</formula1>
    </dataValidation>
    <dataValidation type="list" allowBlank="1" showInputMessage="1" showErrorMessage="1" sqref="C41" xr:uid="{00000000-0002-0000-0000-00000B000000}">
      <formula1>$AK$43:$AK$44</formula1>
    </dataValidation>
    <dataValidation type="list" allowBlank="1" showInputMessage="1" showErrorMessage="1" sqref="F30" xr:uid="{00000000-0002-0000-0000-00000C000000}">
      <formula1>$AN$39:$AN$46</formula1>
    </dataValidation>
    <dataValidation type="list" allowBlank="1" showInputMessage="1" showErrorMessage="1" sqref="F19" xr:uid="{00000000-0002-0000-0000-00000D000000}">
      <formula1>$AK$31:$AK$32</formula1>
    </dataValidation>
    <dataValidation type="list" allowBlank="1" showInputMessage="1" showErrorMessage="1" sqref="D21:F21" xr:uid="{00000000-0002-0000-0000-00000E000000}">
      <formula1>IF($F$20=$AT$21,$AK$18:$AK$22,$AK$25:$AK$27)</formula1>
    </dataValidation>
    <dataValidation type="list" allowBlank="1" showInputMessage="1" showErrorMessage="1" sqref="D37:F37" xr:uid="{00000000-0002-0000-0000-00000F000000}">
      <formula1>$AQ$39:$AQ$40</formula1>
    </dataValidation>
    <dataValidation type="list" allowBlank="1" showInputMessage="1" showErrorMessage="1" sqref="C14:D14" xr:uid="{00000000-0002-0000-0000-000010000000}">
      <formula1>Kanton_1</formula1>
    </dataValidation>
    <dataValidation type="list" allowBlank="1" showInputMessage="1" showErrorMessage="1" sqref="I14:K14" xr:uid="{00000000-0002-0000-0000-000011000000}">
      <formula1>Klimastation</formula1>
    </dataValidation>
  </dataValidations>
  <pageMargins left="0.39370078740157483" right="0.31496062992125984" top="0.35433070866141736" bottom="0.23622047244094491" header="0.35433070866141736" footer="0.23622047244094491"/>
  <pageSetup paperSize="9" scale="90" fitToHeight="0" orientation="portrait" horizontalDpi="4294967295" verticalDpi="4294967295"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8" operator="containsText" id="{507BBE76-CD3F-49D7-98CF-11B8BC52A491}">
            <xm:f>NOT(ISERROR(SEARCH(Uebersetzung!$D$583,I53)))</xm:f>
            <xm:f>Uebersetzung!$D$583</xm:f>
            <x14:dxf>
              <fill>
                <patternFill>
                  <bgColor rgb="FFFF0000"/>
                </patternFill>
              </fill>
            </x14:dxf>
          </x14:cfRule>
          <x14:cfRule type="containsText" priority="39" operator="containsText" id="{957063C9-FE52-4739-B698-EACEA875628D}">
            <xm:f>NOT(ISERROR(SEARCH(Uebersetzung!$D$582,I53)))</xm:f>
            <xm:f>Uebersetzung!$D$582</xm:f>
            <x14:dxf>
              <fill>
                <patternFill>
                  <bgColor rgb="FF00B050"/>
                </patternFill>
              </fill>
            </x14:dxf>
          </x14:cfRule>
          <xm:sqref>I53:K53</xm:sqref>
        </x14:conditionalFormatting>
        <x14:conditionalFormatting xmlns:xm="http://schemas.microsoft.com/office/excel/2006/main">
          <x14:cfRule type="expression" priority="25" id="{C3952F33-9B23-43A0-851D-99A8C9A0A39C}">
            <xm:f>$I$16=Uebersetzung!$E$583</xm:f>
            <x14:dxf>
              <fill>
                <patternFill>
                  <bgColor rgb="FFFF0000"/>
                </patternFill>
              </fill>
            </x14:dxf>
          </x14:cfRule>
          <x14:cfRule type="expression" priority="26" id="{72AD0292-2B7C-4F59-823E-8E109EC1F3F4}">
            <xm:f>$I$16=Uebersetzung!$E$582</xm:f>
            <x14:dxf>
              <fill>
                <patternFill>
                  <bgColor rgb="FF92D050"/>
                </patternFill>
              </fill>
            </x14:dxf>
          </x14:cfRule>
          <xm:sqref>I16</xm:sqref>
        </x14:conditionalFormatting>
        <x14:conditionalFormatting xmlns:xm="http://schemas.microsoft.com/office/excel/2006/main">
          <x14:cfRule type="expression" priority="602" id="{414B6E86-01D0-443F-BE07-3B4027AE343E}">
            <xm:f>$B$55=Uebersetzung!D618</xm:f>
            <x14:dxf>
              <fill>
                <patternFill>
                  <bgColor rgb="FFFF0000"/>
                </patternFill>
              </fill>
            </x14:dxf>
          </x14:cfRule>
          <x14:cfRule type="expression" priority="603" id="{F81EA9FF-7194-4CA1-B28F-15DDC5526246}">
            <xm:f>$B$55=Uebersetzung!D617</xm:f>
            <x14:dxf>
              <font>
                <color auto="1"/>
              </font>
              <fill>
                <patternFill>
                  <bgColor rgb="FF92D050"/>
                </patternFill>
              </fill>
            </x14:dxf>
          </x14:cfRule>
          <xm:sqref>B55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6">
    <pageSetUpPr fitToPage="1"/>
  </sheetPr>
  <dimension ref="A1:AS116"/>
  <sheetViews>
    <sheetView topLeftCell="A7" zoomScaleNormal="100" zoomScaleSheetLayoutView="70" zoomScalePageLayoutView="70" workbookViewId="0">
      <selection activeCell="AY12" sqref="AY12"/>
    </sheetView>
  </sheetViews>
  <sheetFormatPr baseColWidth="10" defaultColWidth="11.5703125" defaultRowHeight="12.75"/>
  <cols>
    <col min="1" max="1" width="3.7109375" style="515" customWidth="1"/>
    <col min="2" max="2" width="12.7109375" style="17" customWidth="1"/>
    <col min="3" max="6" width="7.42578125" style="17" customWidth="1"/>
    <col min="7" max="7" width="9" style="17" customWidth="1"/>
    <col min="8" max="12" width="9.7109375" style="17" customWidth="1"/>
    <col min="13" max="13" width="4.7109375" style="17" customWidth="1"/>
    <col min="14" max="14" width="2.7109375" style="17" customWidth="1"/>
    <col min="15" max="42" width="11.5703125" style="17" hidden="1" customWidth="1"/>
    <col min="43" max="43" width="11.5703125" style="17" customWidth="1"/>
    <col min="44" max="16384" width="11.5703125" style="17"/>
  </cols>
  <sheetData>
    <row r="1" spans="1:41" ht="9" customHeight="1">
      <c r="B1" s="173"/>
      <c r="C1" s="174"/>
      <c r="D1" s="174"/>
      <c r="E1" s="174"/>
      <c r="F1" s="174"/>
      <c r="G1" s="174"/>
      <c r="H1" s="174"/>
      <c r="I1" s="174"/>
      <c r="J1" s="174"/>
      <c r="K1" s="174"/>
      <c r="L1" s="175"/>
      <c r="M1" s="176" t="str">
        <f>Uebersetzung!D645</f>
        <v>Formular Systemerneuerungen</v>
      </c>
      <c r="N1" s="174"/>
      <c r="O1" s="174"/>
      <c r="P1" s="174"/>
      <c r="Q1" s="174"/>
      <c r="R1" s="174"/>
    </row>
    <row r="2" spans="1:41" ht="21.6" customHeight="1">
      <c r="B2" s="717" t="str">
        <f>Uebersetzung!D320</f>
        <v>Sommerlicher Wärmeschutz im Minergie-Standard</v>
      </c>
      <c r="C2" s="174"/>
      <c r="D2" s="174"/>
      <c r="E2" s="174"/>
      <c r="F2" s="174"/>
      <c r="G2" s="174"/>
      <c r="H2" s="174"/>
      <c r="I2" s="174"/>
      <c r="J2" s="174"/>
      <c r="K2" s="174"/>
      <c r="L2" s="175"/>
      <c r="N2" s="178"/>
      <c r="O2" s="178"/>
      <c r="P2" s="178"/>
      <c r="Q2" s="178"/>
      <c r="R2" s="178"/>
    </row>
    <row r="3" spans="1:41" ht="15.75" hidden="1">
      <c r="B3" s="177"/>
      <c r="C3" s="174"/>
      <c r="D3" s="174"/>
      <c r="E3" s="174"/>
      <c r="F3" s="174"/>
      <c r="G3" s="174"/>
      <c r="H3" s="174"/>
      <c r="I3" s="174"/>
      <c r="J3" s="174"/>
      <c r="K3" s="174"/>
      <c r="L3" s="175"/>
      <c r="N3" s="178"/>
      <c r="O3" s="178"/>
      <c r="P3" s="178"/>
      <c r="Q3" s="178"/>
      <c r="R3" s="178"/>
    </row>
    <row r="4" spans="1:41" ht="18" customHeight="1">
      <c r="A4" s="515" t="s">
        <v>1156</v>
      </c>
      <c r="B4" s="1057" t="str">
        <f>IF(Projekt1="","",Projekt1)</f>
        <v/>
      </c>
      <c r="C4" s="1058"/>
      <c r="D4" s="1058"/>
      <c r="E4" s="1058"/>
      <c r="F4" s="1058"/>
      <c r="G4" s="1058"/>
      <c r="H4" s="1058"/>
      <c r="I4" s="1058"/>
      <c r="J4" s="1058"/>
      <c r="K4" s="1058"/>
      <c r="L4" s="1058"/>
      <c r="M4" s="1059"/>
      <c r="N4" s="178"/>
      <c r="O4" s="178"/>
      <c r="P4" s="178"/>
      <c r="Q4" s="178"/>
      <c r="R4" s="178"/>
    </row>
    <row r="5" spans="1:41" ht="15" hidden="1" customHeight="1">
      <c r="B5" s="1060"/>
      <c r="C5" s="1061"/>
      <c r="D5" s="1061"/>
      <c r="E5" s="1061"/>
      <c r="F5" s="1061"/>
      <c r="G5" s="1061"/>
      <c r="H5" s="1061"/>
      <c r="I5" s="1061"/>
      <c r="J5" s="1061"/>
      <c r="K5" s="1061"/>
      <c r="L5" s="1061"/>
      <c r="M5" s="1062"/>
      <c r="N5" s="178"/>
      <c r="O5" s="178"/>
      <c r="P5" s="178"/>
      <c r="Q5" s="178"/>
      <c r="R5" s="178"/>
    </row>
    <row r="6" spans="1:41" ht="18" customHeight="1">
      <c r="A6" s="515" t="s">
        <v>1827</v>
      </c>
      <c r="B6" s="1063" t="str">
        <f>IF(Projekt4="","",Projekt4)</f>
        <v/>
      </c>
      <c r="C6" s="1064"/>
      <c r="D6" s="1064"/>
      <c r="E6" s="1064"/>
      <c r="F6" s="1064"/>
      <c r="G6" s="1064"/>
      <c r="H6" s="1064"/>
      <c r="I6" s="1064"/>
      <c r="J6" s="1064"/>
      <c r="K6" s="1064"/>
      <c r="L6" s="1064"/>
      <c r="M6" s="1065"/>
      <c r="N6" s="174"/>
      <c r="O6" s="178"/>
      <c r="P6" s="174"/>
      <c r="Q6" s="174"/>
      <c r="R6" s="174"/>
      <c r="AG6" s="766" t="s">
        <v>344</v>
      </c>
      <c r="AH6" s="767" t="str">
        <f>IF('Hülle &amp; Elektrizität'!I14="","",VLOOKUP('Hülle &amp; Elektrizität'!I14,$AG$8:$AH$48,2,FALSE))</f>
        <v/>
      </c>
      <c r="AJ6" s="768"/>
      <c r="AK6" s="98"/>
      <c r="AL6" s="993" t="s">
        <v>2122</v>
      </c>
      <c r="AM6" s="996" t="s">
        <v>2123</v>
      </c>
      <c r="AN6" s="996" t="s">
        <v>2124</v>
      </c>
      <c r="AO6" s="999" t="s">
        <v>2125</v>
      </c>
    </row>
    <row r="7" spans="1:41" ht="6" customHeight="1">
      <c r="B7" s="684"/>
      <c r="C7" s="684"/>
      <c r="D7" s="684"/>
      <c r="E7" s="684"/>
      <c r="F7" s="684"/>
      <c r="G7" s="684"/>
      <c r="H7" s="684"/>
      <c r="I7" s="684"/>
      <c r="J7" s="684"/>
      <c r="K7" s="684"/>
      <c r="L7" s="684"/>
      <c r="M7" s="684"/>
      <c r="N7" s="174"/>
      <c r="O7" s="178"/>
      <c r="P7" s="174"/>
      <c r="Q7" s="174"/>
      <c r="R7" s="174"/>
      <c r="AG7" s="768" t="s">
        <v>109</v>
      </c>
      <c r="AH7" s="769"/>
      <c r="AJ7" s="770"/>
      <c r="AK7" s="1002" t="s">
        <v>2126</v>
      </c>
      <c r="AL7" s="994"/>
      <c r="AM7" s="997"/>
      <c r="AN7" s="997"/>
      <c r="AO7" s="1000"/>
    </row>
    <row r="8" spans="1:41" ht="45" customHeight="1">
      <c r="B8" s="985" t="str">
        <f>Uebersetzung!D321</f>
        <v>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v>
      </c>
      <c r="C8" s="985"/>
      <c r="D8" s="985"/>
      <c r="E8" s="985"/>
      <c r="F8" s="985"/>
      <c r="G8" s="985"/>
      <c r="H8" s="985"/>
      <c r="I8" s="985"/>
      <c r="J8" s="985"/>
      <c r="K8" s="985"/>
      <c r="L8" s="985"/>
      <c r="M8" s="985"/>
      <c r="N8" s="179"/>
      <c r="O8" s="179"/>
      <c r="P8" s="179"/>
      <c r="Q8" s="179"/>
      <c r="R8" s="174"/>
      <c r="AG8" s="770" t="s">
        <v>2128</v>
      </c>
      <c r="AH8" s="771" t="s">
        <v>1978</v>
      </c>
      <c r="AJ8" s="770"/>
      <c r="AK8" s="1002"/>
      <c r="AL8" s="994"/>
      <c r="AM8" s="997"/>
      <c r="AN8" s="997"/>
      <c r="AO8" s="1000"/>
    </row>
    <row r="9" spans="1:41" ht="15" hidden="1" customHeight="1">
      <c r="B9" s="685"/>
      <c r="C9" s="685"/>
      <c r="D9" s="685"/>
      <c r="E9" s="685"/>
      <c r="F9" s="685"/>
      <c r="G9" s="685"/>
      <c r="H9" s="685"/>
      <c r="I9" s="685"/>
      <c r="J9" s="685"/>
      <c r="K9" s="685"/>
      <c r="L9" s="685"/>
      <c r="M9" s="685"/>
      <c r="N9" s="179"/>
      <c r="O9" s="179"/>
      <c r="P9" s="179"/>
      <c r="Q9" s="179"/>
      <c r="R9" s="174"/>
      <c r="AG9" s="770" t="s">
        <v>2129</v>
      </c>
      <c r="AH9" s="771" t="s">
        <v>1977</v>
      </c>
      <c r="AJ9" s="770"/>
      <c r="AK9" s="1002"/>
      <c r="AL9" s="994"/>
      <c r="AM9" s="997"/>
      <c r="AN9" s="997"/>
      <c r="AO9" s="1000"/>
    </row>
    <row r="10" spans="1:41" ht="18" customHeight="1">
      <c r="B10" s="707" t="str">
        <f>Uebersetzung!D620</f>
        <v>Sommerlicher Wärmeschutz</v>
      </c>
      <c r="C10" s="718"/>
      <c r="D10" s="718"/>
      <c r="E10" s="718"/>
      <c r="F10" s="718"/>
      <c r="G10" s="718"/>
      <c r="H10" s="718"/>
      <c r="I10" s="718"/>
      <c r="J10" s="718"/>
      <c r="K10" s="931" t="str">
        <f>IF(Q29,Uebersetzung!D582,Uebersetzung!D583)</f>
        <v>Nicht erfüllt</v>
      </c>
      <c r="L10" s="932"/>
      <c r="M10" s="933"/>
      <c r="O10" s="603" t="str">
        <f>Uebersetzung!D585</f>
        <v>Variante 1</v>
      </c>
      <c r="P10" s="604" t="str">
        <f>Uebersetzung!D586</f>
        <v>Globalbeurteilung von Standardfällen für die Nutzungen Wohnen, Einzelbüro, Gruppenbüro, Sitzungszimmer und Lager (ohne Kühlung)</v>
      </c>
      <c r="Q10" s="598" t="s">
        <v>109</v>
      </c>
      <c r="R10" s="603" t="str">
        <f>Uebersetzung!D25</f>
        <v>Ja</v>
      </c>
      <c r="S10" s="600" t="str">
        <f>Uebersetzung!D350</f>
        <v>Rollläden</v>
      </c>
      <c r="T10" s="598"/>
      <c r="U10" s="596"/>
      <c r="AG10" s="770" t="s">
        <v>2130</v>
      </c>
      <c r="AH10" s="771" t="s">
        <v>1977</v>
      </c>
      <c r="AJ10" s="772"/>
      <c r="AK10" s="1003"/>
      <c r="AL10" s="995"/>
      <c r="AM10" s="998"/>
      <c r="AN10" s="998"/>
      <c r="AO10" s="1001"/>
    </row>
    <row r="11" spans="1:41" ht="24.95" customHeight="1">
      <c r="B11" s="757" t="str">
        <f>Uebersetzung!D660</f>
        <v>Variante 1</v>
      </c>
      <c r="C11" s="1067" t="str">
        <f>IF(B11&lt;&gt;" ",VLOOKUP(B11,O10:P12,2,0)," ")</f>
        <v>Globalbeurteilung von Standardfällen für die Nutzungen Wohnen, Einzelbüro, Gruppenbüro, Sitzungszimmer und Lager (ohne Kühlung)</v>
      </c>
      <c r="D11" s="1068"/>
      <c r="E11" s="1068"/>
      <c r="F11" s="1068"/>
      <c r="G11" s="1068"/>
      <c r="H11" s="1068"/>
      <c r="I11" s="1068"/>
      <c r="J11" s="1068"/>
      <c r="K11" s="1068"/>
      <c r="L11" s="1068"/>
      <c r="M11" s="1069"/>
      <c r="O11" s="605" t="str">
        <f>Uebersetzung!D587</f>
        <v>Variante 2</v>
      </c>
      <c r="P11" s="606" t="str">
        <f>Uebersetzung!D588</f>
        <v>Externer Nachweis der Kriterien gemäss SIA382/1 (ohne Kühlung)</v>
      </c>
      <c r="Q11" s="598" t="s">
        <v>109</v>
      </c>
      <c r="R11" s="605" t="str">
        <f>Uebersetzung!D26</f>
        <v>Nein</v>
      </c>
      <c r="S11" s="601" t="str">
        <f>Uebersetzung!D351</f>
        <v>Rafflamellen</v>
      </c>
      <c r="T11" s="598"/>
      <c r="U11" s="596"/>
      <c r="AG11" s="770" t="s">
        <v>2131</v>
      </c>
      <c r="AH11" s="771" t="s">
        <v>1977</v>
      </c>
      <c r="AJ11" s="990" t="s">
        <v>2127</v>
      </c>
      <c r="AK11" s="98" t="str">
        <f>""</f>
        <v/>
      </c>
      <c r="AL11" s="768" t="str">
        <f>""</f>
        <v/>
      </c>
      <c r="AM11" s="98" t="str">
        <f>""</f>
        <v/>
      </c>
      <c r="AN11" s="98" t="str">
        <f>""</f>
        <v/>
      </c>
      <c r="AO11" s="773" t="str">
        <f>""</f>
        <v/>
      </c>
    </row>
    <row r="12" spans="1:41" s="614" customFormat="1" ht="15" customHeight="1">
      <c r="A12" s="515"/>
      <c r="B12" s="719" t="str">
        <f>Uebersetzung!D323</f>
        <v>Die Globalbeurteilung gilt für Zonen in denen in allen Räumen folgende Bedingungen eingehalten sind:</v>
      </c>
      <c r="C12" s="720"/>
      <c r="D12" s="720"/>
      <c r="E12" s="720"/>
      <c r="F12" s="720"/>
      <c r="G12" s="720"/>
      <c r="H12" s="720"/>
      <c r="I12" s="720"/>
      <c r="J12" s="720"/>
      <c r="K12" s="720"/>
      <c r="L12" s="720"/>
      <c r="M12" s="721"/>
      <c r="O12" s="615" t="str">
        <f>Uebersetzung!D589</f>
        <v>Variante 3</v>
      </c>
      <c r="P12" s="616" t="str">
        <f>Uebersetzung!D590</f>
        <v>Externer Nachweis der Kriterien gemäss SIA382/1 (mit Kühlung)</v>
      </c>
      <c r="Q12" s="617" t="s">
        <v>109</v>
      </c>
      <c r="R12" s="615" t="str">
        <f>Uebersetzung!D27</f>
        <v>n.a.</v>
      </c>
      <c r="S12" s="618" t="str">
        <f>Uebersetzung!D352</f>
        <v>Modul Minergie</v>
      </c>
      <c r="T12" s="617"/>
      <c r="U12" s="619"/>
      <c r="AG12" s="770" t="s">
        <v>2132</v>
      </c>
      <c r="AH12" s="771" t="s">
        <v>1977</v>
      </c>
      <c r="AJ12" s="991"/>
      <c r="AK12" s="774" t="s">
        <v>1975</v>
      </c>
      <c r="AL12" s="775">
        <v>0.17</v>
      </c>
      <c r="AM12" s="776">
        <v>0.11</v>
      </c>
      <c r="AN12" s="776">
        <v>0.22</v>
      </c>
      <c r="AO12" s="777">
        <v>0.13</v>
      </c>
    </row>
    <row r="13" spans="1:41" ht="15" customHeight="1">
      <c r="B13" s="984" t="str">
        <f>Uebersetzung!D671</f>
        <v>- Keine Oblichter</v>
      </c>
      <c r="C13" s="985"/>
      <c r="D13" s="985"/>
      <c r="E13" s="985"/>
      <c r="F13" s="985"/>
      <c r="G13" s="985"/>
      <c r="H13" s="985"/>
      <c r="I13" s="985"/>
      <c r="J13" s="985"/>
      <c r="K13" s="985"/>
      <c r="L13" s="985"/>
      <c r="M13" s="986"/>
      <c r="O13" s="598"/>
      <c r="P13" s="598"/>
      <c r="Q13" s="598"/>
      <c r="R13" s="598"/>
      <c r="S13" s="607" t="str">
        <f>Uebersetzung!D353</f>
        <v>andere</v>
      </c>
      <c r="T13" s="598">
        <f>IF(L19=S13,1,0)</f>
        <v>0</v>
      </c>
      <c r="U13" s="596"/>
      <c r="AG13" s="770" t="s">
        <v>2133</v>
      </c>
      <c r="AH13" s="771" t="s">
        <v>1977</v>
      </c>
      <c r="AJ13" s="991"/>
      <c r="AK13" s="774" t="s">
        <v>1976</v>
      </c>
      <c r="AL13" s="775">
        <v>0.19</v>
      </c>
      <c r="AM13" s="776">
        <v>0.14000000000000001</v>
      </c>
      <c r="AN13" s="776">
        <v>0.24</v>
      </c>
      <c r="AO13" s="777">
        <v>0.17</v>
      </c>
    </row>
    <row r="14" spans="1:41" ht="15" customHeight="1">
      <c r="B14" s="984" t="str">
        <f>Uebersetzung!D672</f>
        <v>- Aussen liegender beweglicher Sonnenschutz mit Rolläden oder Rafflamellenstoren (g-Wert-total max 0.1)</v>
      </c>
      <c r="C14" s="985"/>
      <c r="D14" s="985"/>
      <c r="E14" s="985"/>
      <c r="F14" s="985"/>
      <c r="G14" s="985"/>
      <c r="H14" s="985"/>
      <c r="I14" s="985"/>
      <c r="J14" s="985"/>
      <c r="K14" s="985"/>
      <c r="L14" s="985"/>
      <c r="M14" s="986"/>
      <c r="O14" s="598"/>
      <c r="P14" s="598"/>
      <c r="Q14" s="598"/>
      <c r="R14" s="598"/>
      <c r="S14" s="598"/>
      <c r="T14" s="598"/>
      <c r="U14" s="596"/>
      <c r="AG14" s="770" t="s">
        <v>2134</v>
      </c>
      <c r="AH14" s="771" t="s">
        <v>1977</v>
      </c>
      <c r="AJ14" s="991"/>
      <c r="AK14" s="774" t="s">
        <v>1977</v>
      </c>
      <c r="AL14" s="775">
        <v>0.24</v>
      </c>
      <c r="AM14" s="776">
        <v>0.18</v>
      </c>
      <c r="AN14" s="776">
        <v>0.3</v>
      </c>
      <c r="AO14" s="777">
        <v>0.23</v>
      </c>
    </row>
    <row r="15" spans="1:41" ht="15" customHeight="1">
      <c r="B15" s="984" t="str">
        <f>Uebersetzung!D673</f>
        <v>- Eine Nachtauskühlung mit Fensterlüftung ist möglich (Hinweis: Der Einbruchschutz wird im Rahmen der Minergie-Zertifizierung generell nicht gefrüft).</v>
      </c>
      <c r="C15" s="985"/>
      <c r="D15" s="985"/>
      <c r="E15" s="985"/>
      <c r="F15" s="985"/>
      <c r="G15" s="985"/>
      <c r="H15" s="985"/>
      <c r="I15" s="985"/>
      <c r="J15" s="985"/>
      <c r="K15" s="985"/>
      <c r="L15" s="985"/>
      <c r="M15" s="986"/>
      <c r="O15" s="598"/>
      <c r="P15" s="598"/>
      <c r="Q15" s="598"/>
      <c r="R15" s="598"/>
      <c r="S15" s="598"/>
      <c r="T15" s="598"/>
      <c r="AG15" s="770" t="s">
        <v>2135</v>
      </c>
      <c r="AH15" s="771" t="s">
        <v>1979</v>
      </c>
      <c r="AJ15" s="991"/>
      <c r="AK15" s="774" t="s">
        <v>1978</v>
      </c>
      <c r="AL15" s="775">
        <v>0.36</v>
      </c>
      <c r="AM15" s="776">
        <v>0.3</v>
      </c>
      <c r="AN15" s="776">
        <v>0.44</v>
      </c>
      <c r="AO15" s="777">
        <v>0.4</v>
      </c>
    </row>
    <row r="16" spans="1:41" ht="15" customHeight="1">
      <c r="B16" s="984" t="str">
        <f>Uebersetzung!D674</f>
        <v>- Interne Wärmelasten nicht höher als die Standardwerte im Merkblatt SIA 2024</v>
      </c>
      <c r="C16" s="985"/>
      <c r="D16" s="985"/>
      <c r="E16" s="985"/>
      <c r="F16" s="985"/>
      <c r="G16" s="985"/>
      <c r="H16" s="985"/>
      <c r="I16" s="985"/>
      <c r="J16" s="985"/>
      <c r="K16" s="985"/>
      <c r="L16" s="985"/>
      <c r="M16" s="986"/>
      <c r="O16" s="598"/>
      <c r="P16" s="598"/>
      <c r="Q16" s="598"/>
      <c r="R16" s="598"/>
      <c r="S16" s="598"/>
      <c r="T16" s="598"/>
      <c r="AG16" s="770"/>
      <c r="AH16" s="771"/>
      <c r="AJ16" s="991"/>
      <c r="AK16" s="774"/>
      <c r="AL16" s="775"/>
      <c r="AM16" s="776"/>
      <c r="AN16" s="776"/>
      <c r="AO16" s="777"/>
    </row>
    <row r="17" spans="1:45" ht="15" customHeight="1">
      <c r="B17" s="987" t="str">
        <f>Uebersetzung!D675</f>
        <v>- Windfestigkeit des aussenliegenden beweglichen Sonnenschutzes mindestens Windwiderstandsklasse 5</v>
      </c>
      <c r="C17" s="988"/>
      <c r="D17" s="988"/>
      <c r="E17" s="988"/>
      <c r="F17" s="988"/>
      <c r="G17" s="988"/>
      <c r="H17" s="988"/>
      <c r="I17" s="988"/>
      <c r="J17" s="988"/>
      <c r="K17" s="988"/>
      <c r="L17" s="988"/>
      <c r="M17" s="989"/>
      <c r="O17" s="598"/>
      <c r="P17" s="598"/>
      <c r="Q17" s="598"/>
      <c r="R17" s="598"/>
      <c r="S17" s="598"/>
      <c r="T17" s="598"/>
      <c r="AG17" s="770" t="s">
        <v>2136</v>
      </c>
      <c r="AH17" s="771" t="s">
        <v>1978</v>
      </c>
      <c r="AJ17" s="992"/>
      <c r="AK17" s="778" t="s">
        <v>1979</v>
      </c>
      <c r="AL17" s="775">
        <v>0.4</v>
      </c>
      <c r="AM17" s="776">
        <v>0.34</v>
      </c>
      <c r="AN17" s="776">
        <v>0.46</v>
      </c>
      <c r="AO17" s="777">
        <v>0.44</v>
      </c>
    </row>
    <row r="18" spans="1:45" ht="18" customHeight="1">
      <c r="B18" s="722" t="str">
        <f>Uebersetzung!D328</f>
        <v>Erfüllen die Räume in der Zone die Kriterien?</v>
      </c>
      <c r="C18" s="27"/>
      <c r="D18" s="27"/>
      <c r="E18" s="27"/>
      <c r="F18" s="27"/>
      <c r="G18" s="27"/>
      <c r="H18" s="27"/>
      <c r="I18" s="27"/>
      <c r="J18" s="27"/>
      <c r="K18" s="27"/>
      <c r="L18" s="79"/>
      <c r="M18" s="79"/>
      <c r="O18" s="598"/>
      <c r="P18" s="598"/>
      <c r="Q18" s="598"/>
      <c r="R18" s="598"/>
      <c r="S18" s="598"/>
      <c r="T18" s="598"/>
      <c r="AG18" s="770" t="s">
        <v>2137</v>
      </c>
      <c r="AH18" s="771" t="s">
        <v>1978</v>
      </c>
      <c r="AJ18" s="766" t="s">
        <v>101</v>
      </c>
      <c r="AK18" s="161" t="str">
        <f>AH6</f>
        <v/>
      </c>
      <c r="AL18" s="160" t="str">
        <f>VLOOKUP($AK$18,$AK$11:$AO$17,2,FALSE)</f>
        <v/>
      </c>
      <c r="AM18" s="161" t="str">
        <f>VLOOKUP($AK$18,$AK$11:$AO$17,3,FALSE)</f>
        <v/>
      </c>
      <c r="AN18" s="161" t="str">
        <f>VLOOKUP($AK$18,$AK$11:$AO$17,4,FALSE)</f>
        <v/>
      </c>
      <c r="AO18" s="779" t="str">
        <f>VLOOKUP($AK$18,$AK$11:$AO$17,5,FALSE)</f>
        <v/>
      </c>
    </row>
    <row r="19" spans="1:45" ht="18" customHeight="1">
      <c r="A19" s="597" t="s">
        <v>1828</v>
      </c>
      <c r="B19" s="1070" t="str">
        <f>Uebersetzung!D329</f>
        <v>Aussenliegender beweglicher Sonnenschutz. Bei "andere" hier deklarieren:</v>
      </c>
      <c r="C19" s="1071"/>
      <c r="D19" s="1071"/>
      <c r="E19" s="1071"/>
      <c r="F19" s="1071"/>
      <c r="G19" s="1071"/>
      <c r="H19" s="1071"/>
      <c r="I19" s="1071"/>
      <c r="J19" s="347"/>
      <c r="K19" s="347"/>
      <c r="L19" s="1072"/>
      <c r="M19" s="1073"/>
      <c r="N19" s="598"/>
      <c r="O19" s="598"/>
      <c r="P19" s="598"/>
      <c r="Q19" s="598"/>
      <c r="R19" s="598"/>
      <c r="S19" s="598"/>
      <c r="T19" s="598"/>
      <c r="AG19" s="770" t="s">
        <v>150</v>
      </c>
      <c r="AH19" s="771" t="s">
        <v>1976</v>
      </c>
      <c r="AS19" s="836"/>
    </row>
    <row r="20" spans="1:45" ht="24" customHeight="1">
      <c r="A20" s="597" t="s">
        <v>2099</v>
      </c>
      <c r="B20" s="1101"/>
      <c r="C20" s="1102"/>
      <c r="D20" s="1102"/>
      <c r="E20" s="1102"/>
      <c r="F20" s="1102"/>
      <c r="G20" s="1102"/>
      <c r="H20" s="1102"/>
      <c r="I20" s="1102"/>
      <c r="J20" s="1102"/>
      <c r="K20" s="1102"/>
      <c r="L20" s="687"/>
      <c r="M20" s="688"/>
      <c r="N20" s="598"/>
      <c r="O20" s="599" t="s">
        <v>2014</v>
      </c>
      <c r="P20" s="608" t="s">
        <v>2015</v>
      </c>
      <c r="Q20" s="598"/>
      <c r="R20" s="598"/>
      <c r="S20" s="598"/>
      <c r="T20" s="598"/>
      <c r="AG20" s="770" t="s">
        <v>152</v>
      </c>
      <c r="AH20" s="771" t="s">
        <v>1977</v>
      </c>
    </row>
    <row r="21" spans="1:45" s="614" customFormat="1" ht="18" customHeight="1">
      <c r="A21" s="597" t="s">
        <v>1829</v>
      </c>
      <c r="B21" s="1077" t="str">
        <f>Uebersetzung!D663</f>
        <v>Wohnen (EFH, MFH), Räume mit bis zu 2 Fassaden, Betondecke (&gt;80% frei)</v>
      </c>
      <c r="C21" s="1078"/>
      <c r="D21" s="1078"/>
      <c r="E21" s="1078"/>
      <c r="F21" s="1078"/>
      <c r="G21" s="1078"/>
      <c r="H21" s="1078"/>
      <c r="I21" s="1078"/>
      <c r="J21" s="1078"/>
      <c r="K21" s="1079"/>
      <c r="L21" s="1115"/>
      <c r="M21" s="1116"/>
      <c r="N21" s="617"/>
      <c r="O21" s="620" t="b">
        <f t="shared" ref="O21:O27" si="0">L21&lt;&gt;$R$12</f>
        <v>1</v>
      </c>
      <c r="P21" s="617" t="b">
        <f t="shared" ref="P21:P27" si="1">IF(L21=$R$10,TRUE,FALSE)</f>
        <v>0</v>
      </c>
      <c r="Q21" s="617" t="b">
        <f>IF(OR(L21=$R$10,L21=$R$12),TRUE,FALSE)</f>
        <v>0</v>
      </c>
      <c r="R21" s="617"/>
      <c r="S21" s="617"/>
      <c r="T21" s="617"/>
      <c r="AG21" s="770" t="s">
        <v>2138</v>
      </c>
      <c r="AH21" s="771" t="s">
        <v>1979</v>
      </c>
    </row>
    <row r="22" spans="1:45" s="614" customFormat="1" ht="18" customHeight="1">
      <c r="A22" s="597"/>
      <c r="B22" s="1013" t="str">
        <f>Uebersetzung!D664</f>
        <v>- Maximale Glasflächenzahl:</v>
      </c>
      <c r="C22" s="1014"/>
      <c r="D22" s="1014"/>
      <c r="E22" s="1014"/>
      <c r="F22" s="1014"/>
      <c r="G22" s="1014"/>
      <c r="H22" s="1014"/>
      <c r="I22" s="1014"/>
      <c r="J22" s="1014"/>
      <c r="K22" s="764" t="str">
        <f>AL18</f>
        <v/>
      </c>
      <c r="L22" s="1006"/>
      <c r="M22" s="1007"/>
      <c r="N22" s="617"/>
      <c r="O22" s="618"/>
      <c r="P22" s="617"/>
      <c r="Q22" s="617"/>
      <c r="R22" s="617"/>
      <c r="S22" s="617"/>
      <c r="T22" s="617"/>
      <c r="AG22" s="770" t="s">
        <v>2139</v>
      </c>
      <c r="AH22" s="771" t="s">
        <v>1977</v>
      </c>
    </row>
    <row r="23" spans="1:45" s="614" customFormat="1" ht="24.95" customHeight="1">
      <c r="A23" s="597" t="s">
        <v>1173</v>
      </c>
      <c r="B23" s="1074" t="str">
        <f>Uebersetzung!D665</f>
        <v>Wohnen (EFH, MFH), Räume mit bis zu 2 Fassaden, Holzdecke und Zementunterlagsboden mit min. 6 cm oder Anhydrit min. 5 cm Stärke</v>
      </c>
      <c r="C23" s="1075"/>
      <c r="D23" s="1075"/>
      <c r="E23" s="1075"/>
      <c r="F23" s="1075"/>
      <c r="G23" s="1075"/>
      <c r="H23" s="1075"/>
      <c r="I23" s="1075"/>
      <c r="J23" s="1075"/>
      <c r="K23" s="1076"/>
      <c r="L23" s="1004"/>
      <c r="M23" s="1005"/>
      <c r="N23" s="617"/>
      <c r="O23" s="618" t="b">
        <f t="shared" si="0"/>
        <v>1</v>
      </c>
      <c r="P23" s="617" t="b">
        <f t="shared" si="1"/>
        <v>0</v>
      </c>
      <c r="Q23" s="617" t="b">
        <f t="shared" ref="Q23:Q27" si="2">IF(OR(L23=$R$10,L23=$R$12),TRUE,FALSE)</f>
        <v>0</v>
      </c>
      <c r="R23" s="617"/>
      <c r="S23" s="617"/>
      <c r="T23" s="617"/>
      <c r="AG23" s="770" t="s">
        <v>2140</v>
      </c>
      <c r="AH23" s="771" t="s">
        <v>1977</v>
      </c>
    </row>
    <row r="24" spans="1:45" s="614" customFormat="1" ht="18" customHeight="1">
      <c r="A24" s="597"/>
      <c r="B24" s="1013" t="str">
        <f>Uebersetzung!D664</f>
        <v>- Maximale Glasflächenzahl:</v>
      </c>
      <c r="C24" s="1014"/>
      <c r="D24" s="1014"/>
      <c r="E24" s="1014"/>
      <c r="F24" s="1014"/>
      <c r="G24" s="1014"/>
      <c r="H24" s="1014"/>
      <c r="I24" s="1014"/>
      <c r="J24" s="1014"/>
      <c r="K24" s="764" t="str">
        <f>AM18</f>
        <v/>
      </c>
      <c r="L24" s="1006"/>
      <c r="M24" s="1007"/>
      <c r="N24" s="617"/>
      <c r="O24" s="618"/>
      <c r="P24" s="617"/>
      <c r="Q24" s="617"/>
      <c r="R24" s="617"/>
      <c r="S24" s="617"/>
      <c r="T24" s="617"/>
      <c r="AG24" s="770" t="s">
        <v>2141</v>
      </c>
      <c r="AH24" s="771" t="s">
        <v>1978</v>
      </c>
    </row>
    <row r="25" spans="1:45" ht="24.95" customHeight="1">
      <c r="A25" s="597" t="s">
        <v>1175</v>
      </c>
      <c r="B25" s="1074" t="str">
        <f>Uebersetzung!D666</f>
        <v>Wohnen (EFH, MFH), Räume mit 1 Fassade, Betondecke (&gt;80% frei) SSE-SSW-Orientierung und Verschattung durch Balkon mit 1 Meter Tiefe</v>
      </c>
      <c r="C25" s="1075"/>
      <c r="D25" s="1075"/>
      <c r="E25" s="1075"/>
      <c r="F25" s="1075"/>
      <c r="G25" s="1075"/>
      <c r="H25" s="1075"/>
      <c r="I25" s="1075"/>
      <c r="J25" s="1075"/>
      <c r="K25" s="1076"/>
      <c r="L25" s="1004"/>
      <c r="M25" s="1005"/>
      <c r="N25" s="598"/>
      <c r="O25" s="601" t="b">
        <f t="shared" si="0"/>
        <v>1</v>
      </c>
      <c r="P25" s="598" t="b">
        <f t="shared" si="1"/>
        <v>0</v>
      </c>
      <c r="Q25" s="617" t="b">
        <f t="shared" si="2"/>
        <v>0</v>
      </c>
      <c r="R25" s="598"/>
      <c r="S25" s="598"/>
      <c r="T25" s="598"/>
      <c r="AG25" s="770" t="s">
        <v>2142</v>
      </c>
      <c r="AH25" s="771" t="s">
        <v>1978</v>
      </c>
    </row>
    <row r="26" spans="1:45" s="763" customFormat="1" ht="18" customHeight="1">
      <c r="A26" s="597"/>
      <c r="B26" s="1013" t="str">
        <f>Uebersetzung!D664</f>
        <v>- Maximale Glasflächenzahl:</v>
      </c>
      <c r="C26" s="1014"/>
      <c r="D26" s="1014"/>
      <c r="E26" s="1014"/>
      <c r="F26" s="1014"/>
      <c r="G26" s="1014"/>
      <c r="H26" s="1014"/>
      <c r="I26" s="1014"/>
      <c r="J26" s="1014"/>
      <c r="K26" s="764" t="str">
        <f>AN18</f>
        <v/>
      </c>
      <c r="L26" s="1006"/>
      <c r="M26" s="1007"/>
      <c r="N26" s="761"/>
      <c r="O26" s="762"/>
      <c r="P26" s="761"/>
      <c r="Q26" s="617"/>
      <c r="R26" s="761"/>
      <c r="S26" s="761"/>
      <c r="T26" s="761"/>
      <c r="AG26" s="770" t="s">
        <v>2143</v>
      </c>
      <c r="AH26" s="771" t="s">
        <v>1975</v>
      </c>
    </row>
    <row r="27" spans="1:45" ht="24.95" customHeight="1">
      <c r="A27" s="597" t="s">
        <v>1177</v>
      </c>
      <c r="B27" s="1074" t="str">
        <f>Uebersetzung!D667</f>
        <v>Einzelbüro, Gruppenbüro, Räume mit bis zu 2 Fassaden, Betondecke (&gt; 40% frei) und automat. Steuerung des Sonnenschutzes. G-Wert Glas ≤ 30%</v>
      </c>
      <c r="C27" s="1075"/>
      <c r="D27" s="1075"/>
      <c r="E27" s="1075"/>
      <c r="F27" s="1075"/>
      <c r="G27" s="1075"/>
      <c r="H27" s="1075"/>
      <c r="I27" s="1075"/>
      <c r="J27" s="1075"/>
      <c r="K27" s="1076"/>
      <c r="L27" s="1008"/>
      <c r="M27" s="1005"/>
      <c r="N27" s="598"/>
      <c r="O27" s="601" t="b">
        <f t="shared" si="0"/>
        <v>1</v>
      </c>
      <c r="P27" s="598" t="b">
        <f t="shared" si="1"/>
        <v>0</v>
      </c>
      <c r="Q27" s="617" t="b">
        <f t="shared" si="2"/>
        <v>0</v>
      </c>
      <c r="R27" s="598" t="b">
        <f>IF(AND(L21=R12,L23=R12,L25=R12,L27=R12),FALSE,TRUE)</f>
        <v>1</v>
      </c>
      <c r="S27" s="598"/>
      <c r="T27" s="598"/>
      <c r="AG27" s="770" t="s">
        <v>2144</v>
      </c>
      <c r="AH27" s="771" t="s">
        <v>1975</v>
      </c>
    </row>
    <row r="28" spans="1:45" ht="18" customHeight="1">
      <c r="A28" s="597"/>
      <c r="B28" s="1011" t="str">
        <f>Uebersetzung!D664</f>
        <v>- Maximale Glasflächenzahl:</v>
      </c>
      <c r="C28" s="1012"/>
      <c r="D28" s="1012"/>
      <c r="E28" s="1012"/>
      <c r="F28" s="1012"/>
      <c r="G28" s="1012"/>
      <c r="H28" s="1012"/>
      <c r="I28" s="1012"/>
      <c r="J28" s="1012"/>
      <c r="K28" s="765" t="str">
        <f>AO18</f>
        <v/>
      </c>
      <c r="L28" s="1009"/>
      <c r="M28" s="1010"/>
      <c r="N28" s="598"/>
      <c r="O28" s="601"/>
      <c r="P28" s="598"/>
      <c r="Q28" s="617"/>
      <c r="R28" s="598"/>
      <c r="S28" s="598"/>
      <c r="T28" s="598"/>
      <c r="AG28" s="770" t="s">
        <v>148</v>
      </c>
      <c r="AH28" s="771" t="s">
        <v>1977</v>
      </c>
    </row>
    <row r="29" spans="1:45" ht="10.9" hidden="1" customHeight="1">
      <c r="A29" s="597"/>
      <c r="B29" s="686"/>
      <c r="C29" s="686"/>
      <c r="D29" s="686"/>
      <c r="E29" s="686"/>
      <c r="F29" s="686"/>
      <c r="G29" s="686"/>
      <c r="H29" s="686"/>
      <c r="I29" s="686"/>
      <c r="J29" s="686"/>
      <c r="K29" s="686"/>
      <c r="L29" s="686"/>
      <c r="M29" s="686"/>
      <c r="N29" s="598"/>
      <c r="O29" s="602" t="b">
        <f>OR(O21:O27)</f>
        <v>1</v>
      </c>
      <c r="P29" s="602" t="b">
        <f>OR(P21:P27)</f>
        <v>0</v>
      </c>
      <c r="Q29" s="598" t="b">
        <f>OR(AND(Q21,Q23,Q25,Q27,R27),IF(U33=1,T38,O38))</f>
        <v>0</v>
      </c>
      <c r="AG29" s="770" t="s">
        <v>2145</v>
      </c>
      <c r="AH29" s="771" t="s">
        <v>1975</v>
      </c>
    </row>
    <row r="30" spans="1:45" ht="38.1" customHeight="1">
      <c r="A30" s="597"/>
      <c r="B30" s="1103" t="str">
        <f>Uebersetzung!D338</f>
        <v>"n.a.":    Nicht vorhanden. Ein solcher Raumtyp existiert nicht.
"ja":       Ein solcher Raumtyp ist vorhanden und alle Kriterien sind erfüllt.
"nein":   Ein solcher Raumtyp ist vorhanden, aber die Kriterien sind nicht erfüllt (z.B. zu hoher Glasanteil)</v>
      </c>
      <c r="C30" s="1104"/>
      <c r="D30" s="1104"/>
      <c r="E30" s="1104"/>
      <c r="F30" s="1104"/>
      <c r="G30" s="1104"/>
      <c r="H30" s="1104"/>
      <c r="I30" s="1104"/>
      <c r="J30" s="1104"/>
      <c r="K30" s="1104"/>
      <c r="L30" s="1104"/>
      <c r="M30" s="1105"/>
      <c r="N30" s="598"/>
      <c r="O30" s="598"/>
      <c r="P30" s="598"/>
      <c r="Q30" s="598"/>
      <c r="AG30" s="770" t="s">
        <v>2146</v>
      </c>
      <c r="AH30" s="771" t="s">
        <v>1978</v>
      </c>
    </row>
    <row r="31" spans="1:45" ht="38.1" hidden="1" customHeight="1">
      <c r="A31" s="597"/>
      <c r="B31" s="751"/>
      <c r="C31" s="751"/>
      <c r="D31" s="751"/>
      <c r="E31" s="751"/>
      <c r="F31" s="751"/>
      <c r="G31" s="751"/>
      <c r="H31" s="751"/>
      <c r="I31" s="751"/>
      <c r="J31" s="751"/>
      <c r="K31" s="751"/>
      <c r="L31" s="751"/>
      <c r="M31" s="751"/>
      <c r="N31" s="598"/>
      <c r="O31" s="598"/>
      <c r="P31" s="598"/>
      <c r="Q31" s="598"/>
      <c r="AG31" s="770" t="s">
        <v>151</v>
      </c>
      <c r="AH31" s="771" t="s">
        <v>1976</v>
      </c>
    </row>
    <row r="32" spans="1:45" ht="38.1" hidden="1" customHeight="1">
      <c r="B32" s="233"/>
      <c r="C32" s="179"/>
      <c r="D32" s="179"/>
      <c r="E32" s="179"/>
      <c r="F32" s="179"/>
      <c r="G32" s="179"/>
      <c r="H32" s="179"/>
      <c r="I32" s="179"/>
      <c r="J32" s="179"/>
      <c r="K32" s="179"/>
      <c r="L32" s="179"/>
      <c r="M32" s="179"/>
      <c r="N32" s="515"/>
      <c r="O32" s="753" t="str">
        <f>Uebersetzung!D25</f>
        <v>Ja</v>
      </c>
      <c r="P32" s="179"/>
      <c r="Q32" s="179"/>
      <c r="R32" s="179"/>
      <c r="S32" s="174"/>
      <c r="AG32" s="770" t="s">
        <v>2147</v>
      </c>
      <c r="AH32" s="771" t="s">
        <v>1977</v>
      </c>
    </row>
    <row r="33" spans="1:34" ht="10.9" customHeight="1">
      <c r="B33" s="259"/>
      <c r="C33" s="179"/>
      <c r="D33" s="179"/>
      <c r="E33" s="179"/>
      <c r="F33" s="179"/>
      <c r="G33" s="179"/>
      <c r="H33" s="179"/>
      <c r="I33" s="833" t="str">
        <f>IF(AND(OR(AND(O36=TRUE,O37=FALSE),AND(P36=TRUE,P37=FALSE),AND(Q36=TRUE,Q37=FALSE),AND(R36=TRUE,R37=FALSE)),U33=1),Uebersetzung!D659,"")</f>
        <v/>
      </c>
      <c r="J33" s="179"/>
      <c r="K33" s="179"/>
      <c r="L33" s="179"/>
      <c r="M33" s="179"/>
      <c r="N33" s="515"/>
      <c r="O33" s="190" t="str">
        <f>Uebersetzung!D26</f>
        <v>Nein</v>
      </c>
      <c r="P33" s="179"/>
      <c r="Q33" s="179"/>
      <c r="R33" s="179"/>
      <c r="S33" s="174"/>
      <c r="T33" s="754" t="s">
        <v>2113</v>
      </c>
      <c r="U33" s="755">
        <v>1</v>
      </c>
      <c r="V33" s="754" t="s">
        <v>2114</v>
      </c>
      <c r="W33" s="754"/>
      <c r="AG33" s="770" t="s">
        <v>2148</v>
      </c>
      <c r="AH33" s="771" t="s">
        <v>1978</v>
      </c>
    </row>
    <row r="34" spans="1:34" ht="24.95" customHeight="1">
      <c r="B34" s="832" t="str">
        <f>Uebersetzung!D661</f>
        <v>Variante 2</v>
      </c>
      <c r="C34" s="1051" t="str">
        <f>Uebersetzung!D662</f>
        <v>Externer Nachweis der Kriterien gemäss SIA382/1 und SIA 180 (ohne Kühlung)</v>
      </c>
      <c r="D34" s="1052"/>
      <c r="E34" s="1052"/>
      <c r="F34" s="1052"/>
      <c r="G34" s="1052"/>
      <c r="H34" s="1052"/>
      <c r="I34" s="1052"/>
      <c r="J34" s="1052"/>
      <c r="K34" s="1052"/>
      <c r="L34" s="1052"/>
      <c r="M34" s="1111"/>
      <c r="N34" s="515"/>
      <c r="O34" s="760">
        <v>1</v>
      </c>
      <c r="P34" s="759"/>
      <c r="Q34" s="759"/>
      <c r="R34" s="759"/>
      <c r="S34" s="756"/>
      <c r="T34" s="760">
        <v>1</v>
      </c>
      <c r="U34" s="759"/>
      <c r="V34" s="759"/>
      <c r="W34" s="759"/>
      <c r="AG34" s="770" t="s">
        <v>2149</v>
      </c>
      <c r="AH34" s="771" t="s">
        <v>1976</v>
      </c>
    </row>
    <row r="35" spans="1:34" ht="18" customHeight="1">
      <c r="B35" s="1112" t="str">
        <f>Uebersetzung!D342</f>
        <v>Die Erfüllung dieser Kriterien wird in Beilagen beschrieben und dokumentiert.</v>
      </c>
      <c r="C35" s="1113"/>
      <c r="D35" s="1113"/>
      <c r="E35" s="1113"/>
      <c r="F35" s="1113"/>
      <c r="G35" s="1113"/>
      <c r="H35" s="1113"/>
      <c r="I35" s="1113"/>
      <c r="J35" s="1113"/>
      <c r="K35" s="1113"/>
      <c r="L35" s="1113"/>
      <c r="M35" s="1114"/>
      <c r="N35" s="515"/>
      <c r="O35" s="760"/>
      <c r="P35" s="759"/>
      <c r="Q35" s="759"/>
      <c r="R35" s="759"/>
      <c r="S35" s="756"/>
      <c r="T35" s="760"/>
      <c r="U35" s="759"/>
      <c r="V35" s="759"/>
      <c r="W35" s="759"/>
      <c r="AG35" s="770" t="s">
        <v>2150</v>
      </c>
      <c r="AH35" s="771" t="s">
        <v>1978</v>
      </c>
    </row>
    <row r="36" spans="1:34" ht="33.950000000000003" customHeight="1">
      <c r="A36" s="515" t="s">
        <v>1831</v>
      </c>
      <c r="B36" s="1022" t="str">
        <f>Uebersetzung!D670</f>
        <v>Anforderungen an den baulichen sommerlichen Wärmeschutz gemäss Nachweis Sommerlicher Wärmeschutz Variante 2 erfüllt?</v>
      </c>
      <c r="C36" s="1023"/>
      <c r="D36" s="1023"/>
      <c r="E36" s="1023"/>
      <c r="F36" s="1023"/>
      <c r="G36" s="1023"/>
      <c r="H36" s="1023"/>
      <c r="I36" s="1023"/>
      <c r="J36" s="1023"/>
      <c r="K36" s="1024"/>
      <c r="L36" s="1034"/>
      <c r="M36" s="1035"/>
      <c r="N36" s="515"/>
      <c r="O36" s="753" t="b">
        <f>L36=$O$32</f>
        <v>0</v>
      </c>
      <c r="P36" s="217"/>
      <c r="Q36" s="217"/>
      <c r="R36" s="217"/>
      <c r="S36" s="174"/>
      <c r="T36" s="753" t="b">
        <f>L36=$O$32</f>
        <v>0</v>
      </c>
      <c r="U36" s="217"/>
      <c r="V36" s="217"/>
      <c r="W36" s="217"/>
      <c r="AG36" s="770" t="s">
        <v>2151</v>
      </c>
      <c r="AH36" s="771" t="s">
        <v>1977</v>
      </c>
    </row>
    <row r="37" spans="1:34" ht="33.950000000000003" customHeight="1">
      <c r="A37" s="515" t="s">
        <v>2100</v>
      </c>
      <c r="B37" s="1025" t="str">
        <f>Uebersetzung!D658</f>
        <v>Anforderungen an Komfortkriterien gemäss Nachweis Sommerlicher Wärmeschutz erfüllt?</v>
      </c>
      <c r="C37" s="1026"/>
      <c r="D37" s="1026"/>
      <c r="E37" s="1026"/>
      <c r="F37" s="1026"/>
      <c r="G37" s="1026"/>
      <c r="H37" s="1026"/>
      <c r="I37" s="1026"/>
      <c r="J37" s="1026"/>
      <c r="K37" s="1027"/>
      <c r="L37" s="1036"/>
      <c r="M37" s="1037"/>
      <c r="N37" s="515"/>
      <c r="O37" s="190" t="b">
        <f>L37=$O$32</f>
        <v>0</v>
      </c>
      <c r="P37" s="217"/>
      <c r="Q37" s="217"/>
      <c r="R37" s="217"/>
      <c r="S37" s="174"/>
      <c r="T37" s="190" t="b">
        <f>L37=$O$32</f>
        <v>0</v>
      </c>
      <c r="U37" s="217"/>
      <c r="V37" s="217"/>
      <c r="W37" s="217"/>
      <c r="AG37" s="770" t="s">
        <v>2152</v>
      </c>
      <c r="AH37" s="771" t="s">
        <v>1979</v>
      </c>
    </row>
    <row r="38" spans="1:34" ht="15.95" customHeight="1">
      <c r="B38" s="837" t="str">
        <f>Uebersetzung!D345</f>
        <v>Bemerkungen zum externen Nachweis (Art, Beilage, z.B. Hilfskriterien gemäss Anwendungshilfe):</v>
      </c>
      <c r="C38" s="248"/>
      <c r="D38" s="248"/>
      <c r="E38" s="248"/>
      <c r="F38" s="248"/>
      <c r="G38" s="248"/>
      <c r="H38" s="248"/>
      <c r="I38" s="217"/>
      <c r="J38" s="217"/>
      <c r="K38" s="217"/>
      <c r="L38" s="217"/>
      <c r="M38" s="758"/>
      <c r="N38" s="515"/>
      <c r="O38" s="257" t="b">
        <f>AND(O36,O37)</f>
        <v>0</v>
      </c>
      <c r="P38" s="217"/>
      <c r="Q38" s="217"/>
      <c r="R38" s="217"/>
      <c r="S38" s="174"/>
      <c r="T38" s="257" t="b">
        <f>OR(AND(T36:T37),T36)</f>
        <v>0</v>
      </c>
      <c r="U38" s="217"/>
      <c r="V38" s="217"/>
      <c r="W38" s="217"/>
      <c r="AG38" s="770" t="s">
        <v>2153</v>
      </c>
      <c r="AH38" s="771" t="s">
        <v>1979</v>
      </c>
    </row>
    <row r="39" spans="1:34" ht="24" customHeight="1">
      <c r="A39" s="515" t="s">
        <v>2101</v>
      </c>
      <c r="B39" s="1108"/>
      <c r="C39" s="1109"/>
      <c r="D39" s="1109"/>
      <c r="E39" s="1109"/>
      <c r="F39" s="1109"/>
      <c r="G39" s="1109"/>
      <c r="H39" s="1109"/>
      <c r="I39" s="1109"/>
      <c r="J39" s="1109"/>
      <c r="K39" s="1109"/>
      <c r="L39" s="1109"/>
      <c r="M39" s="1110"/>
      <c r="N39" s="515"/>
      <c r="O39" s="217"/>
      <c r="P39" s="217"/>
      <c r="Q39" s="217"/>
      <c r="R39" s="217"/>
      <c r="S39" s="174"/>
      <c r="T39" s="217"/>
      <c r="U39" s="217"/>
      <c r="V39" s="217"/>
      <c r="W39" s="217"/>
      <c r="AG39" s="770" t="s">
        <v>146</v>
      </c>
      <c r="AH39" s="771" t="s">
        <v>1977</v>
      </c>
    </row>
    <row r="40" spans="1:34" ht="13.15" hidden="1" customHeight="1">
      <c r="B40" s="752"/>
      <c r="C40" s="752"/>
      <c r="D40" s="752"/>
      <c r="E40" s="752"/>
      <c r="F40" s="752"/>
      <c r="G40" s="752"/>
      <c r="H40" s="752"/>
      <c r="I40" s="829"/>
      <c r="J40" s="829"/>
      <c r="K40" s="829"/>
      <c r="L40" s="829"/>
      <c r="M40" s="242"/>
      <c r="N40" s="515"/>
      <c r="O40" s="217"/>
      <c r="P40" s="217"/>
      <c r="Q40" s="217"/>
      <c r="R40" s="217"/>
      <c r="S40" s="174"/>
      <c r="T40" s="217"/>
      <c r="U40" s="217"/>
      <c r="V40" s="217"/>
      <c r="W40" s="217"/>
      <c r="AG40" s="770" t="s">
        <v>145</v>
      </c>
      <c r="AH40" s="771" t="s">
        <v>1977</v>
      </c>
    </row>
    <row r="41" spans="1:34" ht="13.15" customHeight="1">
      <c r="B41" s="830"/>
      <c r="C41" s="830"/>
      <c r="D41" s="830"/>
      <c r="E41" s="830"/>
      <c r="F41" s="830"/>
      <c r="G41" s="830"/>
      <c r="H41" s="830"/>
      <c r="I41" s="831"/>
      <c r="J41" s="831"/>
      <c r="K41" s="831"/>
      <c r="L41" s="831"/>
      <c r="M41" s="246"/>
      <c r="N41" s="515"/>
      <c r="O41" s="217"/>
      <c r="P41" s="217"/>
      <c r="Q41" s="217"/>
      <c r="R41" s="217"/>
      <c r="S41" s="174"/>
      <c r="T41" s="217"/>
      <c r="U41" s="217"/>
      <c r="V41" s="217"/>
      <c r="W41" s="217"/>
      <c r="AG41" s="770" t="s">
        <v>2154</v>
      </c>
      <c r="AH41" s="771" t="s">
        <v>1979</v>
      </c>
    </row>
    <row r="42" spans="1:34" ht="18" customHeight="1">
      <c r="A42" s="609"/>
      <c r="B42" s="707" t="str">
        <f>Uebersetzung!D591</f>
        <v>Beilagen zu Zertifikat Antrag</v>
      </c>
      <c r="C42" s="86"/>
      <c r="D42" s="86"/>
      <c r="E42" s="718"/>
      <c r="F42" s="345" t="str">
        <f>Uebersetzung!D592</f>
        <v>(sämtl. Beilagen sind einzureichen)</v>
      </c>
      <c r="G42" s="86"/>
      <c r="H42" s="86"/>
      <c r="I42" s="86"/>
      <c r="J42" s="671"/>
      <c r="K42" s="671"/>
      <c r="L42" s="689"/>
      <c r="M42" s="690"/>
      <c r="N42" s="598"/>
      <c r="O42" s="598"/>
      <c r="P42" s="598" t="s">
        <v>2061</v>
      </c>
      <c r="Q42" s="598"/>
      <c r="AG42" s="770" t="s">
        <v>2155</v>
      </c>
      <c r="AH42" s="771" t="s">
        <v>1976</v>
      </c>
    </row>
    <row r="43" spans="1:34" ht="18" customHeight="1">
      <c r="A43" s="609" t="s">
        <v>2416</v>
      </c>
      <c r="B43" s="701" t="str">
        <f>IF('Hülle &amp; Elektrizität'!F20='Hülle &amp; Elektrizität'!AT21,Uebersetzung!D593," ")</f>
        <v xml:space="preserve"> </v>
      </c>
      <c r="C43" s="343"/>
      <c r="D43" s="343"/>
      <c r="E43" s="343"/>
      <c r="F43" s="343"/>
      <c r="G43" s="343"/>
      <c r="H43" s="343"/>
      <c r="I43" s="343"/>
      <c r="J43" s="343"/>
      <c r="K43" s="723"/>
      <c r="L43" s="1072"/>
      <c r="M43" s="1073"/>
      <c r="N43" s="598"/>
      <c r="O43" s="598"/>
      <c r="P43" s="598" t="b">
        <f>IF(OR(L43=$R$10,'Hülle &amp; Elektrizität'!$F$20&lt;&gt;'Hülle &amp; Elektrizität'!$AT$21),TRUE,FALSE)</f>
        <v>1</v>
      </c>
      <c r="Q43" s="598"/>
      <c r="AG43" s="770" t="s">
        <v>2156</v>
      </c>
      <c r="AH43" s="771" t="s">
        <v>1979</v>
      </c>
    </row>
    <row r="44" spans="1:34" ht="18" customHeight="1">
      <c r="A44" s="609" t="s">
        <v>1832</v>
      </c>
      <c r="B44" s="749" t="str">
        <f>IF('Hülle &amp; Elektrizität'!F20='Hülle &amp; Elektrizität'!AT21,Uebersetzung!D594," ")</f>
        <v xml:space="preserve"> </v>
      </c>
      <c r="C44" s="724"/>
      <c r="D44" s="724"/>
      <c r="E44" s="724"/>
      <c r="F44" s="724"/>
      <c r="G44" s="724"/>
      <c r="H44" s="724"/>
      <c r="I44" s="724"/>
      <c r="J44" s="724"/>
      <c r="K44" s="725"/>
      <c r="L44" s="1106"/>
      <c r="M44" s="1107"/>
      <c r="N44" s="598"/>
      <c r="O44" s="598"/>
      <c r="P44" s="598" t="b">
        <f>IF(OR(L44=$R$10,'Hülle &amp; Elektrizität'!$F$20&lt;&gt;'Hülle &amp; Elektrizität'!$AT$21),TRUE,FALSE)</f>
        <v>1</v>
      </c>
      <c r="Q44" s="598"/>
      <c r="AG44" s="770" t="s">
        <v>2157</v>
      </c>
      <c r="AH44" s="771" t="s">
        <v>1977</v>
      </c>
    </row>
    <row r="45" spans="1:34" ht="18" customHeight="1">
      <c r="A45" s="609" t="s">
        <v>2417</v>
      </c>
      <c r="B45" s="704" t="str">
        <f>Uebersetzung!D641</f>
        <v>Flächenberechnung (in %) der gedämmten Anteile</v>
      </c>
      <c r="C45" s="79"/>
      <c r="D45" s="79"/>
      <c r="E45" s="79"/>
      <c r="F45" s="79"/>
      <c r="G45" s="79"/>
      <c r="H45" s="79"/>
      <c r="I45" s="79"/>
      <c r="J45" s="79"/>
      <c r="K45" s="726"/>
      <c r="L45" s="979"/>
      <c r="M45" s="981"/>
      <c r="N45" s="598"/>
      <c r="O45" s="598"/>
      <c r="P45" s="598" t="b">
        <f t="shared" ref="P45:P50" si="3">IF(L45=$R$10,TRUE,FALSE)</f>
        <v>0</v>
      </c>
      <c r="Q45" s="598"/>
      <c r="AG45" s="770" t="s">
        <v>2158</v>
      </c>
      <c r="AH45" s="771" t="s">
        <v>1977</v>
      </c>
    </row>
    <row r="46" spans="1:34" ht="18" customHeight="1">
      <c r="A46" s="609" t="s">
        <v>1833</v>
      </c>
      <c r="B46" s="749" t="str">
        <f>Uebersetzung!D595</f>
        <v>Pläne 1:50 mit Bezeichnung der Bauteile</v>
      </c>
      <c r="C46" s="727"/>
      <c r="D46" s="727"/>
      <c r="E46" s="727"/>
      <c r="F46" s="727"/>
      <c r="G46" s="727"/>
      <c r="H46" s="727"/>
      <c r="I46" s="724"/>
      <c r="J46" s="724"/>
      <c r="K46" s="725"/>
      <c r="L46" s="979"/>
      <c r="M46" s="981"/>
      <c r="N46" s="598"/>
      <c r="O46" s="598"/>
      <c r="P46" s="598" t="b">
        <f t="shared" si="3"/>
        <v>0</v>
      </c>
      <c r="Q46" s="598"/>
      <c r="AG46" s="770" t="s">
        <v>2159</v>
      </c>
      <c r="AH46" s="771" t="s">
        <v>1979</v>
      </c>
    </row>
    <row r="47" spans="1:34" ht="18" customHeight="1">
      <c r="A47" s="609" t="s">
        <v>2418</v>
      </c>
      <c r="B47" s="749" t="str">
        <f>Uebersetzung!D596</f>
        <v>Situationsplan</v>
      </c>
      <c r="C47" s="727"/>
      <c r="D47" s="727"/>
      <c r="E47" s="727"/>
      <c r="F47" s="727"/>
      <c r="G47" s="727"/>
      <c r="H47" s="727"/>
      <c r="I47" s="724"/>
      <c r="J47" s="724"/>
      <c r="K47" s="725"/>
      <c r="L47" s="979"/>
      <c r="M47" s="981"/>
      <c r="N47" s="598"/>
      <c r="O47" s="598"/>
      <c r="P47" s="598" t="b">
        <f t="shared" si="3"/>
        <v>0</v>
      </c>
      <c r="Q47" s="598"/>
      <c r="AG47" s="770" t="s">
        <v>2160</v>
      </c>
      <c r="AH47" s="771" t="s">
        <v>1977</v>
      </c>
    </row>
    <row r="48" spans="1:34" ht="18" customHeight="1">
      <c r="A48" s="609" t="s">
        <v>1834</v>
      </c>
      <c r="B48" s="749" t="str">
        <f>Uebersetzung!D597</f>
        <v>Unterzeichneter Ausdruck inkl. Register "Hülle &amp; Elektrizität" und "Sommer &amp; Unterlagen"</v>
      </c>
      <c r="C48" s="727"/>
      <c r="D48" s="727"/>
      <c r="E48" s="727"/>
      <c r="F48" s="727"/>
      <c r="G48" s="727"/>
      <c r="H48" s="727"/>
      <c r="I48" s="724"/>
      <c r="J48" s="724"/>
      <c r="K48" s="725"/>
      <c r="L48" s="979"/>
      <c r="M48" s="981"/>
      <c r="N48" s="598"/>
      <c r="O48" s="598"/>
      <c r="P48" s="598" t="b">
        <f t="shared" si="3"/>
        <v>0</v>
      </c>
      <c r="Q48" s="598"/>
      <c r="AG48" s="772" t="s">
        <v>2161</v>
      </c>
      <c r="AH48" s="780" t="s">
        <v>1977</v>
      </c>
    </row>
    <row r="49" spans="1:17" ht="18" customHeight="1">
      <c r="A49" s="609" t="s">
        <v>1835</v>
      </c>
      <c r="B49" s="634" t="str">
        <f>Uebersetzung!D598</f>
        <v>Technische Daten Lüftungsgerät</v>
      </c>
      <c r="C49" s="727"/>
      <c r="D49" s="727"/>
      <c r="E49" s="727"/>
      <c r="F49" s="727"/>
      <c r="G49" s="727"/>
      <c r="H49" s="727"/>
      <c r="I49" s="724"/>
      <c r="J49" s="724"/>
      <c r="K49" s="725"/>
      <c r="L49" s="979"/>
      <c r="M49" s="981"/>
      <c r="N49" s="598"/>
      <c r="O49" s="598"/>
      <c r="P49" s="598" t="b">
        <f t="shared" si="3"/>
        <v>0</v>
      </c>
      <c r="Q49" s="598"/>
    </row>
    <row r="50" spans="1:17" ht="18" customHeight="1">
      <c r="A50" s="609" t="s">
        <v>2419</v>
      </c>
      <c r="B50" s="634" t="str">
        <f>Uebersetzung!D599</f>
        <v>Technische Daten Wärmeerzeugung</v>
      </c>
      <c r="C50" s="727"/>
      <c r="D50" s="727"/>
      <c r="E50" s="727"/>
      <c r="F50" s="727"/>
      <c r="G50" s="727"/>
      <c r="H50" s="727"/>
      <c r="I50" s="724"/>
      <c r="J50" s="724"/>
      <c r="K50" s="725"/>
      <c r="L50" s="979"/>
      <c r="M50" s="981"/>
      <c r="N50" s="598"/>
      <c r="O50" s="598"/>
      <c r="P50" s="598" t="b">
        <f t="shared" si="3"/>
        <v>0</v>
      </c>
      <c r="Q50" s="598"/>
    </row>
    <row r="51" spans="1:17" ht="18" customHeight="1">
      <c r="A51" s="609" t="s">
        <v>2420</v>
      </c>
      <c r="B51" s="634" t="str">
        <f>Uebersetzung!D600</f>
        <v>Fotografien Bestand / max. 10 Stück, total max 3 MB</v>
      </c>
      <c r="C51" s="727"/>
      <c r="D51" s="727"/>
      <c r="E51" s="727"/>
      <c r="F51" s="727"/>
      <c r="G51" s="727"/>
      <c r="H51" s="727"/>
      <c r="I51" s="724"/>
      <c r="J51" s="724"/>
      <c r="K51" s="725"/>
      <c r="L51" s="979"/>
      <c r="M51" s="981"/>
      <c r="N51" s="598"/>
      <c r="O51" s="598"/>
      <c r="P51" s="598" t="b">
        <f>TRUE</f>
        <v>1</v>
      </c>
      <c r="Q51" s="598"/>
    </row>
    <row r="52" spans="1:17" ht="18" customHeight="1">
      <c r="A52" s="609" t="s">
        <v>2421</v>
      </c>
      <c r="B52" s="634" t="str">
        <f>IF('Hülle &amp; Elektrizität'!F20&lt;&gt;'Hülle &amp; Elektrizität'!AT21,Uebersetzung!D623," ")</f>
        <v>Gebäudeenergieausweis der Kantone</v>
      </c>
      <c r="C52" s="79"/>
      <c r="D52" s="79"/>
      <c r="E52" s="79"/>
      <c r="F52" s="79"/>
      <c r="G52" s="79"/>
      <c r="H52" s="79"/>
      <c r="I52" s="79"/>
      <c r="J52" s="79"/>
      <c r="K52" s="79"/>
      <c r="L52" s="1106"/>
      <c r="M52" s="1107"/>
      <c r="N52" s="598"/>
      <c r="O52" s="598"/>
      <c r="P52" s="598" t="b">
        <f>IF(OR('Hülle &amp; Elektrizität'!F20='Hülle &amp; Elektrizität'!AT21,'Sommer &amp; Unterlagen'!L52='Sommer &amp; Unterlagen'!R10),TRUE,FALSE)</f>
        <v>0</v>
      </c>
      <c r="Q52" s="598"/>
    </row>
    <row r="53" spans="1:17" ht="18" customHeight="1">
      <c r="A53" s="609" t="s">
        <v>1836</v>
      </c>
      <c r="B53" s="632" t="str">
        <f>Uebersetzung!D601</f>
        <v>Ev. weitere Unterlagen:</v>
      </c>
      <c r="C53" s="728"/>
      <c r="D53" s="1032"/>
      <c r="E53" s="1032"/>
      <c r="F53" s="1032"/>
      <c r="G53" s="1032"/>
      <c r="H53" s="1032"/>
      <c r="I53" s="1032"/>
      <c r="J53" s="1032"/>
      <c r="K53" s="1033"/>
      <c r="L53" s="1082"/>
      <c r="M53" s="1083"/>
      <c r="N53" s="598"/>
      <c r="O53" s="598"/>
      <c r="P53" s="598"/>
      <c r="Q53" s="598"/>
    </row>
    <row r="54" spans="1:17" ht="13.9" customHeight="1">
      <c r="A54" s="609"/>
      <c r="N54" s="598"/>
      <c r="O54" s="598"/>
      <c r="P54" s="598"/>
      <c r="Q54" s="598"/>
    </row>
    <row r="55" spans="1:17" ht="27.95" customHeight="1">
      <c r="A55" s="609"/>
      <c r="B55" s="855" t="str">
        <f>IF(AND('Hülle &amp; Elektrizität'!AT18,'Hülle &amp; Elektrizität'!AU18,'Hülle &amp; Elektrizität'!AV18,'Hülle &amp; Elektrizität'!AW18,'Hülle &amp; Elektrizität'!AP59,'Sommer &amp; Unterlagen'!Q29),Uebersetzung!D617,Uebersetzung!D618)</f>
        <v>Anforderungen MINERGIE nicht erfüllt</v>
      </c>
      <c r="C55" s="856"/>
      <c r="D55" s="856"/>
      <c r="E55" s="856"/>
      <c r="F55" s="856"/>
      <c r="G55" s="856"/>
      <c r="H55" s="856"/>
      <c r="I55" s="856"/>
      <c r="J55" s="856"/>
      <c r="K55" s="856"/>
      <c r="L55" s="856"/>
      <c r="M55" s="857"/>
      <c r="N55" s="598"/>
      <c r="O55" s="598"/>
      <c r="P55" s="598"/>
      <c r="Q55" s="598"/>
    </row>
    <row r="56" spans="1:17" ht="27.95" customHeight="1">
      <c r="A56" s="597"/>
      <c r="B56" s="610"/>
      <c r="C56" s="610"/>
      <c r="D56" s="610"/>
      <c r="E56" s="610"/>
      <c r="F56" s="610"/>
      <c r="G56" s="610"/>
      <c r="H56" s="610"/>
      <c r="I56" s="610"/>
      <c r="J56" s="610"/>
      <c r="K56" s="610"/>
      <c r="L56" s="610"/>
      <c r="M56" s="610"/>
      <c r="N56" s="598"/>
      <c r="O56" s="598"/>
      <c r="P56" s="598"/>
      <c r="Q56" s="598"/>
    </row>
    <row r="57" spans="1:17" ht="27.95" customHeight="1">
      <c r="A57" s="597"/>
      <c r="B57" s="1081" t="str">
        <f>IF(AND(P43:P52)," ",Uebersetzung!D631)</f>
        <v>Beilagen unvollständig</v>
      </c>
      <c r="C57" s="1081"/>
      <c r="D57" s="1081"/>
      <c r="E57" s="1081"/>
      <c r="F57" s="1081"/>
      <c r="G57" s="1081"/>
      <c r="H57" s="1081"/>
      <c r="I57" s="1081"/>
      <c r="J57" s="1081"/>
      <c r="K57" s="1081"/>
      <c r="L57" s="1081"/>
      <c r="M57" s="1081"/>
      <c r="N57" s="598"/>
      <c r="O57" s="598"/>
      <c r="P57" s="598"/>
      <c r="Q57" s="598"/>
    </row>
    <row r="58" spans="1:17">
      <c r="B58" s="613"/>
      <c r="C58" s="444"/>
      <c r="D58" s="444"/>
      <c r="E58" s="444"/>
      <c r="F58" s="613"/>
      <c r="G58" s="613"/>
      <c r="H58" s="613"/>
      <c r="I58" s="444"/>
      <c r="J58" s="18"/>
      <c r="K58" s="18"/>
      <c r="L58" s="18"/>
      <c r="M58" s="18"/>
    </row>
    <row r="59" spans="1:17">
      <c r="B59" s="613"/>
      <c r="C59" s="444"/>
      <c r="D59" s="444"/>
      <c r="E59" s="444"/>
      <c r="F59" s="613"/>
      <c r="G59" s="613"/>
      <c r="H59" s="613"/>
      <c r="I59" s="444"/>
      <c r="J59" s="18"/>
      <c r="K59" s="18"/>
      <c r="L59" s="18"/>
      <c r="M59" s="18"/>
    </row>
    <row r="60" spans="1:17">
      <c r="B60" s="613"/>
      <c r="C60" s="444"/>
      <c r="D60" s="444"/>
      <c r="E60" s="444"/>
      <c r="F60" s="613"/>
      <c r="G60" s="613"/>
      <c r="H60" s="613"/>
      <c r="I60" s="444"/>
      <c r="J60" s="18"/>
      <c r="K60" s="18"/>
      <c r="L60" s="18"/>
      <c r="M60" s="18"/>
    </row>
    <row r="61" spans="1:17">
      <c r="B61" s="444"/>
      <c r="C61" s="444"/>
      <c r="D61" s="444"/>
      <c r="E61" s="444"/>
      <c r="F61" s="444"/>
      <c r="G61" s="444"/>
      <c r="H61" s="444"/>
      <c r="I61" s="444"/>
      <c r="J61" s="18"/>
      <c r="K61" s="18"/>
      <c r="L61" s="18"/>
      <c r="M61" s="18"/>
    </row>
    <row r="62" spans="1:17">
      <c r="B62" s="18"/>
      <c r="C62" s="18"/>
      <c r="D62" s="18"/>
      <c r="E62" s="18"/>
      <c r="F62" s="18"/>
      <c r="G62" s="18"/>
      <c r="H62" s="18"/>
      <c r="I62" s="18"/>
      <c r="J62" s="18"/>
      <c r="K62" s="18"/>
      <c r="L62" s="18"/>
      <c r="M62" s="18"/>
    </row>
    <row r="63" spans="1:17">
      <c r="B63" s="612"/>
      <c r="C63" s="18"/>
      <c r="D63" s="18"/>
      <c r="E63" s="18"/>
      <c r="F63" s="18"/>
      <c r="G63" s="18"/>
      <c r="H63" s="18"/>
      <c r="I63" s="18"/>
      <c r="J63" s="18"/>
      <c r="K63" s="18"/>
      <c r="L63" s="18"/>
      <c r="M63" s="18"/>
    </row>
    <row r="64" spans="1:17">
      <c r="B64" s="1080"/>
      <c r="C64" s="1080"/>
      <c r="D64" s="1080"/>
      <c r="E64" s="1080"/>
      <c r="F64" s="1080"/>
      <c r="G64" s="1080"/>
      <c r="H64" s="1080"/>
      <c r="I64" s="1080"/>
      <c r="J64" s="1080"/>
      <c r="K64" s="1080"/>
      <c r="L64" s="1080"/>
      <c r="M64" s="1080"/>
    </row>
    <row r="65" spans="1:22">
      <c r="B65" s="1080"/>
      <c r="C65" s="1080"/>
      <c r="D65" s="1080"/>
      <c r="E65" s="1080"/>
      <c r="F65" s="1080"/>
      <c r="G65" s="1080"/>
      <c r="H65" s="1080"/>
      <c r="I65" s="1080"/>
      <c r="J65" s="1080"/>
      <c r="K65" s="1080"/>
      <c r="L65" s="1080"/>
      <c r="M65" s="1080"/>
    </row>
    <row r="66" spans="1:22">
      <c r="B66" s="1080"/>
      <c r="C66" s="1080"/>
      <c r="D66" s="1080"/>
      <c r="E66" s="1080"/>
      <c r="F66" s="1080"/>
      <c r="G66" s="1080"/>
      <c r="H66" s="1080"/>
      <c r="I66" s="1080"/>
      <c r="J66" s="1080"/>
      <c r="K66" s="1080"/>
      <c r="L66" s="1080"/>
      <c r="M66" s="1080"/>
    </row>
    <row r="67" spans="1:22" ht="24" customHeight="1"/>
    <row r="68" spans="1:22">
      <c r="B68" s="1080"/>
      <c r="C68" s="1080"/>
      <c r="D68" s="1080"/>
      <c r="E68" s="1080"/>
      <c r="F68" s="1080"/>
      <c r="G68" s="1080"/>
      <c r="H68" s="1080"/>
      <c r="I68" s="1080"/>
      <c r="J68" s="1080"/>
      <c r="K68" s="1080"/>
      <c r="L68" s="1080"/>
      <c r="M68" s="1080"/>
    </row>
    <row r="71" spans="1:22" ht="32.1" customHeight="1"/>
    <row r="72" spans="1:22" hidden="1"/>
    <row r="73" spans="1:22" hidden="1">
      <c r="A73" s="515" t="s">
        <v>1160</v>
      </c>
      <c r="B73" s="1066" t="str">
        <f>Uebersetzung!D322</f>
        <v>Variante 1: Globalbeurteilung von Standardfällen für die Nutzungen Wohnen, Einzelbüro, Gruppenbüro, Sitzungszimmer und Lager (ohne Kühlung)</v>
      </c>
      <c r="C73" s="1066"/>
      <c r="D73" s="1066"/>
      <c r="E73" s="1066"/>
      <c r="F73" s="1066"/>
      <c r="G73" s="1066"/>
      <c r="H73" s="1066"/>
      <c r="I73" s="1066"/>
      <c r="J73" s="1066"/>
      <c r="K73" s="1066"/>
      <c r="L73" s="1066"/>
      <c r="M73" s="180"/>
      <c r="N73" s="179"/>
      <c r="O73" s="179"/>
      <c r="P73" s="179"/>
      <c r="Q73" s="232">
        <v>1</v>
      </c>
      <c r="R73" s="380">
        <v>1</v>
      </c>
    </row>
    <row r="74" spans="1:22" hidden="1">
      <c r="A74" s="517"/>
      <c r="B74" s="1085" t="str">
        <f>Uebersetzung!D323</f>
        <v>Die Globalbeurteilung gilt für Zonen in denen in allen Räumen folgende Bedingungen eingehalten sind:</v>
      </c>
      <c r="C74" s="1086"/>
      <c r="D74" s="1086"/>
      <c r="E74" s="1086"/>
      <c r="F74" s="1086"/>
      <c r="G74" s="1086"/>
      <c r="H74" s="1086"/>
      <c r="I74" s="1086"/>
      <c r="J74" s="1086"/>
      <c r="K74" s="1086"/>
      <c r="L74" s="1087"/>
      <c r="M74" s="181"/>
      <c r="N74" s="182" t="str">
        <f>Uebersetzung!D27</f>
        <v>n.a.</v>
      </c>
      <c r="O74" s="183" t="str">
        <f>N74</f>
        <v>n.a.</v>
      </c>
      <c r="P74" s="183" t="str">
        <f>Uebersetzung!D350</f>
        <v>Rollläden</v>
      </c>
      <c r="Q74" s="184">
        <v>2</v>
      </c>
      <c r="R74" s="185">
        <v>4</v>
      </c>
    </row>
    <row r="75" spans="1:22" hidden="1">
      <c r="B75" s="1017" t="str">
        <f>Uebersetzung!D324</f>
        <v>- keine Oblichter oder Dachflächenfenster mit Glasflächen &gt; 0.5 m2, grössere Glasflächen können in vertikale Flächen
  umgerechnet werden -&gt; siehe Anwendungshilfe</v>
      </c>
      <c r="C75" s="1018"/>
      <c r="D75" s="1018"/>
      <c r="E75" s="1018"/>
      <c r="F75" s="1018"/>
      <c r="G75" s="1018"/>
      <c r="H75" s="1018"/>
      <c r="I75" s="1018"/>
      <c r="J75" s="1018"/>
      <c r="K75" s="1018"/>
      <c r="L75" s="1019"/>
      <c r="M75" s="186"/>
      <c r="N75" s="187" t="str">
        <f>Uebersetzung!D25</f>
        <v>Ja</v>
      </c>
      <c r="O75" s="188" t="str">
        <f>N75</f>
        <v>Ja</v>
      </c>
      <c r="P75" s="188" t="str">
        <f>Uebersetzung!D351</f>
        <v>Rafflamellen</v>
      </c>
      <c r="Q75" s="232">
        <v>3</v>
      </c>
      <c r="R75" s="380">
        <v>2</v>
      </c>
    </row>
    <row r="76" spans="1:22" hidden="1">
      <c r="B76" s="1017" t="str">
        <f>Uebersetzung!D325</f>
        <v>- aussenliegender beweglicher Sonnenschutz mit Rollläden oder Rafflamellenstoren (z.B. Minergie-Module);</v>
      </c>
      <c r="C76" s="1020"/>
      <c r="D76" s="1020"/>
      <c r="E76" s="1020"/>
      <c r="F76" s="1020"/>
      <c r="G76" s="1020"/>
      <c r="H76" s="1020"/>
      <c r="I76" s="1020"/>
      <c r="J76" s="1020"/>
      <c r="K76" s="1020"/>
      <c r="L76" s="1021"/>
      <c r="M76" s="186"/>
      <c r="N76" s="187" t="str">
        <f>Uebersetzung!D26</f>
        <v>Nein</v>
      </c>
      <c r="O76" s="188" t="str">
        <f>N76</f>
        <v>Nein</v>
      </c>
      <c r="P76" s="188" t="str">
        <f>Uebersetzung!D352</f>
        <v>Modul Minergie</v>
      </c>
      <c r="Q76" s="232">
        <v>4</v>
      </c>
      <c r="R76" s="380">
        <v>3</v>
      </c>
    </row>
    <row r="77" spans="1:22" hidden="1">
      <c r="B77" s="1088" t="str">
        <f>Uebersetzung!D326</f>
        <v>- Nachtauskühlung mit Fensterlüftung ist möglich;</v>
      </c>
      <c r="C77" s="1089"/>
      <c r="D77" s="1089"/>
      <c r="E77" s="1089"/>
      <c r="F77" s="1089"/>
      <c r="G77" s="1089"/>
      <c r="H77" s="1089"/>
      <c r="I77" s="1089"/>
      <c r="J77" s="1089"/>
      <c r="K77" s="1089"/>
      <c r="L77" s="1090"/>
      <c r="M77" s="186"/>
      <c r="N77" s="189"/>
      <c r="O77" s="190"/>
      <c r="P77" s="190" t="str">
        <f>Uebersetzung!D353</f>
        <v>andere</v>
      </c>
      <c r="Q77" s="232">
        <v>5</v>
      </c>
      <c r="R77" s="174"/>
    </row>
    <row r="78" spans="1:22" ht="15" hidden="1" customHeight="1">
      <c r="B78" s="1091" t="str">
        <f>Uebersetzung!D327</f>
        <v>- interne Wärmelasten nicht höher als die Standardwerte im Merkblatt SIA 2024.</v>
      </c>
      <c r="C78" s="1092"/>
      <c r="D78" s="1092"/>
      <c r="E78" s="1092"/>
      <c r="F78" s="1092"/>
      <c r="G78" s="1092"/>
      <c r="H78" s="1092"/>
      <c r="I78" s="1092"/>
      <c r="J78" s="1092"/>
      <c r="K78" s="1092"/>
      <c r="L78" s="1093"/>
      <c r="M78" s="191"/>
      <c r="N78" s="179"/>
      <c r="O78" s="179"/>
      <c r="P78" s="179"/>
      <c r="Q78" s="179"/>
      <c r="R78" s="174"/>
      <c r="S78" s="192" t="s">
        <v>1158</v>
      </c>
      <c r="T78" s="193"/>
      <c r="U78" s="193"/>
      <c r="V78" s="194"/>
    </row>
    <row r="79" spans="1:22" ht="15" hidden="1" customHeight="1">
      <c r="B79" s="195"/>
      <c r="C79" s="196"/>
      <c r="D79" s="196"/>
      <c r="E79" s="196"/>
      <c r="F79" s="196"/>
      <c r="G79" s="196"/>
      <c r="H79" s="197"/>
      <c r="I79" s="198">
        <v>1</v>
      </c>
      <c r="J79" s="198">
        <v>2</v>
      </c>
      <c r="K79" s="198">
        <v>3</v>
      </c>
      <c r="L79" s="199">
        <v>4</v>
      </c>
      <c r="M79" s="200"/>
      <c r="N79" s="201">
        <v>1</v>
      </c>
      <c r="O79" s="202">
        <v>2</v>
      </c>
      <c r="P79" s="202">
        <v>3</v>
      </c>
      <c r="Q79" s="203">
        <v>4</v>
      </c>
      <c r="R79" s="174"/>
      <c r="S79" s="204">
        <v>1</v>
      </c>
      <c r="T79" s="205">
        <v>2</v>
      </c>
      <c r="U79" s="205">
        <v>3</v>
      </c>
      <c r="V79" s="206">
        <v>4</v>
      </c>
    </row>
    <row r="80" spans="1:22" ht="15" hidden="1" customHeight="1">
      <c r="B80" s="207" t="str">
        <f>Uebersetzung!D328</f>
        <v>Erfüllen die Räume in der Zone die Kriterien?</v>
      </c>
      <c r="C80" s="172"/>
      <c r="D80" s="172"/>
      <c r="E80" s="172"/>
      <c r="F80" s="172"/>
      <c r="G80" s="172"/>
      <c r="H80" s="172"/>
      <c r="I80" s="208"/>
      <c r="J80" s="208"/>
      <c r="K80" s="208"/>
      <c r="L80" s="209"/>
      <c r="M80" s="200"/>
      <c r="N80" s="210"/>
      <c r="O80" s="210"/>
      <c r="P80" s="210"/>
      <c r="Q80" s="211"/>
      <c r="R80" s="174"/>
      <c r="S80" s="212"/>
      <c r="T80" s="213"/>
      <c r="U80" s="213"/>
      <c r="V80" s="214"/>
    </row>
    <row r="81" spans="1:22" ht="15" hidden="1" customHeight="1">
      <c r="A81" s="1084" t="s">
        <v>1828</v>
      </c>
      <c r="B81" s="1094" t="str">
        <f>Uebersetzung!D329</f>
        <v>Aussenliegender beweglicher Sonnenschutz. Bei "andere" hier deklarieren:</v>
      </c>
      <c r="C81" s="1095"/>
      <c r="D81" s="1095"/>
      <c r="E81" s="1095"/>
      <c r="F81" s="1095"/>
      <c r="G81" s="1095"/>
      <c r="H81" s="1096"/>
      <c r="I81" s="1097"/>
      <c r="J81" s="1097"/>
      <c r="K81" s="1097"/>
      <c r="L81" s="1099"/>
      <c r="M81" s="215"/>
      <c r="N81" s="216" t="b">
        <f>OR(I81=$P$74,I81=$P$75,I81=$P$76,I81=$P$77)</f>
        <v>0</v>
      </c>
      <c r="O81" s="217" t="b">
        <f>OR(J81=$P$74,J81=$P$75,J81=$P$76,J81=$P$77)</f>
        <v>0</v>
      </c>
      <c r="P81" s="217" t="b">
        <f>OR(K81=$P$74,K81=$P$75,K81=$P$76,K81=$P$77)</f>
        <v>0</v>
      </c>
      <c r="Q81" s="187" t="b">
        <f>OR(L81=$P$74,L81=$P$75,L81=$P$76,L81=$P$77)</f>
        <v>0</v>
      </c>
      <c r="R81" s="174"/>
      <c r="S81" s="218"/>
      <c r="T81" s="219"/>
      <c r="U81" s="219"/>
      <c r="V81" s="220"/>
    </row>
    <row r="82" spans="1:22" ht="15" hidden="1" customHeight="1">
      <c r="A82" s="1084"/>
      <c r="B82" s="1054"/>
      <c r="C82" s="1055"/>
      <c r="D82" s="1055"/>
      <c r="E82" s="1055"/>
      <c r="F82" s="1055"/>
      <c r="G82" s="1055"/>
      <c r="H82" s="221"/>
      <c r="I82" s="1098"/>
      <c r="J82" s="1098"/>
      <c r="K82" s="1098"/>
      <c r="L82" s="1100"/>
      <c r="M82" s="191"/>
      <c r="N82" s="216"/>
      <c r="O82" s="217"/>
      <c r="P82" s="217"/>
      <c r="Q82" s="187"/>
      <c r="R82" s="174"/>
      <c r="S82" s="218"/>
      <c r="T82" s="219"/>
      <c r="U82" s="219"/>
      <c r="V82" s="220"/>
    </row>
    <row r="83" spans="1:22" ht="35.1" hidden="1" customHeight="1">
      <c r="A83" s="515" t="s">
        <v>1829</v>
      </c>
      <c r="B83" s="1028" t="str">
        <f>Uebersetzung!D331</f>
        <v>Wohnen (EFH, MFH), Räume mit 1 Fassade, Betondecke (&gt;80% frei):
- Glasanteil &lt;70%</v>
      </c>
      <c r="C83" s="1029"/>
      <c r="D83" s="1029"/>
      <c r="E83" s="1029"/>
      <c r="F83" s="1029"/>
      <c r="G83" s="1029"/>
      <c r="H83" s="1030"/>
      <c r="I83" s="224"/>
      <c r="J83" s="222"/>
      <c r="K83" s="222"/>
      <c r="L83" s="223"/>
      <c r="M83" s="200"/>
      <c r="N83" s="216" t="b">
        <f t="shared" ref="N83:Q86" si="4">OR(I83=$N$74,I83=$N$75)</f>
        <v>0</v>
      </c>
      <c r="O83" s="217" t="b">
        <f t="shared" si="4"/>
        <v>0</v>
      </c>
      <c r="P83" s="217" t="b">
        <f t="shared" si="4"/>
        <v>0</v>
      </c>
      <c r="Q83" s="187" t="b">
        <f t="shared" si="4"/>
        <v>0</v>
      </c>
      <c r="R83" s="174"/>
      <c r="S83" s="218" t="b">
        <f t="shared" ref="S83:V86" si="5">I83&lt;&gt;$N$74</f>
        <v>1</v>
      </c>
      <c r="T83" s="219" t="b">
        <f t="shared" si="5"/>
        <v>1</v>
      </c>
      <c r="U83" s="219" t="b">
        <f t="shared" si="5"/>
        <v>1</v>
      </c>
      <c r="V83" s="220" t="b">
        <f t="shared" si="5"/>
        <v>1</v>
      </c>
    </row>
    <row r="84" spans="1:22" ht="35.1" hidden="1" customHeight="1">
      <c r="A84" s="515" t="s">
        <v>1170</v>
      </c>
      <c r="B84" s="1015" t="str">
        <f>Uebersetzung!D332</f>
        <v>Wohnen (EFH,MFH), Eckzimmer; Betondecke (&gt;80% frei):
- Glasanteil pro Fassade &lt;50%</v>
      </c>
      <c r="C84" s="1016"/>
      <c r="D84" s="1016"/>
      <c r="E84" s="1016"/>
      <c r="F84" s="1016"/>
      <c r="G84" s="1016"/>
      <c r="H84" s="1031"/>
      <c r="I84" s="224"/>
      <c r="J84" s="224"/>
      <c r="K84" s="224"/>
      <c r="L84" s="225"/>
      <c r="M84" s="200"/>
      <c r="N84" s="216" t="b">
        <f t="shared" si="4"/>
        <v>0</v>
      </c>
      <c r="O84" s="217" t="b">
        <f t="shared" si="4"/>
        <v>0</v>
      </c>
      <c r="P84" s="217" t="b">
        <f t="shared" si="4"/>
        <v>0</v>
      </c>
      <c r="Q84" s="187" t="b">
        <f t="shared" si="4"/>
        <v>0</v>
      </c>
      <c r="R84" s="174"/>
      <c r="S84" s="218" t="b">
        <f t="shared" si="5"/>
        <v>1</v>
      </c>
      <c r="T84" s="219" t="b">
        <f t="shared" si="5"/>
        <v>1</v>
      </c>
      <c r="U84" s="219" t="b">
        <f t="shared" si="5"/>
        <v>1</v>
      </c>
      <c r="V84" s="220" t="b">
        <f t="shared" si="5"/>
        <v>1</v>
      </c>
    </row>
    <row r="85" spans="1:22" ht="35.1" hidden="1" customHeight="1">
      <c r="A85" s="515" t="s">
        <v>1173</v>
      </c>
      <c r="B85" s="1015" t="str">
        <f>Uebersetzung!D333</f>
        <v>Wohnen (EFH, MFH), 1 Fassade oder Eckzimmer. Holzdecke und Zementunterlagsboden mit min. 6 cm oder Anhydrit min. 5 cm Stärke:
- Glasanteil &lt;40%</v>
      </c>
      <c r="C85" s="1016"/>
      <c r="D85" s="1016"/>
      <c r="E85" s="1016"/>
      <c r="F85" s="1016"/>
      <c r="G85" s="1016"/>
      <c r="H85" s="1031"/>
      <c r="I85" s="224"/>
      <c r="J85" s="224"/>
      <c r="K85" s="224"/>
      <c r="L85" s="225"/>
      <c r="M85" s="200"/>
      <c r="N85" s="216" t="b">
        <f t="shared" si="4"/>
        <v>0</v>
      </c>
      <c r="O85" s="217" t="b">
        <f t="shared" si="4"/>
        <v>0</v>
      </c>
      <c r="P85" s="217" t="b">
        <f t="shared" si="4"/>
        <v>0</v>
      </c>
      <c r="Q85" s="187" t="b">
        <f t="shared" si="4"/>
        <v>0</v>
      </c>
      <c r="R85" s="174"/>
      <c r="S85" s="218" t="b">
        <f t="shared" si="5"/>
        <v>1</v>
      </c>
      <c r="T85" s="219" t="b">
        <f t="shared" si="5"/>
        <v>1</v>
      </c>
      <c r="U85" s="219" t="b">
        <f t="shared" si="5"/>
        <v>1</v>
      </c>
      <c r="V85" s="220" t="b">
        <f t="shared" si="5"/>
        <v>1</v>
      </c>
    </row>
    <row r="86" spans="1:22" ht="35.1" hidden="1" customHeight="1">
      <c r="A86" s="515" t="s">
        <v>1174</v>
      </c>
      <c r="B86" s="1015" t="str">
        <f>Uebersetzung!D334</f>
        <v>Wohnen (EFH, MFH), Räume mit 1 Fassade, Betondecke (&gt;80% frei) oder Zement-unterlagsboden mit min. 6 cm oder Anhydrit min. 5 cmStärke. Süd-Orientierung und Verschattung durch Balkon von min. 1 m Tiefe. 
- Glasanteil &lt;100%</v>
      </c>
      <c r="C86" s="1016"/>
      <c r="D86" s="1016"/>
      <c r="E86" s="1016"/>
      <c r="F86" s="1016"/>
      <c r="G86" s="1016"/>
      <c r="H86" s="1031"/>
      <c r="I86" s="224"/>
      <c r="J86" s="224"/>
      <c r="K86" s="224"/>
      <c r="L86" s="225"/>
      <c r="M86" s="200"/>
      <c r="N86" s="216" t="b">
        <f t="shared" si="4"/>
        <v>0</v>
      </c>
      <c r="O86" s="217" t="b">
        <f t="shared" si="4"/>
        <v>0</v>
      </c>
      <c r="P86" s="217" t="b">
        <f t="shared" si="4"/>
        <v>0</v>
      </c>
      <c r="Q86" s="187" t="b">
        <f t="shared" si="4"/>
        <v>0</v>
      </c>
      <c r="R86" s="174"/>
      <c r="S86" s="218" t="b">
        <f t="shared" si="5"/>
        <v>1</v>
      </c>
      <c r="T86" s="219" t="b">
        <f t="shared" si="5"/>
        <v>1</v>
      </c>
      <c r="U86" s="219" t="b">
        <f t="shared" si="5"/>
        <v>1</v>
      </c>
      <c r="V86" s="220" t="b">
        <f t="shared" si="5"/>
        <v>1</v>
      </c>
    </row>
    <row r="87" spans="1:22" ht="35.1" hidden="1" customHeight="1">
      <c r="A87" s="515" t="s">
        <v>1175</v>
      </c>
      <c r="B87" s="1015" t="str">
        <f>Uebersetzung!D335</f>
        <v>Einzelbüro, Gruppenbüro, Sitzungszimmer mit 1 Fassade, Betondecke (&gt;80% frei):
- Glasanteil &lt;50% und automat. Steuerung des Sonnenschutzes</v>
      </c>
      <c r="C87" s="1016"/>
      <c r="D87" s="1016"/>
      <c r="E87" s="1016"/>
      <c r="F87" s="1016"/>
      <c r="G87" s="1016"/>
      <c r="H87" s="1016"/>
      <c r="I87" s="224"/>
      <c r="J87" s="224"/>
      <c r="K87" s="224"/>
      <c r="L87" s="225"/>
      <c r="M87" s="200"/>
      <c r="N87" s="216" t="e">
        <f t="shared" ref="N87:Q89" si="6">OR(I87=$N$74,I87=$N$75,minergiea)</f>
        <v>#REF!</v>
      </c>
      <c r="O87" s="217" t="e">
        <f t="shared" si="6"/>
        <v>#REF!</v>
      </c>
      <c r="P87" s="217" t="e">
        <f t="shared" si="6"/>
        <v>#REF!</v>
      </c>
      <c r="Q87" s="187" t="e">
        <f t="shared" si="6"/>
        <v>#REF!</v>
      </c>
      <c r="R87" s="174"/>
      <c r="S87" s="218" t="e">
        <f t="shared" ref="S87:V89" si="7">IF(minergiea,FALSE,I87&lt;&gt;$N$74)</f>
        <v>#REF!</v>
      </c>
      <c r="T87" s="219" t="e">
        <f t="shared" si="7"/>
        <v>#REF!</v>
      </c>
      <c r="U87" s="219" t="e">
        <f t="shared" si="7"/>
        <v>#REF!</v>
      </c>
      <c r="V87" s="220" t="e">
        <f t="shared" si="7"/>
        <v>#REF!</v>
      </c>
    </row>
    <row r="88" spans="1:22" ht="35.1" hidden="1" customHeight="1">
      <c r="A88" s="515" t="s">
        <v>1176</v>
      </c>
      <c r="B88" s="1015" t="str">
        <f>Uebersetzung!D336</f>
        <v>Einzelbüro, Gruppenbüro, Sitzungszimmer als Eckzimmer, Betondecke (&gt;80% frei):
- Glasanteil &lt;35% und automat. Steuerung des Sonnenschutzes</v>
      </c>
      <c r="C88" s="1016"/>
      <c r="D88" s="1016"/>
      <c r="E88" s="1016"/>
      <c r="F88" s="1016"/>
      <c r="G88" s="1016"/>
      <c r="H88" s="1016"/>
      <c r="I88" s="224"/>
      <c r="J88" s="224"/>
      <c r="K88" s="224"/>
      <c r="L88" s="225"/>
      <c r="M88" s="200"/>
      <c r="N88" s="216" t="e">
        <f t="shared" si="6"/>
        <v>#REF!</v>
      </c>
      <c r="O88" s="217" t="e">
        <f t="shared" si="6"/>
        <v>#REF!</v>
      </c>
      <c r="P88" s="217" t="e">
        <f t="shared" si="6"/>
        <v>#REF!</v>
      </c>
      <c r="Q88" s="187" t="e">
        <f t="shared" si="6"/>
        <v>#REF!</v>
      </c>
      <c r="R88" s="174"/>
      <c r="S88" s="218" t="e">
        <f t="shared" si="7"/>
        <v>#REF!</v>
      </c>
      <c r="T88" s="219" t="e">
        <f t="shared" si="7"/>
        <v>#REF!</v>
      </c>
      <c r="U88" s="219" t="e">
        <f t="shared" si="7"/>
        <v>#REF!</v>
      </c>
      <c r="V88" s="220" t="e">
        <f t="shared" si="7"/>
        <v>#REF!</v>
      </c>
    </row>
    <row r="89" spans="1:22" ht="24.95" hidden="1" customHeight="1">
      <c r="A89" s="515" t="s">
        <v>1177</v>
      </c>
      <c r="B89" s="1015" t="str">
        <f>Uebersetzung!D337</f>
        <v>Lager mit geringen internen Wärmelasten</v>
      </c>
      <c r="C89" s="1016"/>
      <c r="D89" s="1016"/>
      <c r="E89" s="1016"/>
      <c r="F89" s="1016"/>
      <c r="G89" s="1016"/>
      <c r="H89" s="1016"/>
      <c r="I89" s="224" t="s">
        <v>71</v>
      </c>
      <c r="J89" s="224"/>
      <c r="K89" s="224"/>
      <c r="L89" s="225"/>
      <c r="M89" s="200"/>
      <c r="N89" s="216" t="e">
        <f t="shared" si="6"/>
        <v>#REF!</v>
      </c>
      <c r="O89" s="217" t="e">
        <f t="shared" si="6"/>
        <v>#REF!</v>
      </c>
      <c r="P89" s="217" t="e">
        <f t="shared" si="6"/>
        <v>#REF!</v>
      </c>
      <c r="Q89" s="187" t="e">
        <f t="shared" si="6"/>
        <v>#REF!</v>
      </c>
      <c r="R89" s="174"/>
      <c r="S89" s="218" t="e">
        <f t="shared" si="7"/>
        <v>#REF!</v>
      </c>
      <c r="T89" s="219" t="e">
        <f t="shared" si="7"/>
        <v>#REF!</v>
      </c>
      <c r="U89" s="219" t="e">
        <f t="shared" si="7"/>
        <v>#REF!</v>
      </c>
      <c r="V89" s="220" t="e">
        <f t="shared" si="7"/>
        <v>#REF!</v>
      </c>
    </row>
    <row r="90" spans="1:22" ht="24.95" hidden="1" customHeight="1">
      <c r="B90" s="1025"/>
      <c r="C90" s="1026"/>
      <c r="D90" s="1026"/>
      <c r="E90" s="1026"/>
      <c r="F90" s="1026"/>
      <c r="G90" s="1026"/>
      <c r="H90" s="1026"/>
      <c r="I90" s="531" t="s">
        <v>116</v>
      </c>
      <c r="J90" s="531" t="s">
        <v>116</v>
      </c>
      <c r="K90" s="531" t="s">
        <v>116</v>
      </c>
      <c r="L90" s="531" t="s">
        <v>116</v>
      </c>
      <c r="M90" s="200"/>
      <c r="N90" s="216" t="b">
        <f t="shared" ref="N90:Q92" si="8">OR(I90=$N$74,I90=$N$75)</f>
        <v>1</v>
      </c>
      <c r="O90" s="217" t="b">
        <f t="shared" si="8"/>
        <v>1</v>
      </c>
      <c r="P90" s="217" t="b">
        <f t="shared" si="8"/>
        <v>1</v>
      </c>
      <c r="Q90" s="187" t="b">
        <f t="shared" si="8"/>
        <v>1</v>
      </c>
      <c r="R90" s="174"/>
      <c r="S90" s="218" t="b">
        <f t="shared" ref="S90:V92" si="9">I90&lt;&gt;$N$74</f>
        <v>0</v>
      </c>
      <c r="T90" s="219" t="b">
        <f t="shared" si="9"/>
        <v>0</v>
      </c>
      <c r="U90" s="219" t="b">
        <f t="shared" si="9"/>
        <v>0</v>
      </c>
      <c r="V90" s="220" t="b">
        <f t="shared" si="9"/>
        <v>0</v>
      </c>
    </row>
    <row r="91" spans="1:22" ht="24.95" hidden="1" customHeight="1">
      <c r="B91" s="1022"/>
      <c r="C91" s="1023"/>
      <c r="D91" s="1023"/>
      <c r="E91" s="1023"/>
      <c r="F91" s="1023"/>
      <c r="G91" s="1023"/>
      <c r="H91" s="1023"/>
      <c r="I91" s="531" t="s">
        <v>116</v>
      </c>
      <c r="J91" s="531" t="s">
        <v>116</v>
      </c>
      <c r="K91" s="531" t="s">
        <v>116</v>
      </c>
      <c r="L91" s="531" t="s">
        <v>116</v>
      </c>
      <c r="M91" s="200"/>
      <c r="N91" s="216" t="b">
        <f t="shared" si="8"/>
        <v>1</v>
      </c>
      <c r="O91" s="217" t="b">
        <f t="shared" si="8"/>
        <v>1</v>
      </c>
      <c r="P91" s="217" t="b">
        <f t="shared" si="8"/>
        <v>1</v>
      </c>
      <c r="Q91" s="187" t="b">
        <f t="shared" si="8"/>
        <v>1</v>
      </c>
      <c r="R91" s="174"/>
      <c r="S91" s="218" t="b">
        <f t="shared" si="9"/>
        <v>0</v>
      </c>
      <c r="T91" s="219" t="b">
        <f t="shared" si="9"/>
        <v>0</v>
      </c>
      <c r="U91" s="219" t="b">
        <f t="shared" si="9"/>
        <v>0</v>
      </c>
      <c r="V91" s="220" t="b">
        <f t="shared" si="9"/>
        <v>0</v>
      </c>
    </row>
    <row r="92" spans="1:22" ht="15" hidden="1" customHeight="1">
      <c r="B92" s="1039"/>
      <c r="C92" s="1040"/>
      <c r="D92" s="1040"/>
      <c r="E92" s="1040"/>
      <c r="F92" s="1040"/>
      <c r="G92" s="1040"/>
      <c r="H92" s="1040"/>
      <c r="I92" s="531" t="s">
        <v>116</v>
      </c>
      <c r="J92" s="531" t="s">
        <v>116</v>
      </c>
      <c r="K92" s="531" t="s">
        <v>116</v>
      </c>
      <c r="L92" s="531" t="s">
        <v>116</v>
      </c>
      <c r="M92" s="200"/>
      <c r="N92" s="216" t="b">
        <f t="shared" si="8"/>
        <v>1</v>
      </c>
      <c r="O92" s="217" t="b">
        <f t="shared" si="8"/>
        <v>1</v>
      </c>
      <c r="P92" s="217" t="b">
        <f t="shared" si="8"/>
        <v>1</v>
      </c>
      <c r="Q92" s="187" t="b">
        <f t="shared" si="8"/>
        <v>1</v>
      </c>
      <c r="R92" s="174"/>
      <c r="S92" s="218" t="b">
        <f t="shared" si="9"/>
        <v>0</v>
      </c>
      <c r="T92" s="219" t="b">
        <f t="shared" si="9"/>
        <v>0</v>
      </c>
      <c r="U92" s="219" t="b">
        <f t="shared" si="9"/>
        <v>0</v>
      </c>
      <c r="V92" s="220" t="b">
        <f t="shared" si="9"/>
        <v>0</v>
      </c>
    </row>
    <row r="93" spans="1:22" ht="15" hidden="1" customHeight="1">
      <c r="A93" s="515" t="s">
        <v>1830</v>
      </c>
      <c r="B93" s="1041" t="str">
        <f>Uebersetzung!D338</f>
        <v>"n.a.":    Nicht vorhanden. Ein solcher Raumtyp existiert nicht.
"ja":       Ein solcher Raumtyp ist vorhanden und alle Kriterien sind erfüllt.
"nein":   Ein solcher Raumtyp ist vorhanden, aber die Kriterien sind nicht erfüllt (z.B. zu hoher Glasanteil)</v>
      </c>
      <c r="C93" s="1042"/>
      <c r="D93" s="1042"/>
      <c r="E93" s="1042"/>
      <c r="F93" s="1042"/>
      <c r="G93" s="1042"/>
      <c r="H93" s="1042"/>
      <c r="I93" s="1042"/>
      <c r="J93" s="1042"/>
      <c r="K93" s="1042"/>
      <c r="L93" s="1043"/>
      <c r="M93" s="226"/>
      <c r="N93" s="227" t="e">
        <f>AND(N81:N92,S93)</f>
        <v>#REF!</v>
      </c>
      <c r="O93" s="228" t="e">
        <f>AND(O81:O92,T93)</f>
        <v>#REF!</v>
      </c>
      <c r="P93" s="228" t="e">
        <f>AND(P81:P92,U93)</f>
        <v>#REF!</v>
      </c>
      <c r="Q93" s="229" t="e">
        <f>AND(Q81:Q92,V93)</f>
        <v>#REF!</v>
      </c>
      <c r="R93" s="174"/>
      <c r="S93" s="230" t="e">
        <f>OR(S83:S92)</f>
        <v>#REF!</v>
      </c>
      <c r="T93" s="231" t="e">
        <f>OR(T81:T92)</f>
        <v>#REF!</v>
      </c>
      <c r="U93" s="231" t="e">
        <f>OR(U81:U92)</f>
        <v>#REF!</v>
      </c>
      <c r="V93" s="231" t="e">
        <f>OR(V81:V92)</f>
        <v>#REF!</v>
      </c>
    </row>
    <row r="94" spans="1:22" hidden="1">
      <c r="B94" s="232"/>
      <c r="C94" s="232"/>
      <c r="D94" s="232"/>
      <c r="E94" s="232"/>
      <c r="F94" s="232"/>
      <c r="G94" s="232"/>
      <c r="H94" s="232"/>
      <c r="I94" s="180"/>
      <c r="J94" s="180"/>
      <c r="K94" s="180"/>
      <c r="L94" s="180"/>
      <c r="M94" s="180"/>
      <c r="N94" s="179"/>
      <c r="O94" s="179"/>
      <c r="P94" s="179"/>
      <c r="Q94" s="179"/>
      <c r="R94" s="174"/>
    </row>
    <row r="95" spans="1:22" hidden="1">
      <c r="A95" s="515" t="s">
        <v>1180</v>
      </c>
      <c r="B95" s="233" t="str">
        <f>Uebersetzung!D341</f>
        <v>Variante 2: Externer Nachweis der Kriterien gemäss SIA382/1 (ohne Kühlung)</v>
      </c>
      <c r="C95" s="179"/>
      <c r="D95" s="179"/>
      <c r="E95" s="179"/>
      <c r="F95" s="179"/>
      <c r="G95" s="179"/>
      <c r="H95" s="179"/>
      <c r="I95" s="179"/>
      <c r="J95" s="179"/>
      <c r="K95" s="179"/>
      <c r="L95" s="179"/>
      <c r="M95" s="179"/>
      <c r="N95" s="234" t="str">
        <f>Uebersetzung!D25</f>
        <v>Ja</v>
      </c>
      <c r="O95" s="179"/>
      <c r="P95" s="179"/>
      <c r="Q95" s="179"/>
      <c r="R95" s="174"/>
    </row>
    <row r="96" spans="1:22" hidden="1">
      <c r="B96" s="259" t="str">
        <f>Uebersetzung!D342</f>
        <v>Die Erfüllung dieser Kriterien wird in Beilagen beschrieben und dokumentiert.</v>
      </c>
      <c r="C96" s="179"/>
      <c r="D96" s="179"/>
      <c r="E96" s="179"/>
      <c r="F96" s="179"/>
      <c r="G96" s="179"/>
      <c r="H96" s="179"/>
      <c r="I96" s="179"/>
      <c r="J96" s="179"/>
      <c r="K96" s="179"/>
      <c r="L96" s="179"/>
      <c r="M96" s="179"/>
      <c r="N96" s="190" t="str">
        <f>Uebersetzung!D26</f>
        <v>Nein</v>
      </c>
      <c r="O96" s="179"/>
      <c r="P96" s="179"/>
      <c r="Q96" s="179"/>
      <c r="R96" s="174"/>
    </row>
    <row r="97" spans="1:18" hidden="1">
      <c r="B97" s="235" t="str">
        <f>Uebersetzung!D343</f>
        <v>SIA 382/1 Ziffer</v>
      </c>
      <c r="C97" s="1044" t="str">
        <f>Uebersetzung!D29</f>
        <v>Zone</v>
      </c>
      <c r="D97" s="1045"/>
      <c r="E97" s="1045"/>
      <c r="F97" s="1045"/>
      <c r="G97" s="1045"/>
      <c r="H97" s="1046"/>
      <c r="I97" s="198">
        <v>1</v>
      </c>
      <c r="J97" s="198">
        <v>2</v>
      </c>
      <c r="K97" s="198">
        <v>3</v>
      </c>
      <c r="L97" s="199">
        <v>4</v>
      </c>
      <c r="M97" s="234"/>
      <c r="N97" s="236">
        <v>1</v>
      </c>
      <c r="O97" s="237">
        <v>2</v>
      </c>
      <c r="P97" s="237">
        <v>3</v>
      </c>
      <c r="Q97" s="238">
        <v>4</v>
      </c>
      <c r="R97" s="174"/>
    </row>
    <row r="98" spans="1:18" ht="29.25" hidden="1" customHeight="1">
      <c r="A98" s="515" t="s">
        <v>1831</v>
      </c>
      <c r="B98" s="239" t="s">
        <v>1171</v>
      </c>
      <c r="C98" s="1047" t="str">
        <f>Uebersetzung!D344</f>
        <v>Anforderungen an den Sonnenschutz sind gemäss Zusatzformular sommerlicher Wärmeschutz erfüllt.</v>
      </c>
      <c r="D98" s="1029"/>
      <c r="E98" s="1029"/>
      <c r="F98" s="1029"/>
      <c r="G98" s="1029"/>
      <c r="H98" s="1029"/>
      <c r="I98" s="222"/>
      <c r="J98" s="222"/>
      <c r="K98" s="222"/>
      <c r="L98" s="223"/>
      <c r="M98" s="240"/>
      <c r="N98" s="241" t="b">
        <f>I98=$N$95</f>
        <v>0</v>
      </c>
      <c r="O98" s="242" t="b">
        <f>J98=$N$95</f>
        <v>0</v>
      </c>
      <c r="P98" s="242" t="b">
        <f>K98=$N$95</f>
        <v>0</v>
      </c>
      <c r="Q98" s="182" t="b">
        <f>L98=$N$95</f>
        <v>0</v>
      </c>
      <c r="R98" s="174"/>
    </row>
    <row r="99" spans="1:18" hidden="1">
      <c r="A99" s="515" t="s">
        <v>1173</v>
      </c>
      <c r="B99" s="243"/>
      <c r="C99" s="1048"/>
      <c r="D99" s="1016"/>
      <c r="E99" s="1016"/>
      <c r="F99" s="1016"/>
      <c r="G99" s="1016"/>
      <c r="H99" s="1016"/>
      <c r="I99" s="224" t="s">
        <v>72</v>
      </c>
      <c r="J99" s="224"/>
      <c r="K99" s="224"/>
      <c r="L99" s="225"/>
      <c r="M99" s="240"/>
      <c r="N99" s="216"/>
      <c r="O99" s="217"/>
      <c r="P99" s="217"/>
      <c r="Q99" s="187"/>
      <c r="R99" s="174"/>
    </row>
    <row r="100" spans="1:18" hidden="1">
      <c r="A100" s="515" t="s">
        <v>1174</v>
      </c>
      <c r="B100" s="243"/>
      <c r="C100" s="1048"/>
      <c r="D100" s="1016"/>
      <c r="E100" s="1016"/>
      <c r="F100" s="1016"/>
      <c r="G100" s="1016"/>
      <c r="H100" s="1016"/>
      <c r="I100" s="224"/>
      <c r="J100" s="224"/>
      <c r="K100" s="224"/>
      <c r="L100" s="225"/>
      <c r="M100" s="240"/>
      <c r="N100" s="217"/>
      <c r="O100" s="217"/>
      <c r="P100" s="217"/>
      <c r="Q100" s="187"/>
      <c r="R100" s="174"/>
    </row>
    <row r="101" spans="1:18" hidden="1">
      <c r="A101" s="515" t="s">
        <v>1175</v>
      </c>
      <c r="B101" s="244"/>
      <c r="C101" s="1038"/>
      <c r="D101" s="1026"/>
      <c r="E101" s="1026"/>
      <c r="F101" s="1026"/>
      <c r="G101" s="1026"/>
      <c r="H101" s="1026"/>
      <c r="I101" s="224"/>
      <c r="J101" s="224"/>
      <c r="K101" s="224"/>
      <c r="L101" s="225"/>
      <c r="M101" s="240"/>
      <c r="N101" s="216"/>
      <c r="O101" s="217"/>
      <c r="P101" s="217"/>
      <c r="Q101" s="187"/>
      <c r="R101" s="174"/>
    </row>
    <row r="102" spans="1:18" hidden="1">
      <c r="A102" s="515" t="s">
        <v>1176</v>
      </c>
      <c r="B102" s="244"/>
      <c r="C102" s="1038"/>
      <c r="D102" s="1026"/>
      <c r="E102" s="1026"/>
      <c r="F102" s="1026"/>
      <c r="G102" s="1026"/>
      <c r="H102" s="1026"/>
      <c r="I102" s="224"/>
      <c r="J102" s="224"/>
      <c r="K102" s="224"/>
      <c r="L102" s="225"/>
      <c r="M102" s="240"/>
      <c r="N102" s="216"/>
      <c r="O102" s="217"/>
      <c r="P102" s="217"/>
      <c r="Q102" s="187"/>
      <c r="R102" s="174"/>
    </row>
    <row r="103" spans="1:18" hidden="1">
      <c r="A103" s="515" t="s">
        <v>1177</v>
      </c>
      <c r="B103" s="244"/>
      <c r="C103" s="1038"/>
      <c r="D103" s="1026"/>
      <c r="E103" s="1026"/>
      <c r="F103" s="1026"/>
      <c r="G103" s="1026"/>
      <c r="H103" s="1026"/>
      <c r="I103" s="224"/>
      <c r="J103" s="224"/>
      <c r="K103" s="224"/>
      <c r="L103" s="225"/>
      <c r="M103" s="240"/>
      <c r="N103" s="216"/>
      <c r="O103" s="217"/>
      <c r="P103" s="217"/>
      <c r="Q103" s="187"/>
      <c r="R103" s="174"/>
    </row>
    <row r="104" spans="1:18" hidden="1">
      <c r="A104" s="515" t="s">
        <v>1177</v>
      </c>
      <c r="B104" s="244"/>
      <c r="C104" s="1038"/>
      <c r="D104" s="1026"/>
      <c r="E104" s="1026"/>
      <c r="F104" s="1026"/>
      <c r="G104" s="1026"/>
      <c r="H104" s="1026"/>
      <c r="I104" s="224"/>
      <c r="J104" s="224"/>
      <c r="K104" s="224"/>
      <c r="L104" s="225"/>
      <c r="M104" s="240"/>
      <c r="N104" s="245"/>
      <c r="O104" s="246"/>
      <c r="P104" s="246"/>
      <c r="Q104" s="189"/>
      <c r="R104" s="174"/>
    </row>
    <row r="105" spans="1:18" hidden="1">
      <c r="B105" s="247" t="str">
        <f>Uebersetzung!D345</f>
        <v>Bemerkungen zum externen Nachweis (Art, Beilage, z.B. Hilfskriterien gemäss Anwendungshilfe):</v>
      </c>
      <c r="C105" s="248"/>
      <c r="D105" s="248"/>
      <c r="E105" s="248"/>
      <c r="F105" s="248"/>
      <c r="G105" s="248"/>
      <c r="H105" s="248"/>
      <c r="I105" s="217"/>
      <c r="J105" s="217"/>
      <c r="K105" s="217"/>
      <c r="L105" s="187"/>
      <c r="M105" s="188"/>
      <c r="N105" s="246" t="b">
        <f>AND(N98:N104)</f>
        <v>0</v>
      </c>
      <c r="O105" s="246" t="b">
        <f>AND(O98:O104)</f>
        <v>0</v>
      </c>
      <c r="P105" s="246" t="b">
        <f>AND(P98:P104)</f>
        <v>0</v>
      </c>
      <c r="Q105" s="229" t="b">
        <f>AND(Q98:Q104)</f>
        <v>0</v>
      </c>
      <c r="R105" s="179"/>
    </row>
    <row r="106" spans="1:18" hidden="1">
      <c r="A106" s="515" t="s">
        <v>1832</v>
      </c>
      <c r="B106" s="1054"/>
      <c r="C106" s="1055"/>
      <c r="D106" s="1055"/>
      <c r="E106" s="1055"/>
      <c r="F106" s="1055"/>
      <c r="G106" s="1055"/>
      <c r="H106" s="1055"/>
      <c r="I106" s="1055"/>
      <c r="J106" s="1055"/>
      <c r="K106" s="1055"/>
      <c r="L106" s="1056"/>
      <c r="M106" s="190"/>
      <c r="N106" s="179"/>
      <c r="O106" s="179"/>
      <c r="P106" s="179"/>
      <c r="Q106" s="179"/>
      <c r="R106" s="179"/>
    </row>
    <row r="107" spans="1:18" hidden="1">
      <c r="B107" s="179"/>
      <c r="C107" s="179"/>
      <c r="D107" s="179"/>
      <c r="E107" s="179"/>
      <c r="F107" s="179"/>
      <c r="G107" s="179"/>
      <c r="H107" s="179"/>
      <c r="I107" s="179"/>
      <c r="J107" s="179"/>
      <c r="K107" s="179"/>
      <c r="L107" s="179"/>
      <c r="M107" s="179"/>
      <c r="N107" s="179"/>
      <c r="O107" s="179"/>
      <c r="P107" s="179"/>
      <c r="Q107" s="179"/>
      <c r="R107" s="174"/>
    </row>
    <row r="108" spans="1:18" hidden="1">
      <c r="A108" s="515" t="s">
        <v>1833</v>
      </c>
      <c r="B108" s="233" t="str">
        <f>Uebersetzung!D346</f>
        <v>Variante 3: Externer Nachweis der Kriterien gemäss SIA382/1 (mit Kühlung)</v>
      </c>
      <c r="C108" s="179"/>
      <c r="D108" s="179"/>
      <c r="E108" s="179"/>
      <c r="F108" s="179"/>
      <c r="G108" s="179"/>
      <c r="H108" s="179"/>
      <c r="I108" s="179"/>
      <c r="J108" s="179"/>
      <c r="K108" s="179"/>
      <c r="L108" s="179"/>
      <c r="M108" s="179"/>
      <c r="N108" s="179"/>
      <c r="O108" s="179"/>
      <c r="P108" s="179"/>
      <c r="Q108" s="179"/>
      <c r="R108" s="174"/>
    </row>
    <row r="109" spans="1:18" hidden="1">
      <c r="B109" s="195"/>
      <c r="C109" s="1045" t="str">
        <f>Uebersetzung!D29</f>
        <v>Zone</v>
      </c>
      <c r="D109" s="1045"/>
      <c r="E109" s="1045"/>
      <c r="F109" s="1045"/>
      <c r="G109" s="1045"/>
      <c r="H109" s="1046"/>
      <c r="I109" s="198">
        <v>1</v>
      </c>
      <c r="J109" s="198">
        <v>2</v>
      </c>
      <c r="K109" s="198">
        <v>3</v>
      </c>
      <c r="L109" s="199">
        <v>4</v>
      </c>
      <c r="M109" s="249"/>
      <c r="N109" s="250">
        <v>1</v>
      </c>
      <c r="O109" s="237">
        <v>2</v>
      </c>
      <c r="P109" s="237">
        <v>3</v>
      </c>
      <c r="Q109" s="238">
        <v>4</v>
      </c>
      <c r="R109" s="174"/>
    </row>
    <row r="110" spans="1:18" ht="36" hidden="1" customHeight="1">
      <c r="A110" s="515" t="s">
        <v>1834</v>
      </c>
      <c r="B110" s="1028" t="str">
        <f>Uebersetzung!D347</f>
        <v>Die sommerlichen Raumlufttemperaturen wurden gemäss SIA 382/1, Zif. 4.4.4 berechnet. Die Grenzwertkurve wird ohne Kühlung an weniger als 100 h überschritten.</v>
      </c>
      <c r="C110" s="1029"/>
      <c r="D110" s="1029"/>
      <c r="E110" s="1029"/>
      <c r="F110" s="1029"/>
      <c r="G110" s="1029"/>
      <c r="H110" s="1030"/>
      <c r="I110" s="222"/>
      <c r="J110" s="222"/>
      <c r="K110" s="222"/>
      <c r="L110" s="223"/>
      <c r="M110" s="240"/>
      <c r="N110" s="241" t="b">
        <f t="shared" ref="N110:Q113" si="10">I110=$N$95</f>
        <v>0</v>
      </c>
      <c r="O110" s="242" t="b">
        <f t="shared" si="10"/>
        <v>0</v>
      </c>
      <c r="P110" s="242" t="b">
        <f t="shared" si="10"/>
        <v>0</v>
      </c>
      <c r="Q110" s="182" t="b">
        <f t="shared" si="10"/>
        <v>0</v>
      </c>
      <c r="R110" s="174"/>
    </row>
    <row r="111" spans="1:18" ht="33" hidden="1" customHeight="1">
      <c r="A111" s="515" t="s">
        <v>1835</v>
      </c>
      <c r="B111" s="1015" t="str">
        <f>Uebersetzung!D348</f>
        <v>Die Zone ist gekühlt und der Energiebedarf wurde berechnet. 
Es treten keinen hohen sommerlichen Raumlufttemperaturen auf.</v>
      </c>
      <c r="C111" s="1016"/>
      <c r="D111" s="1016"/>
      <c r="E111" s="1016"/>
      <c r="F111" s="1016"/>
      <c r="G111" s="1016"/>
      <c r="H111" s="1016"/>
      <c r="I111" s="224"/>
      <c r="J111" s="224"/>
      <c r="K111" s="224"/>
      <c r="L111" s="225"/>
      <c r="M111" s="240"/>
      <c r="N111" s="216" t="b">
        <f t="shared" si="10"/>
        <v>0</v>
      </c>
      <c r="O111" s="217" t="b">
        <f t="shared" si="10"/>
        <v>0</v>
      </c>
      <c r="P111" s="217" t="b">
        <f t="shared" si="10"/>
        <v>0</v>
      </c>
      <c r="Q111" s="187" t="b">
        <f t="shared" si="10"/>
        <v>0</v>
      </c>
      <c r="R111" s="174"/>
    </row>
    <row r="112" spans="1:18" hidden="1">
      <c r="A112" s="515" t="s">
        <v>1182</v>
      </c>
      <c r="B112" s="1025"/>
      <c r="C112" s="1026"/>
      <c r="D112" s="1026"/>
      <c r="E112" s="1026"/>
      <c r="F112" s="1026"/>
      <c r="G112" s="1026"/>
      <c r="H112" s="1026"/>
      <c r="I112" s="224"/>
      <c r="J112" s="224"/>
      <c r="K112" s="224"/>
      <c r="L112" s="225"/>
      <c r="M112" s="240"/>
      <c r="N112" s="216" t="b">
        <f t="shared" si="10"/>
        <v>0</v>
      </c>
      <c r="O112" s="217" t="b">
        <f t="shared" si="10"/>
        <v>0</v>
      </c>
      <c r="P112" s="217" t="b">
        <f t="shared" si="10"/>
        <v>0</v>
      </c>
      <c r="Q112" s="187" t="b">
        <f t="shared" si="10"/>
        <v>0</v>
      </c>
      <c r="R112" s="174"/>
    </row>
    <row r="113" spans="1:18" hidden="1">
      <c r="A113" s="515" t="s">
        <v>1183</v>
      </c>
      <c r="B113" s="1049"/>
      <c r="C113" s="1050"/>
      <c r="D113" s="1050"/>
      <c r="E113" s="1050"/>
      <c r="F113" s="1050"/>
      <c r="G113" s="1050"/>
      <c r="H113" s="1050"/>
      <c r="I113" s="251"/>
      <c r="J113" s="251"/>
      <c r="K113" s="251"/>
      <c r="L113" s="252"/>
      <c r="M113" s="253"/>
      <c r="N113" s="245" t="b">
        <f t="shared" si="10"/>
        <v>0</v>
      </c>
      <c r="O113" s="246" t="b">
        <f t="shared" si="10"/>
        <v>0</v>
      </c>
      <c r="P113" s="246" t="b">
        <f t="shared" si="10"/>
        <v>0</v>
      </c>
      <c r="Q113" s="189" t="b">
        <f t="shared" si="10"/>
        <v>0</v>
      </c>
      <c r="R113" s="174"/>
    </row>
    <row r="114" spans="1:18" hidden="1">
      <c r="B114" s="196"/>
      <c r="C114" s="196"/>
      <c r="D114" s="196"/>
      <c r="E114" s="196"/>
      <c r="F114" s="196"/>
      <c r="G114" s="196"/>
      <c r="H114" s="196"/>
      <c r="I114" s="228"/>
      <c r="J114" s="228"/>
      <c r="K114" s="228"/>
      <c r="L114" s="228"/>
      <c r="M114" s="228"/>
      <c r="N114" s="246" t="b">
        <f>OR(N110:N113)</f>
        <v>0</v>
      </c>
      <c r="O114" s="246" t="b">
        <f>OR(O110:O113)</f>
        <v>0</v>
      </c>
      <c r="P114" s="246" t="b">
        <f>OR(P110:P113)</f>
        <v>0</v>
      </c>
      <c r="Q114" s="189" t="b">
        <f>OR(Q110:Q113)</f>
        <v>0</v>
      </c>
      <c r="R114" s="254" t="s">
        <v>1184</v>
      </c>
    </row>
    <row r="115" spans="1:18" ht="41.25" hidden="1" customHeight="1">
      <c r="A115" s="515" t="s">
        <v>1836</v>
      </c>
      <c r="B115" s="1051" t="str">
        <f>Uebersetzung!D349</f>
        <v>Gemäss Deklaration sind Anforderungen an den sommerlichen Wärmeschutz erfüllt.</v>
      </c>
      <c r="C115" s="1052"/>
      <c r="D115" s="1052"/>
      <c r="E115" s="1052"/>
      <c r="F115" s="1052"/>
      <c r="G115" s="1052"/>
      <c r="H115" s="1053"/>
      <c r="I115" s="255" t="e">
        <f>IF(N115,$N95,$N96)</f>
        <v>#REF!</v>
      </c>
      <c r="J115" s="255" t="e">
        <f>IF(O115,$N95,$N96)</f>
        <v>#REF!</v>
      </c>
      <c r="K115" s="255" t="e">
        <f>IF(P115,$N95,$N96)</f>
        <v>#REF!</v>
      </c>
      <c r="L115" s="256" t="e">
        <f>IF(Q115,$N95,$N96)</f>
        <v>#REF!</v>
      </c>
      <c r="M115" s="257"/>
      <c r="N115" s="245" t="e">
        <f>OR(N93,N105,N114)</f>
        <v>#REF!</v>
      </c>
      <c r="O115" s="246" t="e">
        <f>OR(O93,O105,O114)</f>
        <v>#REF!</v>
      </c>
      <c r="P115" s="246" t="e">
        <f>OR(P93,P105,P114)</f>
        <v>#REF!</v>
      </c>
      <c r="Q115" s="189" t="e">
        <f>OR(Q93,Q105,Q114)</f>
        <v>#REF!</v>
      </c>
      <c r="R115" s="258" t="e">
        <f>IF(Zonen&gt;3,AND(N115,O115,P115,Q115),IF(Zonen&gt;2,AND(N115,O115,P115),IF(Zonen&gt;1,AND(N115,O115),N115)))</f>
        <v>#REF!</v>
      </c>
    </row>
    <row r="116" spans="1:18" hidden="1"/>
  </sheetData>
  <sheetProtection algorithmName="SHA-512" hashValue="TDm+5QtnSJObY6Q9qVPe9hEJFBKiPDXxd38nm4NQ5HSNZtsLSI1SRdQlXLpFMIcpq6bmsulzFNBqhmhEy7hHdg==" saltValue="PsmMJJY95vArs2+q5a0efg==" spinCount="100000" sheet="1" objects="1" scenarios="1"/>
  <mergeCells count="97">
    <mergeCell ref="B20:K20"/>
    <mergeCell ref="B30:M30"/>
    <mergeCell ref="L52:M52"/>
    <mergeCell ref="L50:M50"/>
    <mergeCell ref="L49:M49"/>
    <mergeCell ref="L48:M48"/>
    <mergeCell ref="L47:M47"/>
    <mergeCell ref="L46:M46"/>
    <mergeCell ref="L44:M44"/>
    <mergeCell ref="L43:M43"/>
    <mergeCell ref="B39:M39"/>
    <mergeCell ref="B24:J24"/>
    <mergeCell ref="B26:J26"/>
    <mergeCell ref="C34:M34"/>
    <mergeCell ref="B35:M35"/>
    <mergeCell ref="L21:M22"/>
    <mergeCell ref="A81:A82"/>
    <mergeCell ref="B74:L74"/>
    <mergeCell ref="B68:M68"/>
    <mergeCell ref="B66:M66"/>
    <mergeCell ref="B65:M65"/>
    <mergeCell ref="B77:L77"/>
    <mergeCell ref="B78:L78"/>
    <mergeCell ref="B81:H81"/>
    <mergeCell ref="I81:I82"/>
    <mergeCell ref="J81:J82"/>
    <mergeCell ref="K81:K82"/>
    <mergeCell ref="L81:L82"/>
    <mergeCell ref="B82:G82"/>
    <mergeCell ref="B4:M4"/>
    <mergeCell ref="B5:M5"/>
    <mergeCell ref="B6:M6"/>
    <mergeCell ref="B8:M8"/>
    <mergeCell ref="B73:L73"/>
    <mergeCell ref="C11:M11"/>
    <mergeCell ref="B19:I19"/>
    <mergeCell ref="L19:M19"/>
    <mergeCell ref="B27:K27"/>
    <mergeCell ref="B25:K25"/>
    <mergeCell ref="B23:K23"/>
    <mergeCell ref="B21:K21"/>
    <mergeCell ref="B64:M64"/>
    <mergeCell ref="B57:M57"/>
    <mergeCell ref="L53:M53"/>
    <mergeCell ref="K10:M10"/>
    <mergeCell ref="B113:H113"/>
    <mergeCell ref="B115:H115"/>
    <mergeCell ref="C104:H104"/>
    <mergeCell ref="B106:L106"/>
    <mergeCell ref="C109:H109"/>
    <mergeCell ref="B110:H110"/>
    <mergeCell ref="B111:H111"/>
    <mergeCell ref="B112:H112"/>
    <mergeCell ref="C103:H103"/>
    <mergeCell ref="B89:H89"/>
    <mergeCell ref="B90:H90"/>
    <mergeCell ref="B91:H91"/>
    <mergeCell ref="B92:H92"/>
    <mergeCell ref="B93:L93"/>
    <mergeCell ref="C97:H97"/>
    <mergeCell ref="C98:H98"/>
    <mergeCell ref="C99:H99"/>
    <mergeCell ref="C100:H100"/>
    <mergeCell ref="C101:H101"/>
    <mergeCell ref="C102:H102"/>
    <mergeCell ref="B88:H88"/>
    <mergeCell ref="B75:L75"/>
    <mergeCell ref="B76:L76"/>
    <mergeCell ref="B36:K36"/>
    <mergeCell ref="B37:K37"/>
    <mergeCell ref="B83:H83"/>
    <mergeCell ref="B84:H84"/>
    <mergeCell ref="B85:H85"/>
    <mergeCell ref="B86:H86"/>
    <mergeCell ref="B87:H87"/>
    <mergeCell ref="L45:M45"/>
    <mergeCell ref="D53:K53"/>
    <mergeCell ref="L51:M51"/>
    <mergeCell ref="B55:M55"/>
    <mergeCell ref="L36:M36"/>
    <mergeCell ref="L37:M37"/>
    <mergeCell ref="L23:M24"/>
    <mergeCell ref="L25:M26"/>
    <mergeCell ref="L27:M28"/>
    <mergeCell ref="B28:J28"/>
    <mergeCell ref="B22:J22"/>
    <mergeCell ref="AJ11:AJ17"/>
    <mergeCell ref="AL6:AL10"/>
    <mergeCell ref="AM6:AM10"/>
    <mergeCell ref="AN6:AN10"/>
    <mergeCell ref="AO6:AO10"/>
    <mergeCell ref="AK7:AK10"/>
    <mergeCell ref="B13:M13"/>
    <mergeCell ref="B14:M14"/>
    <mergeCell ref="B15:M15"/>
    <mergeCell ref="B16:M16"/>
    <mergeCell ref="B17:M17"/>
  </mergeCells>
  <conditionalFormatting sqref="I115">
    <cfRule type="expression" dxfId="29" priority="40" stopIfTrue="1">
      <formula>$N$115</formula>
    </cfRule>
  </conditionalFormatting>
  <conditionalFormatting sqref="J115">
    <cfRule type="expression" dxfId="28" priority="35" stopIfTrue="1">
      <formula>Zonen&lt;2</formula>
    </cfRule>
    <cfRule type="expression" dxfId="27" priority="41" stopIfTrue="1">
      <formula>$O$115</formula>
    </cfRule>
  </conditionalFormatting>
  <conditionalFormatting sqref="K115">
    <cfRule type="expression" dxfId="26" priority="34">
      <formula>Zonen&lt;3</formula>
    </cfRule>
    <cfRule type="expression" dxfId="25" priority="42" stopIfTrue="1">
      <formula>$P$115</formula>
    </cfRule>
  </conditionalFormatting>
  <conditionalFormatting sqref="L115">
    <cfRule type="expression" dxfId="24" priority="33">
      <formula>Zonen&lt;4</formula>
    </cfRule>
    <cfRule type="expression" dxfId="23" priority="43" stopIfTrue="1">
      <formula>$Q$115</formula>
    </cfRule>
  </conditionalFormatting>
  <conditionalFormatting sqref="I98:I104 I110:I113 I83:I92">
    <cfRule type="expression" dxfId="22" priority="44" stopIfTrue="1">
      <formula>Zonen&gt;0</formula>
    </cfRule>
  </conditionalFormatting>
  <conditionalFormatting sqref="J98:J104 J110:J113 J83:J89">
    <cfRule type="expression" dxfId="21" priority="45" stopIfTrue="1">
      <formula>Zonen&gt;1</formula>
    </cfRule>
  </conditionalFormatting>
  <conditionalFormatting sqref="K98:K104 K110:K113 K83:K89">
    <cfRule type="expression" dxfId="20" priority="46" stopIfTrue="1">
      <formula>Zonen&gt;2</formula>
    </cfRule>
  </conditionalFormatting>
  <conditionalFormatting sqref="L98:L104 L110:L113 L83:L89">
    <cfRule type="expression" dxfId="19" priority="47" stopIfTrue="1">
      <formula>Zonen&gt;3</formula>
    </cfRule>
  </conditionalFormatting>
  <conditionalFormatting sqref="I81">
    <cfRule type="expression" dxfId="18" priority="39" stopIfTrue="1">
      <formula>Zonen&gt;0</formula>
    </cfRule>
  </conditionalFormatting>
  <conditionalFormatting sqref="J81">
    <cfRule type="expression" dxfId="17" priority="38" stopIfTrue="1">
      <formula>Zonen&gt;1</formula>
    </cfRule>
  </conditionalFormatting>
  <conditionalFormatting sqref="K81">
    <cfRule type="expression" dxfId="16" priority="37" stopIfTrue="1">
      <formula>Zonen&gt;2</formula>
    </cfRule>
  </conditionalFormatting>
  <conditionalFormatting sqref="L81">
    <cfRule type="expression" dxfId="15" priority="36" stopIfTrue="1">
      <formula>Zonen&gt;3</formula>
    </cfRule>
  </conditionalFormatting>
  <conditionalFormatting sqref="J90:L92">
    <cfRule type="expression" dxfId="14" priority="32" stopIfTrue="1">
      <formula>Zonen&gt;0</formula>
    </cfRule>
  </conditionalFormatting>
  <conditionalFormatting sqref="D53">
    <cfRule type="expression" dxfId="13" priority="585">
      <formula>$L$53=$R$10</formula>
    </cfRule>
  </conditionalFormatting>
  <conditionalFormatting sqref="K10:M10">
    <cfRule type="expression" dxfId="12" priority="10">
      <formula>$Q$29=FALSE</formula>
    </cfRule>
    <cfRule type="expression" dxfId="11" priority="11">
      <formula>$Q$29</formula>
    </cfRule>
  </conditionalFormatting>
  <conditionalFormatting sqref="I40:I41">
    <cfRule type="expression" dxfId="10" priority="2" stopIfTrue="1">
      <formula>Zonen&gt;0</formula>
    </cfRule>
  </conditionalFormatting>
  <conditionalFormatting sqref="J40:J41">
    <cfRule type="expression" dxfId="9" priority="3" stopIfTrue="1">
      <formula>Zonen&gt;1</formula>
    </cfRule>
  </conditionalFormatting>
  <conditionalFormatting sqref="K40:K41">
    <cfRule type="expression" dxfId="8" priority="4" stopIfTrue="1">
      <formula>Zonen&gt;2</formula>
    </cfRule>
  </conditionalFormatting>
  <conditionalFormatting sqref="L36:L37 L40:L41">
    <cfRule type="expression" dxfId="7" priority="5" stopIfTrue="1">
      <formula>Zonen&gt;3</formula>
    </cfRule>
  </conditionalFormatting>
  <conditionalFormatting sqref="B20:K20">
    <cfRule type="expression" dxfId="6" priority="1">
      <formula>$T$13=1</formula>
    </cfRule>
  </conditionalFormatting>
  <dataValidations count="10">
    <dataValidation type="list" allowBlank="1" showInputMessage="1" showErrorMessage="1" sqref="I81:L81" xr:uid="{00000000-0002-0000-0100-000000000000}">
      <formula1>$P$74:$P$77</formula1>
    </dataValidation>
    <dataValidation type="list" allowBlank="1" showInputMessage="1" showErrorMessage="1" sqref="I87:L92" xr:uid="{00000000-0002-0000-0100-000001000000}">
      <formula1>$O$74:$O$76</formula1>
    </dataValidation>
    <dataValidation type="list" allowBlank="1" showInputMessage="1" showErrorMessage="1" sqref="I86:L86" xr:uid="{00000000-0002-0000-0100-000002000000}">
      <formula1>$N$74:$N$75</formula1>
    </dataValidation>
    <dataValidation type="list" allowBlank="1" showInputMessage="1" showErrorMessage="1" sqref="I110:L113" xr:uid="{00000000-0002-0000-0100-000003000000}">
      <formula1>$N$94:$N$96</formula1>
    </dataValidation>
    <dataValidation type="list" allowBlank="1" showInputMessage="1" showErrorMessage="1" sqref="I83:L85" xr:uid="{00000000-0002-0000-0100-000004000000}">
      <formula1>$N$74:$N$76</formula1>
    </dataValidation>
    <dataValidation type="list" allowBlank="1" showInputMessage="1" showErrorMessage="1" sqref="I98:L104" xr:uid="{00000000-0002-0000-0100-000005000000}">
      <formula1>$N$95:$N$96</formula1>
    </dataValidation>
    <dataValidation type="list" allowBlank="1" showInputMessage="1" showErrorMessage="1" sqref="L19" xr:uid="{00000000-0002-0000-0100-000006000000}">
      <formula1>$S$10:$S$13</formula1>
    </dataValidation>
    <dataValidation type="list" allowBlank="1" showInputMessage="1" showErrorMessage="1" sqref="L21 L23 L25 L27" xr:uid="{00000000-0002-0000-0100-000007000000}">
      <formula1>$R$10:$R$12</formula1>
    </dataValidation>
    <dataValidation type="list" allowBlank="1" showInputMessage="1" showErrorMessage="1" sqref="I46:I51 L43:L53" xr:uid="{00000000-0002-0000-0100-000008000000}">
      <formula1>$R$10:$R$11</formula1>
    </dataValidation>
    <dataValidation type="list" allowBlank="1" showInputMessage="1" showErrorMessage="1" sqref="L36:L37" xr:uid="{00000000-0002-0000-0100-000009000000}">
      <formula1>$O$32:$O$33</formula1>
    </dataValidation>
  </dataValidations>
  <pageMargins left="0.39370078740157483" right="0.31496062992125984" top="0.35433070866141736" bottom="0.23622047244094491" header="0.35433070866141736" footer="0.23622047244094491"/>
  <pageSetup paperSize="9" scale="88" fitToHeight="0" orientation="portrait" r:id="rId1"/>
  <headerFooter>
    <oddFooter>&amp;L&amp;8&amp;F / &amp;A / &amp;D, &amp;T</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9" id="{F4A176B1-ED4D-431A-8436-B26FA06F20D1}">
            <xm:f>$B$52=Uebersetzung!$D$623</xm:f>
            <x14:dxf>
              <fill>
                <patternFill>
                  <bgColor rgb="FFEEFFDD"/>
                </patternFill>
              </fill>
            </x14:dxf>
          </x14:cfRule>
          <xm:sqref>L52</xm:sqref>
        </x14:conditionalFormatting>
        <x14:conditionalFormatting xmlns:xm="http://schemas.microsoft.com/office/excel/2006/main">
          <x14:cfRule type="expression" priority="599" id="{98A0FFC4-937D-4660-B1B7-B5D597D6AB98}">
            <xm:f>$B$55=Uebersetzung!D618</xm:f>
            <x14:dxf>
              <fill>
                <patternFill>
                  <bgColor rgb="FFFF0000"/>
                </patternFill>
              </fill>
            </x14:dxf>
          </x14:cfRule>
          <x14:cfRule type="expression" priority="600" id="{64454AC6-02F9-43F9-84DA-429A44B7A6A7}">
            <xm:f>$B$55=Uebersetzung!D617</xm:f>
            <x14:dxf>
              <fill>
                <patternFill>
                  <bgColor rgb="FF92D050"/>
                </patternFill>
              </fill>
            </x14:dxf>
          </x14:cfRule>
          <xm:sqref>B55</xm:sqref>
        </x14:conditionalFormatting>
        <x14:conditionalFormatting xmlns:xm="http://schemas.microsoft.com/office/excel/2006/main">
          <x14:cfRule type="expression" priority="8" id="{060B999B-D5DB-4900-8845-423283B13391}">
            <xm:f>$B$57=Uebersetzung!D631</xm:f>
            <x14:dxf>
              <fill>
                <patternFill>
                  <bgColor rgb="FFFF0000"/>
                </patternFill>
              </fill>
            </x14:dxf>
          </x14:cfRule>
          <xm:sqref>B57</xm:sqref>
        </x14:conditionalFormatting>
        <x14:conditionalFormatting xmlns:xm="http://schemas.microsoft.com/office/excel/2006/main">
          <x14:cfRule type="expression" priority="7" id="{D1C867A8-54E2-463B-AFBE-6C0F2F273498}">
            <xm:f>$B$43=Uebersetzung!$D$593</xm:f>
            <x14:dxf>
              <fill>
                <patternFill>
                  <bgColor rgb="FFEEFFDD"/>
                </patternFill>
              </fill>
            </x14:dxf>
          </x14:cfRule>
          <xm:sqref>L43:M43</xm:sqref>
        </x14:conditionalFormatting>
        <x14:conditionalFormatting xmlns:xm="http://schemas.microsoft.com/office/excel/2006/main">
          <x14:cfRule type="expression" priority="6" id="{1470177E-F44E-4026-85C0-8D780AA86824}">
            <xm:f>$B$44=Uebersetzung!$D$594</xm:f>
            <x14:dxf>
              <fill>
                <patternFill>
                  <bgColor rgb="FFEEFFDD"/>
                </patternFill>
              </fill>
            </x14:dxf>
          </x14:cfRule>
          <xm:sqref>L44:M44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I1000"/>
  <sheetViews>
    <sheetView zoomScale="90" zoomScaleNormal="90" workbookViewId="0">
      <pane xSplit="1" topLeftCell="B1" activePane="topRight" state="frozen"/>
      <selection activeCell="A294" sqref="A294"/>
      <selection pane="topRight" activeCell="C1" sqref="C1"/>
    </sheetView>
  </sheetViews>
  <sheetFormatPr baseColWidth="10" defaultColWidth="11.5703125" defaultRowHeight="25.9" customHeight="1"/>
  <cols>
    <col min="1" max="1" width="6.85546875" style="63" customWidth="1"/>
    <col min="2" max="2" width="12.7109375" style="139" customWidth="1"/>
    <col min="3" max="3" width="12.140625" style="139" customWidth="1"/>
    <col min="4" max="4" width="46.28515625" style="63" customWidth="1"/>
    <col min="5" max="5" width="51.28515625" style="64" customWidth="1"/>
    <col min="6" max="6" width="46.28515625" style="115" customWidth="1"/>
    <col min="7" max="7" width="46.28515625" style="65" customWidth="1"/>
    <col min="8" max="16384" width="11.5703125" style="66"/>
  </cols>
  <sheetData>
    <row r="1" spans="1:9" s="58" customFormat="1" ht="25.9" customHeight="1">
      <c r="A1" s="109">
        <f>VLOOKUP(C1,H1:I3,2)</f>
        <v>1</v>
      </c>
      <c r="B1" s="138" t="s">
        <v>399</v>
      </c>
      <c r="C1" s="143" t="s">
        <v>75</v>
      </c>
      <c r="D1" s="55"/>
      <c r="E1" s="56" t="s">
        <v>78</v>
      </c>
      <c r="F1" s="114"/>
      <c r="G1" s="57"/>
      <c r="H1" s="66" t="str">
        <f>E3</f>
        <v>deutsch</v>
      </c>
      <c r="I1" s="110">
        <v>1</v>
      </c>
    </row>
    <row r="2" spans="1:9" ht="34.5" customHeight="1">
      <c r="A2" s="389">
        <v>7</v>
      </c>
      <c r="B2" s="386"/>
      <c r="C2" s="388">
        <v>2017</v>
      </c>
      <c r="D2" s="387" t="s">
        <v>1372</v>
      </c>
      <c r="H2" s="66" t="str">
        <f>F3</f>
        <v>französisch</v>
      </c>
      <c r="I2" s="110">
        <v>2</v>
      </c>
    </row>
    <row r="3" spans="1:9" s="62" customFormat="1" ht="25.9" customHeight="1">
      <c r="A3" s="59"/>
      <c r="B3" s="140" t="s">
        <v>312</v>
      </c>
      <c r="C3" s="140" t="s">
        <v>313</v>
      </c>
      <c r="D3" s="59" t="s">
        <v>336</v>
      </c>
      <c r="E3" s="60" t="s">
        <v>75</v>
      </c>
      <c r="F3" s="116" t="s">
        <v>76</v>
      </c>
      <c r="G3" s="61" t="s">
        <v>77</v>
      </c>
      <c r="H3" s="66" t="str">
        <f>G3</f>
        <v>italienisch</v>
      </c>
      <c r="I3" s="110">
        <v>3</v>
      </c>
    </row>
    <row r="4" spans="1:9" ht="25.9" customHeight="1">
      <c r="A4" s="63">
        <v>1</v>
      </c>
      <c r="B4" s="139" t="s">
        <v>21</v>
      </c>
      <c r="C4" s="139" t="s">
        <v>641</v>
      </c>
      <c r="D4" s="111" t="str">
        <f>INDEX($E$4:$G$503,$A4,$A$1)</f>
        <v>v1.31</v>
      </c>
      <c r="E4" s="433" t="s">
        <v>1941</v>
      </c>
      <c r="F4" s="115" t="str">
        <f>E4</f>
        <v>v1.31</v>
      </c>
      <c r="G4" s="65" t="str">
        <f>E4</f>
        <v>v1.31</v>
      </c>
    </row>
    <row r="5" spans="1:9" ht="25.9" customHeight="1">
      <c r="A5" s="63">
        <v>2</v>
      </c>
      <c r="B5" s="139" t="s">
        <v>21</v>
      </c>
      <c r="C5" s="139" t="s">
        <v>401</v>
      </c>
      <c r="D5" s="111" t="str">
        <f t="shared" ref="D5:D68" si="0">INDEX($E$4:$G$503,$A5,$A$1)</f>
        <v>Formular EN101b, v1.31, zu verwenden bis 31. Dezember 2017</v>
      </c>
      <c r="E5" s="73" t="str">
        <f>"Formular EN101b, "&amp;E4&amp;", zu verwenden bis 31. Dezember 2017"</f>
        <v>Formular EN101b, v1.31, zu verwenden bis 31. Dezember 2017</v>
      </c>
      <c r="F5" s="115" t="str">
        <f>"Formulaire EN101b, "&amp;E4&amp;", à utiliser jusqu'au 31. décembre 2017"</f>
        <v>Formulaire EN101b, v1.31, à utiliser jusqu'au 31. décembre 2017</v>
      </c>
      <c r="G5" s="65" t="str">
        <f>"Formulario EN101b, "&amp;E4&amp;", da utilizzare fino al 31.12.2017"</f>
        <v>Formulario EN101b, v1.31, da utilizzare fino al 31.12.2017</v>
      </c>
    </row>
    <row r="6" spans="1:9" ht="25.9" customHeight="1">
      <c r="A6" s="63">
        <v>3</v>
      </c>
      <c r="B6" s="139" t="s">
        <v>21</v>
      </c>
      <c r="C6" s="139" t="s">
        <v>402</v>
      </c>
      <c r="D6" s="111" t="str">
        <f t="shared" si="0"/>
        <v>Energienachweis</v>
      </c>
      <c r="E6" s="64" t="s">
        <v>354</v>
      </c>
      <c r="F6" s="115" t="s">
        <v>924</v>
      </c>
      <c r="G6" s="65" t="s">
        <v>663</v>
      </c>
    </row>
    <row r="7" spans="1:9" ht="25.9" customHeight="1">
      <c r="A7" s="63">
        <v>4</v>
      </c>
      <c r="B7" s="139" t="s">
        <v>21</v>
      </c>
      <c r="C7" s="139" t="s">
        <v>403</v>
      </c>
      <c r="D7" s="111" t="str">
        <f t="shared" si="0"/>
        <v>Energiebedarf</v>
      </c>
      <c r="E7" s="64" t="s">
        <v>1129</v>
      </c>
      <c r="F7" s="115" t="s">
        <v>1130</v>
      </c>
      <c r="G7" s="65" t="s">
        <v>1131</v>
      </c>
    </row>
    <row r="8" spans="1:9" ht="25.9" customHeight="1">
      <c r="A8" s="63">
        <v>5</v>
      </c>
      <c r="B8" s="139" t="s">
        <v>21</v>
      </c>
      <c r="C8" s="139" t="s">
        <v>404</v>
      </c>
      <c r="D8" s="111" t="str">
        <f t="shared" si="0"/>
        <v>Rechnerische Lösung</v>
      </c>
      <c r="E8" s="64" t="s">
        <v>355</v>
      </c>
      <c r="F8" s="115" t="s">
        <v>925</v>
      </c>
      <c r="G8" s="65" t="s">
        <v>664</v>
      </c>
    </row>
    <row r="9" spans="1:9" ht="25.9" customHeight="1">
      <c r="A9" s="63">
        <v>6</v>
      </c>
      <c r="B9" s="139" t="s">
        <v>21</v>
      </c>
      <c r="C9" s="139" t="s">
        <v>405</v>
      </c>
      <c r="D9" s="111" t="str">
        <f t="shared" si="0"/>
        <v xml:space="preserve">Gemeinde:             </v>
      </c>
      <c r="E9" s="64" t="s">
        <v>376</v>
      </c>
      <c r="F9" s="115" t="s">
        <v>926</v>
      </c>
      <c r="G9" s="65" t="s">
        <v>665</v>
      </c>
    </row>
    <row r="10" spans="1:9" ht="26.1" customHeight="1">
      <c r="A10" s="63">
        <v>7</v>
      </c>
      <c r="B10" s="139" t="s">
        <v>21</v>
      </c>
      <c r="C10" s="139" t="s">
        <v>651</v>
      </c>
      <c r="D10" s="111" t="str">
        <f t="shared" si="0"/>
        <v xml:space="preserve">Parz.-Nr.:  </v>
      </c>
      <c r="E10" s="64" t="s">
        <v>379</v>
      </c>
      <c r="F10" s="115" t="s">
        <v>927</v>
      </c>
      <c r="G10" s="65" t="s">
        <v>666</v>
      </c>
    </row>
    <row r="11" spans="1:9" ht="26.1" customHeight="1">
      <c r="A11" s="63">
        <v>8</v>
      </c>
      <c r="B11" s="139" t="s">
        <v>21</v>
      </c>
      <c r="C11" s="139" t="s">
        <v>609</v>
      </c>
      <c r="D11" s="111" t="str">
        <f t="shared" si="0"/>
        <v xml:space="preserve">Geb.-Nr.:  </v>
      </c>
      <c r="E11" s="64" t="s">
        <v>378</v>
      </c>
      <c r="F11" s="115" t="s">
        <v>928</v>
      </c>
      <c r="G11" s="65" t="s">
        <v>667</v>
      </c>
    </row>
    <row r="12" spans="1:9" ht="26.1" customHeight="1">
      <c r="A12" s="63">
        <v>9</v>
      </c>
      <c r="B12" s="139" t="s">
        <v>21</v>
      </c>
      <c r="C12" s="139" t="s">
        <v>398</v>
      </c>
      <c r="D12" s="111" t="str">
        <f t="shared" si="0"/>
        <v>Kanton:</v>
      </c>
      <c r="E12" s="76" t="s">
        <v>311</v>
      </c>
      <c r="F12" s="117" t="s">
        <v>397</v>
      </c>
      <c r="G12" s="65" t="s">
        <v>668</v>
      </c>
    </row>
    <row r="13" spans="1:9" ht="26.1" customHeight="1">
      <c r="A13" s="63">
        <v>10</v>
      </c>
      <c r="B13" s="139" t="s">
        <v>21</v>
      </c>
      <c r="C13" s="139" t="s">
        <v>408</v>
      </c>
      <c r="D13" s="111" t="str">
        <f t="shared" si="0"/>
        <v xml:space="preserve">Bauvorhaben:            </v>
      </c>
      <c r="E13" s="64" t="s">
        <v>377</v>
      </c>
      <c r="F13" s="115" t="s">
        <v>929</v>
      </c>
      <c r="G13" s="65" t="s">
        <v>669</v>
      </c>
    </row>
    <row r="14" spans="1:9" ht="26.1" customHeight="1">
      <c r="A14" s="63">
        <v>11</v>
      </c>
      <c r="B14" s="139" t="s">
        <v>21</v>
      </c>
      <c r="C14" s="139" t="s">
        <v>409</v>
      </c>
      <c r="D14" s="111" t="str">
        <f t="shared" si="0"/>
        <v>Gebäudedaten</v>
      </c>
      <c r="E14" s="64" t="s">
        <v>234</v>
      </c>
      <c r="F14" s="115" t="s">
        <v>930</v>
      </c>
      <c r="G14" s="65" t="s">
        <v>670</v>
      </c>
    </row>
    <row r="15" spans="1:9" ht="26.1" customHeight="1">
      <c r="A15" s="63">
        <v>12</v>
      </c>
      <c r="B15" s="139" t="s">
        <v>21</v>
      </c>
      <c r="C15" s="139" t="s">
        <v>193</v>
      </c>
      <c r="D15" s="111" t="str">
        <f t="shared" si="0"/>
        <v xml:space="preserve">Gebäudestandort: </v>
      </c>
      <c r="E15" s="64" t="s">
        <v>390</v>
      </c>
      <c r="F15" s="115" t="s">
        <v>931</v>
      </c>
      <c r="G15" s="65" t="s">
        <v>671</v>
      </c>
    </row>
    <row r="16" spans="1:9" s="123" customFormat="1" ht="26.1" customHeight="1">
      <c r="A16" s="63">
        <v>13</v>
      </c>
      <c r="B16" s="139" t="s">
        <v>21</v>
      </c>
      <c r="C16" s="139" t="s">
        <v>411</v>
      </c>
      <c r="D16" s="111" t="str">
        <f t="shared" si="0"/>
        <v>m.ü.M.</v>
      </c>
      <c r="E16" s="120" t="s">
        <v>134</v>
      </c>
      <c r="F16" s="121" t="s">
        <v>932</v>
      </c>
      <c r="G16" s="122" t="s">
        <v>672</v>
      </c>
    </row>
    <row r="17" spans="1:7" ht="26.1" customHeight="1">
      <c r="A17" s="63">
        <v>14</v>
      </c>
      <c r="B17" s="139" t="s">
        <v>21</v>
      </c>
      <c r="C17" s="139" t="s">
        <v>224</v>
      </c>
      <c r="D17" s="111" t="str">
        <f t="shared" si="0"/>
        <v>( aus SIA 380/1 )</v>
      </c>
      <c r="E17" s="64" t="s">
        <v>387</v>
      </c>
      <c r="F17" s="115" t="s">
        <v>933</v>
      </c>
      <c r="G17" s="65" t="s">
        <v>673</v>
      </c>
    </row>
    <row r="18" spans="1:7" ht="26.1" customHeight="1">
      <c r="A18" s="63">
        <v>15</v>
      </c>
      <c r="B18" s="139" t="s">
        <v>21</v>
      </c>
      <c r="C18" s="139" t="s">
        <v>410</v>
      </c>
      <c r="D18" s="111" t="str">
        <f t="shared" si="0"/>
        <v xml:space="preserve">Art des Nachweises: </v>
      </c>
      <c r="E18" s="64" t="s">
        <v>391</v>
      </c>
      <c r="F18" s="115" t="s">
        <v>934</v>
      </c>
      <c r="G18" s="65" t="s">
        <v>674</v>
      </c>
    </row>
    <row r="19" spans="1:7" ht="26.1" customHeight="1">
      <c r="A19" s="63">
        <v>16</v>
      </c>
      <c r="B19" s="139" t="s">
        <v>314</v>
      </c>
      <c r="C19" s="139" t="s">
        <v>415</v>
      </c>
      <c r="D19" s="111" t="str">
        <f t="shared" si="0"/>
        <v>behördlicher Nachweis</v>
      </c>
      <c r="E19" s="64" t="s">
        <v>388</v>
      </c>
      <c r="F19" s="115" t="s">
        <v>935</v>
      </c>
      <c r="G19" s="65" t="s">
        <v>675</v>
      </c>
    </row>
    <row r="20" spans="1:7" ht="26.1" customHeight="1">
      <c r="A20" s="63">
        <v>17</v>
      </c>
      <c r="B20" s="139" t="s">
        <v>314</v>
      </c>
      <c r="C20" s="139" t="s">
        <v>416</v>
      </c>
      <c r="D20" s="111" t="str">
        <f t="shared" si="0"/>
        <v>MINERGIE</v>
      </c>
      <c r="E20" s="64" t="s">
        <v>154</v>
      </c>
      <c r="F20" s="115" t="s">
        <v>154</v>
      </c>
      <c r="G20" s="65" t="s">
        <v>154</v>
      </c>
    </row>
    <row r="21" spans="1:7" ht="26.1" customHeight="1">
      <c r="A21" s="63">
        <v>18</v>
      </c>
      <c r="B21" s="139" t="s">
        <v>314</v>
      </c>
      <c r="C21" s="139" t="s">
        <v>417</v>
      </c>
      <c r="D21" s="111" t="str">
        <f t="shared" si="0"/>
        <v>MINERGIE-P</v>
      </c>
      <c r="E21" s="64" t="s">
        <v>326</v>
      </c>
      <c r="F21" s="115" t="s">
        <v>326</v>
      </c>
      <c r="G21" s="65" t="s">
        <v>326</v>
      </c>
    </row>
    <row r="22" spans="1:7" ht="26.1" customHeight="1">
      <c r="A22" s="63">
        <v>19</v>
      </c>
      <c r="B22" s="139" t="s">
        <v>314</v>
      </c>
      <c r="C22" s="139" t="s">
        <v>418</v>
      </c>
      <c r="D22" s="111" t="str">
        <f t="shared" si="0"/>
        <v>MINERGIE-A</v>
      </c>
      <c r="E22" s="64" t="s">
        <v>389</v>
      </c>
      <c r="F22" s="115" t="s">
        <v>389</v>
      </c>
      <c r="G22" s="65" t="s">
        <v>389</v>
      </c>
    </row>
    <row r="23" spans="1:7" ht="26.1" customHeight="1">
      <c r="A23" s="63">
        <v>20</v>
      </c>
      <c r="B23" s="139" t="s">
        <v>154</v>
      </c>
      <c r="C23" s="139" t="s">
        <v>1272</v>
      </c>
      <c r="D23" s="111" t="str">
        <f t="shared" si="0"/>
        <v>erfüllt</v>
      </c>
      <c r="E23" s="64" t="s">
        <v>329</v>
      </c>
      <c r="F23" s="115" t="s">
        <v>936</v>
      </c>
      <c r="G23" s="65" t="s">
        <v>676</v>
      </c>
    </row>
    <row r="24" spans="1:7" ht="26.1" customHeight="1">
      <c r="A24" s="63">
        <v>21</v>
      </c>
      <c r="B24" s="139" t="s">
        <v>154</v>
      </c>
      <c r="C24" s="139" t="s">
        <v>1273</v>
      </c>
      <c r="D24" s="111" t="str">
        <f t="shared" si="0"/>
        <v>nicht erfüllt</v>
      </c>
      <c r="E24" s="64" t="s">
        <v>330</v>
      </c>
      <c r="F24" s="115" t="s">
        <v>937</v>
      </c>
      <c r="G24" s="65" t="s">
        <v>677</v>
      </c>
    </row>
    <row r="25" spans="1:7" ht="26.1" customHeight="1">
      <c r="A25" s="63">
        <v>22</v>
      </c>
      <c r="B25" s="139" t="s">
        <v>314</v>
      </c>
      <c r="C25" s="139" t="s">
        <v>419</v>
      </c>
      <c r="D25" s="111" t="str">
        <f t="shared" si="0"/>
        <v>Ja</v>
      </c>
      <c r="E25" s="64" t="s">
        <v>71</v>
      </c>
      <c r="F25" s="115" t="s">
        <v>167</v>
      </c>
      <c r="G25" s="65" t="s">
        <v>678</v>
      </c>
    </row>
    <row r="26" spans="1:7" ht="26.1" customHeight="1">
      <c r="A26" s="63">
        <v>23</v>
      </c>
      <c r="B26" s="139" t="s">
        <v>314</v>
      </c>
      <c r="C26" s="139" t="s">
        <v>420</v>
      </c>
      <c r="D26" s="111" t="str">
        <f t="shared" si="0"/>
        <v>Nein</v>
      </c>
      <c r="E26" s="118" t="s">
        <v>72</v>
      </c>
      <c r="F26" s="119" t="s">
        <v>168</v>
      </c>
      <c r="G26" s="65" t="s">
        <v>679</v>
      </c>
    </row>
    <row r="27" spans="1:7" ht="26.1" customHeight="1">
      <c r="A27" s="63">
        <v>24</v>
      </c>
      <c r="B27" s="139" t="s">
        <v>1186</v>
      </c>
      <c r="C27" s="139" t="s">
        <v>201</v>
      </c>
      <c r="D27" s="111" t="str">
        <f t="shared" si="0"/>
        <v>n.a.</v>
      </c>
      <c r="E27" s="64" t="s">
        <v>116</v>
      </c>
      <c r="F27" s="115" t="s">
        <v>116</v>
      </c>
      <c r="G27" s="65" t="s">
        <v>116</v>
      </c>
    </row>
    <row r="28" spans="1:7" ht="26.1" customHeight="1">
      <c r="A28" s="63">
        <v>25</v>
      </c>
      <c r="B28" s="139" t="s">
        <v>21</v>
      </c>
      <c r="C28" s="139" t="s">
        <v>407</v>
      </c>
      <c r="D28" s="111" t="str">
        <f t="shared" si="0"/>
        <v>Klimastation:</v>
      </c>
      <c r="E28" s="64" t="s">
        <v>344</v>
      </c>
      <c r="F28" s="115" t="s">
        <v>938</v>
      </c>
      <c r="G28" s="65" t="s">
        <v>680</v>
      </c>
    </row>
    <row r="29" spans="1:7" ht="26.1" customHeight="1">
      <c r="A29" s="63">
        <v>26</v>
      </c>
      <c r="B29" s="139" t="s">
        <v>21</v>
      </c>
      <c r="C29" s="139" t="s">
        <v>422</v>
      </c>
      <c r="D29" s="111" t="str">
        <f t="shared" si="0"/>
        <v>Zone</v>
      </c>
      <c r="E29" s="64" t="s">
        <v>153</v>
      </c>
      <c r="F29" s="115" t="s">
        <v>153</v>
      </c>
      <c r="G29" s="65" t="s">
        <v>153</v>
      </c>
    </row>
    <row r="30" spans="1:7" ht="26.1" customHeight="1">
      <c r="A30" s="63">
        <v>27</v>
      </c>
      <c r="B30" s="139" t="s">
        <v>21</v>
      </c>
      <c r="C30" s="139" t="s">
        <v>423</v>
      </c>
      <c r="D30" s="111" t="str">
        <f t="shared" si="0"/>
        <v>Summe</v>
      </c>
      <c r="E30" s="64" t="s">
        <v>235</v>
      </c>
      <c r="F30" s="115" t="s">
        <v>939</v>
      </c>
      <c r="G30" s="65" t="s">
        <v>681</v>
      </c>
    </row>
    <row r="31" spans="1:7" ht="26.1" customHeight="1">
      <c r="A31" s="63">
        <v>28</v>
      </c>
      <c r="B31" s="139" t="s">
        <v>21</v>
      </c>
      <c r="C31" s="139" t="s">
        <v>413</v>
      </c>
      <c r="D31" s="111" t="str">
        <f t="shared" si="0"/>
        <v>Gebäudekategorie</v>
      </c>
      <c r="E31" s="64" t="s">
        <v>169</v>
      </c>
      <c r="F31" s="115" t="s">
        <v>940</v>
      </c>
      <c r="G31" s="65" t="s">
        <v>682</v>
      </c>
    </row>
    <row r="32" spans="1:7" ht="26.1" customHeight="1">
      <c r="A32" s="63">
        <v>29</v>
      </c>
      <c r="B32" s="139" t="s">
        <v>21</v>
      </c>
      <c r="C32" s="139" t="s">
        <v>414</v>
      </c>
      <c r="D32" s="111" t="str">
        <f t="shared" si="0"/>
        <v>Mit Warmwasser ?</v>
      </c>
      <c r="E32" s="64" t="s">
        <v>181</v>
      </c>
      <c r="F32" s="115" t="s">
        <v>941</v>
      </c>
      <c r="G32" s="65" t="s">
        <v>683</v>
      </c>
    </row>
    <row r="33" spans="1:7" ht="26.1" customHeight="1">
      <c r="A33" s="63">
        <v>30</v>
      </c>
      <c r="B33" s="139" t="s">
        <v>21</v>
      </c>
      <c r="C33" s="139" t="s">
        <v>233</v>
      </c>
      <c r="D33" s="111" t="str">
        <f t="shared" si="0"/>
        <v>Energiebezugsfläche EBF</v>
      </c>
      <c r="E33" s="64" t="s">
        <v>79</v>
      </c>
      <c r="F33" s="115" t="s">
        <v>942</v>
      </c>
      <c r="G33" s="65" t="s">
        <v>684</v>
      </c>
    </row>
    <row r="34" spans="1:7" ht="26.1" customHeight="1">
      <c r="A34" s="63">
        <v>31</v>
      </c>
      <c r="B34" s="139" t="s">
        <v>21</v>
      </c>
      <c r="C34" s="139" t="s">
        <v>268</v>
      </c>
      <c r="D34" s="111" t="str">
        <f t="shared" si="0"/>
        <v>Neubau</v>
      </c>
      <c r="E34" s="64" t="s">
        <v>325</v>
      </c>
      <c r="F34" s="115" t="s">
        <v>943</v>
      </c>
      <c r="G34" s="65" t="s">
        <v>685</v>
      </c>
    </row>
    <row r="35" spans="1:7" ht="26.1" customHeight="1">
      <c r="A35" s="63">
        <v>32</v>
      </c>
      <c r="B35" s="139" t="s">
        <v>21</v>
      </c>
      <c r="C35" s="139" t="s">
        <v>424</v>
      </c>
      <c r="D35" s="111" t="str">
        <f t="shared" si="0"/>
        <v>(Mittel)</v>
      </c>
      <c r="E35" s="64" t="s">
        <v>237</v>
      </c>
      <c r="F35" s="115" t="s">
        <v>944</v>
      </c>
      <c r="G35" s="65" t="s">
        <v>686</v>
      </c>
    </row>
    <row r="36" spans="1:7" ht="26.1" customHeight="1">
      <c r="A36" s="63">
        <v>33</v>
      </c>
      <c r="B36" s="139" t="s">
        <v>21</v>
      </c>
      <c r="C36" s="139" t="s">
        <v>268</v>
      </c>
      <c r="D36" s="111" t="str">
        <f t="shared" si="0"/>
        <v>Neubau</v>
      </c>
      <c r="E36" s="64" t="s">
        <v>325</v>
      </c>
      <c r="F36" s="115" t="s">
        <v>943</v>
      </c>
      <c r="G36" s="65" t="s">
        <v>685</v>
      </c>
    </row>
    <row r="37" spans="1:7" ht="26.1" customHeight="1">
      <c r="A37" s="63">
        <v>34</v>
      </c>
      <c r="B37" s="139" t="s">
        <v>21</v>
      </c>
      <c r="C37" s="139" t="s">
        <v>270</v>
      </c>
      <c r="D37" s="111" t="str">
        <f t="shared" si="0"/>
        <v>Heizwärmebedarf mit Standardluftwechsel</v>
      </c>
      <c r="E37" s="64" t="s">
        <v>338</v>
      </c>
      <c r="F37" s="115" t="s">
        <v>945</v>
      </c>
      <c r="G37" s="65" t="s">
        <v>687</v>
      </c>
    </row>
    <row r="38" spans="1:7" ht="26.1" customHeight="1">
      <c r="A38" s="63">
        <v>35</v>
      </c>
      <c r="B38" s="139" t="s">
        <v>21</v>
      </c>
      <c r="C38" s="139" t="s">
        <v>425</v>
      </c>
      <c r="D38" s="111" t="str">
        <f t="shared" si="0"/>
        <v>Lüftung-Klima-Kälteanlagen</v>
      </c>
      <c r="E38" s="64" t="s">
        <v>246</v>
      </c>
      <c r="F38" s="115" t="s">
        <v>136</v>
      </c>
      <c r="G38" s="65" t="s">
        <v>1734</v>
      </c>
    </row>
    <row r="39" spans="1:7" ht="46.5" customHeight="1">
      <c r="A39" s="63">
        <v>36</v>
      </c>
      <c r="B39" s="139" t="s">
        <v>21</v>
      </c>
      <c r="C39" s="139" t="s">
        <v>426</v>
      </c>
      <c r="D39" s="111" t="str">
        <f t="shared" si="0"/>
        <v>Der thermisch wirksame Aussenluft-Volumenstrom ist in der Heizwärmebedarfsberechnung (SIA 380/1) entsprechend F45 - I45 einzusetzen</v>
      </c>
      <c r="E39" s="64" t="s">
        <v>1134</v>
      </c>
      <c r="F39" s="115" t="s">
        <v>1692</v>
      </c>
      <c r="G39" s="65" t="s">
        <v>688</v>
      </c>
    </row>
    <row r="40" spans="1:7" ht="26.1" customHeight="1">
      <c r="A40" s="63">
        <v>37</v>
      </c>
      <c r="B40" s="139" t="s">
        <v>21</v>
      </c>
      <c r="C40" s="139" t="s">
        <v>427</v>
      </c>
      <c r="D40" s="111" t="str">
        <f t="shared" si="0"/>
        <v xml:space="preserve">Angaben bei Standard-Lüftungsanlagen </v>
      </c>
      <c r="E40" s="64" t="s">
        <v>396</v>
      </c>
      <c r="F40" s="115" t="s">
        <v>946</v>
      </c>
      <c r="G40" s="65" t="s">
        <v>1733</v>
      </c>
    </row>
    <row r="41" spans="1:7" ht="26.1" customHeight="1">
      <c r="A41" s="63">
        <v>38</v>
      </c>
      <c r="B41" s="139" t="s">
        <v>21</v>
      </c>
      <c r="C41" s="139" t="s">
        <v>245</v>
      </c>
      <c r="D41" s="111" t="str">
        <f t="shared" si="0"/>
        <v>Standard-Lüftungsanlagentyp</v>
      </c>
      <c r="E41" s="64" t="s">
        <v>319</v>
      </c>
      <c r="F41" s="115" t="s">
        <v>947</v>
      </c>
      <c r="G41" s="65" t="s">
        <v>1735</v>
      </c>
    </row>
    <row r="42" spans="1:7" ht="26.1" customHeight="1">
      <c r="A42" s="63">
        <v>39</v>
      </c>
      <c r="B42" s="139" t="s">
        <v>21</v>
      </c>
      <c r="C42" s="139" t="s">
        <v>430</v>
      </c>
      <c r="D42" s="111" t="str">
        <f t="shared" si="0"/>
        <v>Räume mit Zuluft oder Anzahl Personen</v>
      </c>
      <c r="E42" s="64" t="s">
        <v>429</v>
      </c>
      <c r="F42" s="115" t="s">
        <v>948</v>
      </c>
      <c r="G42" s="65" t="s">
        <v>1736</v>
      </c>
    </row>
    <row r="43" spans="1:7" ht="26.1" customHeight="1">
      <c r="A43" s="63">
        <v>40</v>
      </c>
      <c r="B43" s="139" t="s">
        <v>21</v>
      </c>
      <c r="C43" s="139" t="s">
        <v>430</v>
      </c>
      <c r="D43" s="111" t="str">
        <f t="shared" si="0"/>
        <v>Anzahl Räume mit Zuluft</v>
      </c>
      <c r="E43" s="64" t="s">
        <v>114</v>
      </c>
      <c r="F43" s="115" t="s">
        <v>949</v>
      </c>
      <c r="G43" s="65" t="s">
        <v>1737</v>
      </c>
    </row>
    <row r="44" spans="1:7" ht="26.1" customHeight="1">
      <c r="A44" s="63">
        <v>41</v>
      </c>
      <c r="B44" s="139" t="s">
        <v>21</v>
      </c>
      <c r="C44" s="139" t="s">
        <v>430</v>
      </c>
      <c r="D44" s="111" t="str">
        <f t="shared" si="0"/>
        <v>Anzahl Personen</v>
      </c>
      <c r="E44" s="64" t="s">
        <v>9</v>
      </c>
      <c r="F44" s="115" t="s">
        <v>950</v>
      </c>
      <c r="G44" s="65" t="s">
        <v>1738</v>
      </c>
    </row>
    <row r="45" spans="1:7" ht="26.1" customHeight="1">
      <c r="A45" s="63">
        <v>42</v>
      </c>
      <c r="B45" s="139" t="s">
        <v>21</v>
      </c>
      <c r="C45" s="139" t="s">
        <v>62</v>
      </c>
      <c r="D45" s="111" t="str">
        <f t="shared" si="0"/>
        <v>Wärmerückgewinnungs-Wärmetauscher</v>
      </c>
      <c r="E45" s="64" t="s">
        <v>73</v>
      </c>
      <c r="F45" s="115" t="s">
        <v>951</v>
      </c>
      <c r="G45" s="65" t="s">
        <v>689</v>
      </c>
    </row>
    <row r="46" spans="1:7" ht="26.1" customHeight="1">
      <c r="A46" s="63">
        <v>43</v>
      </c>
      <c r="B46" s="139" t="s">
        <v>21</v>
      </c>
      <c r="C46" s="139" t="s">
        <v>209</v>
      </c>
      <c r="D46" s="111" t="str">
        <f t="shared" si="0"/>
        <v>Nenn-Luftvolumenstrom</v>
      </c>
      <c r="E46" s="64" t="s">
        <v>271</v>
      </c>
      <c r="F46" s="115" t="s">
        <v>952</v>
      </c>
      <c r="G46" s="65" t="s">
        <v>690</v>
      </c>
    </row>
    <row r="47" spans="1:7" ht="25.9" customHeight="1">
      <c r="A47" s="63">
        <v>44</v>
      </c>
      <c r="B47" s="139" t="s">
        <v>21</v>
      </c>
      <c r="C47" s="139" t="s">
        <v>63</v>
      </c>
      <c r="D47" s="111" t="str">
        <f t="shared" si="0"/>
        <v>Ventilatorantrieb mit</v>
      </c>
      <c r="E47" s="64" t="s">
        <v>172</v>
      </c>
      <c r="F47" s="115" t="s">
        <v>953</v>
      </c>
      <c r="G47" s="65" t="s">
        <v>691</v>
      </c>
    </row>
    <row r="48" spans="1:7" ht="25.9" customHeight="1">
      <c r="A48" s="63">
        <v>45</v>
      </c>
      <c r="B48" s="139" t="s">
        <v>21</v>
      </c>
      <c r="C48" s="139" t="s">
        <v>428</v>
      </c>
      <c r="D48" s="111" t="str">
        <f t="shared" si="0"/>
        <v>Kleinanlagen mit Standardwerten</v>
      </c>
      <c r="E48" s="64" t="s">
        <v>104</v>
      </c>
      <c r="F48" s="115" t="s">
        <v>954</v>
      </c>
      <c r="G48" s="65" t="s">
        <v>692</v>
      </c>
    </row>
    <row r="49" spans="1:7" ht="26.1" customHeight="1">
      <c r="A49" s="63">
        <v>46</v>
      </c>
      <c r="B49" s="139" t="s">
        <v>21</v>
      </c>
      <c r="C49" s="139" t="s">
        <v>433</v>
      </c>
      <c r="D49" s="111" t="str">
        <f t="shared" si="0"/>
        <v>Thermisch wirksame Aussenluftrate</v>
      </c>
      <c r="E49" s="64" t="s">
        <v>257</v>
      </c>
      <c r="F49" s="115" t="s">
        <v>955</v>
      </c>
      <c r="G49" s="65" t="s">
        <v>1739</v>
      </c>
    </row>
    <row r="50" spans="1:7" ht="26.1" customHeight="1">
      <c r="A50" s="63">
        <v>47</v>
      </c>
      <c r="B50" s="139" t="s">
        <v>21</v>
      </c>
      <c r="C50" s="139" t="s">
        <v>432</v>
      </c>
      <c r="D50" s="111" t="str">
        <f t="shared" si="0"/>
        <v>Strombedarf Lüftung + Vereisungsschutz</v>
      </c>
      <c r="E50" s="64" t="s">
        <v>103</v>
      </c>
      <c r="F50" s="115" t="s">
        <v>956</v>
      </c>
      <c r="G50" s="65" t="s">
        <v>693</v>
      </c>
    </row>
    <row r="51" spans="1:7" ht="26.1" customHeight="1">
      <c r="A51" s="63">
        <v>48</v>
      </c>
      <c r="B51" s="139" t="s">
        <v>21</v>
      </c>
      <c r="C51" s="139" t="s">
        <v>431</v>
      </c>
      <c r="D51" s="111" t="str">
        <f t="shared" si="0"/>
        <v>Strombedarf Klima und Befeuchtung</v>
      </c>
      <c r="E51" s="64" t="s">
        <v>82</v>
      </c>
      <c r="F51" s="115" t="s">
        <v>137</v>
      </c>
      <c r="G51" s="65" t="s">
        <v>1740</v>
      </c>
    </row>
    <row r="52" spans="1:7" ht="26.1" customHeight="1">
      <c r="A52" s="63">
        <v>49</v>
      </c>
      <c r="B52" s="139" t="s">
        <v>21</v>
      </c>
      <c r="C52" s="139" t="s">
        <v>438</v>
      </c>
      <c r="D52" s="111" t="str">
        <f t="shared" si="0"/>
        <v>Strombedarf Hilfsbetriebe</v>
      </c>
      <c r="E52" s="64" t="s">
        <v>231</v>
      </c>
      <c r="F52" s="115" t="s">
        <v>94</v>
      </c>
      <c r="G52" s="65" t="s">
        <v>694</v>
      </c>
    </row>
    <row r="53" spans="1:7" ht="26.1" customHeight="1">
      <c r="A53" s="63">
        <v>50</v>
      </c>
      <c r="B53" s="139" t="s">
        <v>21</v>
      </c>
      <c r="C53" s="139" t="s">
        <v>191</v>
      </c>
      <c r="D53" s="111" t="str">
        <f t="shared" si="0"/>
        <v>Externe Berechnung</v>
      </c>
      <c r="E53" s="64" t="s">
        <v>367</v>
      </c>
      <c r="F53" s="115" t="s">
        <v>400</v>
      </c>
      <c r="G53" s="65" t="s">
        <v>695</v>
      </c>
    </row>
    <row r="54" spans="1:7" ht="26.1" customHeight="1">
      <c r="A54" s="63">
        <v>51</v>
      </c>
      <c r="B54" s="139" t="s">
        <v>21</v>
      </c>
      <c r="C54" s="139" t="s">
        <v>232</v>
      </c>
      <c r="D54" s="111" t="str">
        <f t="shared" si="0"/>
        <v>Kühlung oder Befeuchtung vorhanden?</v>
      </c>
      <c r="E54" s="64" t="s">
        <v>83</v>
      </c>
      <c r="F54" s="115" t="s">
        <v>138</v>
      </c>
      <c r="G54" s="65" t="s">
        <v>1741</v>
      </c>
    </row>
    <row r="55" spans="1:7" ht="26.1" customHeight="1">
      <c r="A55" s="63">
        <v>52</v>
      </c>
      <c r="B55" s="139" t="s">
        <v>21</v>
      </c>
      <c r="C55" s="139" t="s">
        <v>441</v>
      </c>
      <c r="D55" s="111" t="str">
        <f t="shared" si="0"/>
        <v>Wird eine Kühlung verwendet oder Befeuchtung verwendet?</v>
      </c>
      <c r="E55" s="64" t="s">
        <v>84</v>
      </c>
      <c r="F55" s="115" t="s">
        <v>139</v>
      </c>
      <c r="G55" s="65" t="s">
        <v>1742</v>
      </c>
    </row>
    <row r="56" spans="1:7" ht="26.1" customHeight="1">
      <c r="A56" s="63">
        <v>53</v>
      </c>
      <c r="B56" s="139" t="s">
        <v>21</v>
      </c>
      <c r="C56" s="139" t="s">
        <v>438</v>
      </c>
      <c r="D56" s="111" t="str">
        <f t="shared" si="0"/>
        <v>Strombedarf Kälteförderung</v>
      </c>
      <c r="E56" s="64" t="s">
        <v>1744</v>
      </c>
      <c r="F56" s="115" t="s">
        <v>1745</v>
      </c>
      <c r="G56" s="65" t="s">
        <v>1746</v>
      </c>
    </row>
    <row r="57" spans="1:7" ht="26.1" customHeight="1">
      <c r="A57" s="63">
        <v>54</v>
      </c>
      <c r="B57" s="139" t="s">
        <v>21</v>
      </c>
      <c r="C57" s="139" t="s">
        <v>339</v>
      </c>
      <c r="D57" s="111" t="str">
        <f t="shared" si="0"/>
        <v>Qh mit effektivem, thermisch wirksamem Aussenluftvolumenstrom</v>
      </c>
      <c r="E57" s="64" t="s">
        <v>1132</v>
      </c>
      <c r="F57" s="115" t="s">
        <v>48</v>
      </c>
      <c r="G57" s="65" t="s">
        <v>696</v>
      </c>
    </row>
    <row r="58" spans="1:7" ht="26.1" customHeight="1">
      <c r="A58" s="63">
        <v>55</v>
      </c>
      <c r="B58" s="139" t="s">
        <v>21</v>
      </c>
      <c r="C58" s="139" t="s">
        <v>439</v>
      </c>
      <c r="D58" s="111" t="str">
        <f t="shared" si="0"/>
        <v>Therm. wirksamer Aussenl.-Volumenstr.</v>
      </c>
      <c r="E58" s="64" t="s">
        <v>10</v>
      </c>
      <c r="F58" s="115" t="s">
        <v>955</v>
      </c>
      <c r="G58" s="65" t="s">
        <v>1743</v>
      </c>
    </row>
    <row r="59" spans="1:7" ht="48.75" customHeight="1">
      <c r="A59" s="63">
        <v>56</v>
      </c>
      <c r="B59" s="139" t="s">
        <v>21</v>
      </c>
      <c r="C59" s="139" t="s">
        <v>442</v>
      </c>
      <c r="D59" s="111" t="str">
        <f t="shared" si="0"/>
        <v>Spezifischer, thermisch wirksamer Aussenluftvolumenstrom Vth nach SIA 380/1: Dieser Wert muss mit der Eingabe für die Berechnung für den Heizwärmebedarf mit effektivem Luftwechsel übereinstimmen.</v>
      </c>
      <c r="E59" s="64" t="s">
        <v>69</v>
      </c>
      <c r="F59" s="115" t="s">
        <v>20</v>
      </c>
      <c r="G59" s="65" t="s">
        <v>697</v>
      </c>
    </row>
    <row r="60" spans="1:7" ht="25.9" customHeight="1">
      <c r="A60" s="63">
        <v>57</v>
      </c>
      <c r="B60" s="139" t="s">
        <v>21</v>
      </c>
      <c r="C60" s="139" t="s">
        <v>440</v>
      </c>
      <c r="D60" s="111" t="str">
        <f t="shared" si="0"/>
        <v>eff. Heizwärmebedarf mit Lüftungsanlage</v>
      </c>
      <c r="E60" s="64" t="s">
        <v>107</v>
      </c>
      <c r="F60" s="115" t="s">
        <v>957</v>
      </c>
      <c r="G60" s="65" t="s">
        <v>698</v>
      </c>
    </row>
    <row r="61" spans="1:7" ht="52.5" customHeight="1">
      <c r="A61" s="63">
        <v>58</v>
      </c>
      <c r="B61" s="139" t="s">
        <v>21</v>
      </c>
      <c r="C61" s="139" t="s">
        <v>444</v>
      </c>
      <c r="D61" s="111" t="str">
        <f t="shared" si="0"/>
        <v>Zwingende Eingabe Qh,eff oder Qh,korr:
Heizwärmebedarf Qh,eff mit effektivem, thermisch wirksamen Aussenluftvolumenstrom Vth aus der Berechnung SIA 380/1:2009 übertragen.</v>
      </c>
      <c r="E61" s="64" t="s">
        <v>443</v>
      </c>
      <c r="F61" s="115" t="s">
        <v>958</v>
      </c>
      <c r="G61" s="65" t="s">
        <v>699</v>
      </c>
    </row>
    <row r="62" spans="1:7" ht="40.5" customHeight="1">
      <c r="A62" s="63">
        <v>59</v>
      </c>
      <c r="B62" s="139" t="s">
        <v>21</v>
      </c>
      <c r="C62" s="139" t="s">
        <v>446</v>
      </c>
      <c r="D62" s="111" t="str">
        <f t="shared" si="0"/>
        <v>Resultate aus externer Berechnung, z.B. externes Lüftungsblatt, in diesem Abschnitt einfügen.
Zwingende Eingabe bei Klimaanlagen.</v>
      </c>
      <c r="E62" s="64" t="s">
        <v>445</v>
      </c>
      <c r="F62" s="115" t="s">
        <v>959</v>
      </c>
      <c r="G62" s="65" t="s">
        <v>700</v>
      </c>
    </row>
    <row r="63" spans="1:7" ht="100.5" customHeight="1">
      <c r="A63" s="63">
        <v>60</v>
      </c>
      <c r="B63" s="139" t="s">
        <v>21</v>
      </c>
      <c r="C63" s="139" t="s">
        <v>449</v>
      </c>
      <c r="D63" s="111" t="str">
        <f t="shared" si="0"/>
        <v>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v>
      </c>
      <c r="E63" s="64" t="s">
        <v>448</v>
      </c>
      <c r="F63" s="115" t="s">
        <v>960</v>
      </c>
      <c r="G63" s="65" t="s">
        <v>701</v>
      </c>
    </row>
    <row r="64" spans="1:7" ht="60" customHeight="1">
      <c r="A64" s="63">
        <v>61</v>
      </c>
      <c r="B64" s="139" t="s">
        <v>21</v>
      </c>
      <c r="C64" s="139" t="s">
        <v>450</v>
      </c>
      <c r="D64" s="111" t="str">
        <f t="shared" si="0"/>
        <v>Energienachweis:
Im Energienachweis werden nur die Neubauten berücksichtigt.
Minergie:
Baujahr (Bauvollendung) ab 2000.</v>
      </c>
      <c r="E64" s="64" t="s">
        <v>652</v>
      </c>
      <c r="F64" s="115" t="s">
        <v>1747</v>
      </c>
      <c r="G64" s="65" t="s">
        <v>702</v>
      </c>
    </row>
    <row r="65" spans="1:7" ht="25.9" customHeight="1">
      <c r="A65" s="63">
        <v>62</v>
      </c>
      <c r="B65" s="139" t="s">
        <v>21</v>
      </c>
      <c r="C65" s="139" t="s">
        <v>447</v>
      </c>
      <c r="D65" s="111" t="str">
        <f t="shared" si="0"/>
        <v>Energiebezugsfläche EBF, muss aus der Rechnung SIA 380/1 übernommen werden.</v>
      </c>
      <c r="E65" s="64" t="s">
        <v>81</v>
      </c>
      <c r="F65" s="115" t="s">
        <v>135</v>
      </c>
      <c r="G65" s="65" t="s">
        <v>703</v>
      </c>
    </row>
    <row r="66" spans="1:7" ht="96" customHeight="1">
      <c r="A66" s="63">
        <v>63</v>
      </c>
      <c r="B66" s="139" t="s">
        <v>21</v>
      </c>
      <c r="C66" s="139" t="s">
        <v>451</v>
      </c>
      <c r="D66" s="111" t="str">
        <f t="shared" si="0"/>
        <v>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v>
      </c>
      <c r="E66" s="64" t="s">
        <v>452</v>
      </c>
      <c r="F66" s="115" t="s">
        <v>961</v>
      </c>
      <c r="G66" s="65" t="s">
        <v>704</v>
      </c>
    </row>
    <row r="67" spans="1:7" ht="25.9" customHeight="1">
      <c r="A67" s="63">
        <v>64</v>
      </c>
      <c r="B67" s="139" t="s">
        <v>21</v>
      </c>
      <c r="C67" s="139" t="s">
        <v>454</v>
      </c>
      <c r="D67" s="111" t="str">
        <f t="shared" si="0"/>
        <v>Eingabe nur bei Nutzungen EFH und MFH bis 2'000 m2 oder bei Verwaltung und Schulen bis 1'000 m2 möglich.</v>
      </c>
      <c r="E67" s="64" t="s">
        <v>453</v>
      </c>
      <c r="F67" s="115" t="s">
        <v>962</v>
      </c>
      <c r="G67" s="65" t="s">
        <v>705</v>
      </c>
    </row>
    <row r="68" spans="1:7" ht="133.5" customHeight="1">
      <c r="A68" s="63">
        <v>65</v>
      </c>
      <c r="B68" s="139" t="s">
        <v>21</v>
      </c>
      <c r="C68" s="139" t="s">
        <v>166</v>
      </c>
      <c r="D68" s="111" t="str">
        <f t="shared" si="0"/>
        <v>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v>
      </c>
      <c r="E68" s="64" t="s">
        <v>455</v>
      </c>
      <c r="F68" s="115" t="s">
        <v>963</v>
      </c>
      <c r="G68" s="65" t="s">
        <v>706</v>
      </c>
    </row>
    <row r="69" spans="1:7" ht="67.5" customHeight="1">
      <c r="A69" s="63">
        <v>66</v>
      </c>
      <c r="B69" s="139" t="s">
        <v>21</v>
      </c>
      <c r="C69" s="139" t="s">
        <v>456</v>
      </c>
      <c r="D69" s="111" t="str">
        <f t="shared" ref="D69:D132" si="1">INDEX($E$4:$G$503,$A69,$A$1)</f>
        <v>Anzahl Räume mit Zuluft:
Nur bei Wohnnutzung (EFH oder MFH) erforderliche Eingabe
Anzahl Personen (total pro Zone):
Eingabe bei Verwaltung oder Schulen erforderlich.
Wird für die Berechnung der Zuluftmenge verwendet.</v>
      </c>
      <c r="E69" s="64" t="s">
        <v>457</v>
      </c>
      <c r="F69" s="115" t="s">
        <v>964</v>
      </c>
      <c r="G69" s="65" t="s">
        <v>707</v>
      </c>
    </row>
    <row r="70" spans="1:7" ht="114.75" customHeight="1">
      <c r="A70" s="63">
        <v>67</v>
      </c>
      <c r="B70" s="139" t="s">
        <v>21</v>
      </c>
      <c r="C70" s="139" t="s">
        <v>459</v>
      </c>
      <c r="D70" s="111" t="str">
        <f t="shared" si="1"/>
        <v>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v>
      </c>
      <c r="E70" s="64" t="s">
        <v>458</v>
      </c>
      <c r="F70" s="115" t="s">
        <v>965</v>
      </c>
      <c r="G70" s="65" t="s">
        <v>708</v>
      </c>
    </row>
    <row r="71" spans="1:7" ht="42" customHeight="1">
      <c r="A71" s="63">
        <v>68</v>
      </c>
      <c r="B71" s="139" t="s">
        <v>21</v>
      </c>
      <c r="C71" s="139" t="s">
        <v>461</v>
      </c>
      <c r="D71" s="111" t="str">
        <f t="shared" si="1"/>
        <v>Eingabe bei Kleinanlagen mit Standardwerten:
Verwendete Motoren für die Lüftungsventilatoren: Wechselstrom (AC) oder Gleichstrom (DC)</v>
      </c>
      <c r="E71" s="64" t="s">
        <v>460</v>
      </c>
      <c r="F71" s="115" t="s">
        <v>966</v>
      </c>
      <c r="G71" s="65" t="s">
        <v>709</v>
      </c>
    </row>
    <row r="72" spans="1:7" ht="26.1" customHeight="1">
      <c r="A72" s="63">
        <v>69</v>
      </c>
      <c r="B72" s="139" t="s">
        <v>314</v>
      </c>
      <c r="C72" s="139" t="s">
        <v>462</v>
      </c>
      <c r="D72" s="111" t="str">
        <f t="shared" si="1"/>
        <v>fehlende Eingabe</v>
      </c>
      <c r="E72" s="64" t="s">
        <v>394</v>
      </c>
      <c r="F72" s="115" t="s">
        <v>967</v>
      </c>
      <c r="G72" s="65" t="s">
        <v>710</v>
      </c>
    </row>
    <row r="73" spans="1:7" ht="26.1" customHeight="1">
      <c r="A73" s="63">
        <v>70</v>
      </c>
      <c r="B73" s="139" t="s">
        <v>314</v>
      </c>
      <c r="C73" s="139" t="s">
        <v>463</v>
      </c>
      <c r="D73" s="111" t="str">
        <f t="shared" si="1"/>
        <v>falsche Eingabe</v>
      </c>
      <c r="E73" s="64" t="s">
        <v>395</v>
      </c>
      <c r="F73" s="115" t="s">
        <v>968</v>
      </c>
      <c r="G73" s="65" t="s">
        <v>711</v>
      </c>
    </row>
    <row r="74" spans="1:7" ht="25.9" customHeight="1">
      <c r="A74" s="63">
        <v>71</v>
      </c>
      <c r="B74" s="139" t="s">
        <v>21</v>
      </c>
      <c r="C74" s="139" t="s">
        <v>465</v>
      </c>
      <c r="D74" s="112" t="str">
        <f t="shared" si="1"/>
        <v>Primäranforde- rung nicht erf.</v>
      </c>
      <c r="E74" s="124" t="s">
        <v>464</v>
      </c>
      <c r="F74" s="117" t="s">
        <v>969</v>
      </c>
      <c r="G74" s="77" t="s">
        <v>712</v>
      </c>
    </row>
    <row r="75" spans="1:7" ht="25.9" customHeight="1">
      <c r="A75" s="63">
        <v>72</v>
      </c>
      <c r="B75" s="139" t="s">
        <v>21</v>
      </c>
      <c r="C75" s="139" t="s">
        <v>465</v>
      </c>
      <c r="D75" s="111" t="str">
        <f t="shared" si="1"/>
        <v>Anforderung 2 nicht erfüllt</v>
      </c>
      <c r="E75" s="64" t="s">
        <v>466</v>
      </c>
      <c r="F75" s="115" t="s">
        <v>970</v>
      </c>
      <c r="G75" s="65" t="s">
        <v>713</v>
      </c>
    </row>
    <row r="76" spans="1:7" ht="25.9" customHeight="1">
      <c r="A76" s="63">
        <v>73</v>
      </c>
      <c r="D76" s="111" t="str">
        <f t="shared" si="1"/>
        <v>Angabe fehlt</v>
      </c>
      <c r="E76" s="64" t="s">
        <v>256</v>
      </c>
      <c r="F76" s="115" t="s">
        <v>259</v>
      </c>
      <c r="G76" s="65" t="s">
        <v>710</v>
      </c>
    </row>
    <row r="77" spans="1:7" ht="25.9" customHeight="1">
      <c r="A77" s="63">
        <v>74</v>
      </c>
      <c r="D77" s="111" t="str">
        <f t="shared" si="1"/>
        <v>Hinweis: Im Blatt 'Eingaben' wurde ein Lüftungsgerät mit integrierter Wärmepumpe gewählt</v>
      </c>
      <c r="E77" s="64" t="s">
        <v>4</v>
      </c>
      <c r="F77" s="115" t="s">
        <v>260</v>
      </c>
      <c r="G77" s="65" t="s">
        <v>714</v>
      </c>
    </row>
    <row r="78" spans="1:7" ht="25.9" customHeight="1">
      <c r="A78" s="63">
        <v>75</v>
      </c>
      <c r="B78" s="139" t="s">
        <v>314</v>
      </c>
      <c r="C78" s="139" t="s">
        <v>434</v>
      </c>
      <c r="D78" s="111" t="str">
        <f t="shared" si="1"/>
        <v>Kühlung</v>
      </c>
      <c r="E78" s="64" t="s">
        <v>182</v>
      </c>
      <c r="F78" s="115" t="s">
        <v>59</v>
      </c>
      <c r="G78" s="65" t="s">
        <v>715</v>
      </c>
    </row>
    <row r="79" spans="1:7" ht="25.9" customHeight="1">
      <c r="A79" s="63">
        <v>76</v>
      </c>
      <c r="B79" s="139" t="s">
        <v>314</v>
      </c>
      <c r="C79" s="139" t="s">
        <v>435</v>
      </c>
      <c r="D79" s="111" t="str">
        <f t="shared" si="1"/>
        <v>Befeuchtung</v>
      </c>
      <c r="E79" s="64" t="s">
        <v>66</v>
      </c>
      <c r="F79" s="115" t="s">
        <v>60</v>
      </c>
      <c r="G79" s="65" t="s">
        <v>716</v>
      </c>
    </row>
    <row r="80" spans="1:7" ht="25.9" customHeight="1">
      <c r="A80" s="63">
        <v>77</v>
      </c>
      <c r="B80" s="139" t="s">
        <v>314</v>
      </c>
      <c r="C80" s="139" t="s">
        <v>436</v>
      </c>
      <c r="D80" s="111" t="str">
        <f t="shared" si="1"/>
        <v>Kühl. + Bef.</v>
      </c>
      <c r="E80" s="64" t="s">
        <v>67</v>
      </c>
      <c r="F80" s="115" t="s">
        <v>61</v>
      </c>
      <c r="G80" s="65" t="s">
        <v>717</v>
      </c>
    </row>
    <row r="81" spans="1:7" ht="25.9" customHeight="1">
      <c r="A81" s="63">
        <v>78</v>
      </c>
      <c r="B81" s="139" t="s">
        <v>314</v>
      </c>
      <c r="C81" s="139" t="s">
        <v>437</v>
      </c>
      <c r="D81" s="111" t="str">
        <f t="shared" si="1"/>
        <v>keine</v>
      </c>
      <c r="E81" s="64" t="s">
        <v>342</v>
      </c>
      <c r="F81" s="115" t="s">
        <v>971</v>
      </c>
      <c r="G81" s="65" t="s">
        <v>718</v>
      </c>
    </row>
    <row r="82" spans="1:7" ht="26.1" customHeight="1">
      <c r="A82" s="63">
        <v>79</v>
      </c>
      <c r="B82" s="139" t="s">
        <v>314</v>
      </c>
      <c r="C82" s="139" t="s">
        <v>467</v>
      </c>
      <c r="D82" s="111" t="str">
        <f t="shared" si="1"/>
        <v>MFH</v>
      </c>
      <c r="E82" s="64" t="s">
        <v>170</v>
      </c>
      <c r="F82" s="115" t="s">
        <v>973</v>
      </c>
      <c r="G82" s="65" t="s">
        <v>719</v>
      </c>
    </row>
    <row r="83" spans="1:7" ht="26.1" customHeight="1">
      <c r="A83" s="63">
        <v>80</v>
      </c>
      <c r="B83" s="139" t="s">
        <v>314</v>
      </c>
      <c r="C83" s="139" t="s">
        <v>468</v>
      </c>
      <c r="D83" s="111" t="str">
        <f t="shared" si="1"/>
        <v>EFH</v>
      </c>
      <c r="E83" s="64" t="s">
        <v>171</v>
      </c>
      <c r="F83" s="115" t="s">
        <v>972</v>
      </c>
      <c r="G83" s="65" t="s">
        <v>720</v>
      </c>
    </row>
    <row r="84" spans="1:7" ht="26.1" customHeight="1">
      <c r="A84" s="63">
        <v>81</v>
      </c>
      <c r="B84" s="139" t="s">
        <v>314</v>
      </c>
      <c r="C84" s="139" t="s">
        <v>469</v>
      </c>
      <c r="D84" s="111" t="str">
        <f t="shared" si="1"/>
        <v>Verwaltung</v>
      </c>
      <c r="E84" s="64" t="s">
        <v>0</v>
      </c>
      <c r="F84" s="115" t="s">
        <v>974</v>
      </c>
      <c r="G84" s="65" t="s">
        <v>721</v>
      </c>
    </row>
    <row r="85" spans="1:7" ht="26.1" customHeight="1">
      <c r="A85" s="63">
        <v>82</v>
      </c>
      <c r="B85" s="139" t="s">
        <v>314</v>
      </c>
      <c r="C85" s="139" t="s">
        <v>470</v>
      </c>
      <c r="D85" s="111" t="str">
        <f t="shared" si="1"/>
        <v>Schule</v>
      </c>
      <c r="E85" s="64" t="s">
        <v>173</v>
      </c>
      <c r="F85" s="115" t="s">
        <v>975</v>
      </c>
      <c r="G85" s="65" t="s">
        <v>722</v>
      </c>
    </row>
    <row r="86" spans="1:7" ht="26.1" customHeight="1">
      <c r="A86" s="63">
        <v>83</v>
      </c>
      <c r="B86" s="139" t="s">
        <v>314</v>
      </c>
      <c r="C86" s="139" t="s">
        <v>471</v>
      </c>
      <c r="D86" s="111" t="str">
        <f t="shared" si="1"/>
        <v>Verkauf</v>
      </c>
      <c r="E86" s="64" t="s">
        <v>128</v>
      </c>
      <c r="F86" s="115" t="s">
        <v>976</v>
      </c>
      <c r="G86" s="65" t="s">
        <v>723</v>
      </c>
    </row>
    <row r="87" spans="1:7" ht="26.1" customHeight="1">
      <c r="A87" s="63">
        <v>84</v>
      </c>
      <c r="B87" s="139" t="s">
        <v>314</v>
      </c>
      <c r="C87" s="139" t="s">
        <v>472</v>
      </c>
      <c r="D87" s="111" t="str">
        <f t="shared" si="1"/>
        <v>Restaurant</v>
      </c>
      <c r="E87" s="64" t="s">
        <v>392</v>
      </c>
      <c r="F87" s="115" t="s">
        <v>392</v>
      </c>
      <c r="G87" s="65" t="s">
        <v>724</v>
      </c>
    </row>
    <row r="88" spans="1:7" ht="26.1" customHeight="1">
      <c r="A88" s="63">
        <v>85</v>
      </c>
      <c r="B88" s="139" t="s">
        <v>314</v>
      </c>
      <c r="C88" s="139" t="s">
        <v>473</v>
      </c>
      <c r="D88" s="111" t="str">
        <f t="shared" si="1"/>
        <v>Vers.-Lokal</v>
      </c>
      <c r="E88" s="64" t="s">
        <v>393</v>
      </c>
      <c r="F88" s="115" t="s">
        <v>977</v>
      </c>
      <c r="G88" s="65" t="s">
        <v>725</v>
      </c>
    </row>
    <row r="89" spans="1:7" ht="25.9" customHeight="1">
      <c r="A89" s="63">
        <v>86</v>
      </c>
      <c r="B89" s="139" t="s">
        <v>314</v>
      </c>
      <c r="C89" s="139" t="s">
        <v>474</v>
      </c>
      <c r="D89" s="111" t="str">
        <f t="shared" si="1"/>
        <v>Spitäler</v>
      </c>
      <c r="E89" s="64" t="s">
        <v>129</v>
      </c>
      <c r="F89" s="115" t="s">
        <v>978</v>
      </c>
      <c r="G89" s="65" t="s">
        <v>726</v>
      </c>
    </row>
    <row r="90" spans="1:7" ht="25.9" customHeight="1">
      <c r="A90" s="63">
        <v>87</v>
      </c>
      <c r="B90" s="139" t="s">
        <v>314</v>
      </c>
      <c r="C90" s="139" t="s">
        <v>475</v>
      </c>
      <c r="D90" s="111" t="str">
        <f t="shared" si="1"/>
        <v>Industrie</v>
      </c>
      <c r="E90" s="64" t="s">
        <v>236</v>
      </c>
      <c r="F90" s="115" t="s">
        <v>236</v>
      </c>
      <c r="G90" s="65" t="s">
        <v>236</v>
      </c>
    </row>
    <row r="91" spans="1:7" ht="25.9" customHeight="1">
      <c r="A91" s="63">
        <v>88</v>
      </c>
      <c r="B91" s="139" t="s">
        <v>314</v>
      </c>
      <c r="C91" s="139" t="s">
        <v>476</v>
      </c>
      <c r="D91" s="111" t="str">
        <f t="shared" si="1"/>
        <v>Lager</v>
      </c>
      <c r="E91" s="64" t="s">
        <v>130</v>
      </c>
      <c r="F91" s="115" t="s">
        <v>979</v>
      </c>
      <c r="G91" s="65" t="s">
        <v>727</v>
      </c>
    </row>
    <row r="92" spans="1:7" ht="25.9" customHeight="1">
      <c r="A92" s="63">
        <v>89</v>
      </c>
      <c r="B92" s="139" t="s">
        <v>314</v>
      </c>
      <c r="C92" s="139" t="s">
        <v>477</v>
      </c>
      <c r="D92" s="111" t="str">
        <f t="shared" si="1"/>
        <v>Sportbau</v>
      </c>
      <c r="E92" s="64" t="s">
        <v>131</v>
      </c>
      <c r="F92" s="115" t="s">
        <v>980</v>
      </c>
      <c r="G92" s="65" t="s">
        <v>728</v>
      </c>
    </row>
    <row r="93" spans="1:7" ht="25.9" customHeight="1">
      <c r="A93" s="63">
        <v>90</v>
      </c>
      <c r="B93" s="139" t="s">
        <v>314</v>
      </c>
      <c r="C93" s="139" t="s">
        <v>478</v>
      </c>
      <c r="D93" s="111" t="str">
        <f t="shared" si="1"/>
        <v>Hallenbad</v>
      </c>
      <c r="E93" s="64" t="s">
        <v>375</v>
      </c>
      <c r="F93" s="115" t="s">
        <v>981</v>
      </c>
      <c r="G93" s="65" t="s">
        <v>729</v>
      </c>
    </row>
    <row r="94" spans="1:7" ht="26.1" customHeight="1">
      <c r="A94" s="63">
        <v>91</v>
      </c>
      <c r="B94" s="139" t="s">
        <v>314</v>
      </c>
      <c r="C94" s="139" t="s">
        <v>479</v>
      </c>
      <c r="D94" s="111" t="str">
        <f t="shared" si="1"/>
        <v>keine Lüftung</v>
      </c>
      <c r="E94" s="64" t="s">
        <v>381</v>
      </c>
      <c r="F94" s="115" t="s">
        <v>982</v>
      </c>
      <c r="G94" s="65" t="s">
        <v>730</v>
      </c>
    </row>
    <row r="95" spans="1:7" ht="26.1" customHeight="1">
      <c r="A95" s="63">
        <v>92</v>
      </c>
      <c r="B95" s="139" t="s">
        <v>314</v>
      </c>
      <c r="C95" s="139" t="s">
        <v>480</v>
      </c>
      <c r="D95" s="111" t="str">
        <f t="shared" si="1"/>
        <v>Zu- / Abluft</v>
      </c>
      <c r="E95" s="64" t="s">
        <v>385</v>
      </c>
      <c r="F95" s="115" t="s">
        <v>983</v>
      </c>
      <c r="G95" s="65" t="s">
        <v>731</v>
      </c>
    </row>
    <row r="96" spans="1:7" ht="26.1" customHeight="1">
      <c r="A96" s="63">
        <v>93</v>
      </c>
      <c r="B96" s="139" t="s">
        <v>314</v>
      </c>
      <c r="C96" s="139" t="s">
        <v>481</v>
      </c>
      <c r="D96" s="111" t="str">
        <f t="shared" si="1"/>
        <v>Lüftung+WRG</v>
      </c>
      <c r="E96" s="64" t="s">
        <v>382</v>
      </c>
      <c r="F96" s="115" t="s">
        <v>984</v>
      </c>
      <c r="G96" s="65" t="s">
        <v>732</v>
      </c>
    </row>
    <row r="97" spans="1:7" ht="26.1" customHeight="1">
      <c r="A97" s="63">
        <v>94</v>
      </c>
      <c r="B97" s="139" t="s">
        <v>314</v>
      </c>
      <c r="C97" s="139" t="s">
        <v>482</v>
      </c>
      <c r="D97" s="111" t="str">
        <f t="shared" si="1"/>
        <v>Lüftung+WP</v>
      </c>
      <c r="E97" s="64" t="s">
        <v>383</v>
      </c>
      <c r="F97" s="115" t="s">
        <v>985</v>
      </c>
      <c r="G97" s="65" t="s">
        <v>733</v>
      </c>
    </row>
    <row r="98" spans="1:7" ht="26.1" customHeight="1">
      <c r="A98" s="63">
        <v>95</v>
      </c>
      <c r="B98" s="139" t="s">
        <v>314</v>
      </c>
      <c r="C98" s="139" t="s">
        <v>483</v>
      </c>
      <c r="D98" s="111" t="str">
        <f t="shared" si="1"/>
        <v>nur Abluft</v>
      </c>
      <c r="E98" s="64" t="s">
        <v>386</v>
      </c>
      <c r="F98" s="115" t="s">
        <v>986</v>
      </c>
      <c r="G98" s="65" t="s">
        <v>734</v>
      </c>
    </row>
    <row r="99" spans="1:7" ht="26.1" customHeight="1">
      <c r="A99" s="63">
        <v>96</v>
      </c>
      <c r="B99" s="139" t="s">
        <v>314</v>
      </c>
      <c r="C99" s="139" t="s">
        <v>484</v>
      </c>
      <c r="D99" s="111" t="str">
        <f t="shared" si="1"/>
        <v>Abluft - WP</v>
      </c>
      <c r="E99" s="64" t="s">
        <v>384</v>
      </c>
      <c r="F99" s="115" t="s">
        <v>987</v>
      </c>
      <c r="G99" s="65" t="s">
        <v>735</v>
      </c>
    </row>
    <row r="100" spans="1:7" ht="26.1" customHeight="1">
      <c r="A100" s="63">
        <v>97</v>
      </c>
      <c r="B100" s="139" t="s">
        <v>314</v>
      </c>
      <c r="C100" s="139" t="s">
        <v>485</v>
      </c>
      <c r="D100" s="111" t="str">
        <f t="shared" si="1"/>
        <v>Einzelraumlüft.</v>
      </c>
      <c r="E100" s="64" t="s">
        <v>222</v>
      </c>
      <c r="F100" s="115" t="s">
        <v>988</v>
      </c>
      <c r="G100" s="65" t="s">
        <v>736</v>
      </c>
    </row>
    <row r="101" spans="1:7" ht="26.1" customHeight="1">
      <c r="A101" s="63">
        <v>98</v>
      </c>
      <c r="B101" s="139" t="s">
        <v>314</v>
      </c>
      <c r="C101" s="139" t="s">
        <v>486</v>
      </c>
      <c r="D101" s="111" t="str">
        <f t="shared" si="1"/>
        <v>Auto Fensterl.</v>
      </c>
      <c r="E101" s="64" t="s">
        <v>223</v>
      </c>
      <c r="F101" s="115" t="s">
        <v>989</v>
      </c>
      <c r="G101" s="65" t="s">
        <v>737</v>
      </c>
    </row>
    <row r="102" spans="1:7" ht="26.1" customHeight="1">
      <c r="A102" s="63">
        <v>99</v>
      </c>
      <c r="B102" s="139" t="s">
        <v>314</v>
      </c>
      <c r="C102" s="139" t="s">
        <v>487</v>
      </c>
      <c r="D102" s="111" t="str">
        <f t="shared" si="1"/>
        <v>keine WRG</v>
      </c>
      <c r="E102" s="64" t="s">
        <v>115</v>
      </c>
      <c r="F102" s="115" t="s">
        <v>990</v>
      </c>
      <c r="G102" s="65" t="s">
        <v>738</v>
      </c>
    </row>
    <row r="103" spans="1:7" ht="26.1" customHeight="1">
      <c r="A103" s="125">
        <v>100</v>
      </c>
      <c r="B103" s="139" t="s">
        <v>314</v>
      </c>
      <c r="C103" s="139" t="s">
        <v>488</v>
      </c>
      <c r="D103" s="126" t="str">
        <f t="shared" si="1"/>
        <v>Kreuzstrom</v>
      </c>
      <c r="E103" s="64" t="s">
        <v>176</v>
      </c>
      <c r="F103" s="115" t="s">
        <v>991</v>
      </c>
      <c r="G103" s="129" t="s">
        <v>739</v>
      </c>
    </row>
    <row r="104" spans="1:7" s="130" customFormat="1" ht="26.1" customHeight="1">
      <c r="A104" s="63">
        <v>101</v>
      </c>
      <c r="B104" s="139" t="s">
        <v>314</v>
      </c>
      <c r="C104" s="139" t="s">
        <v>489</v>
      </c>
      <c r="D104" s="111" t="str">
        <f t="shared" si="1"/>
        <v>Gegenstrom</v>
      </c>
      <c r="E104" s="64" t="s">
        <v>177</v>
      </c>
      <c r="F104" s="115" t="s">
        <v>992</v>
      </c>
      <c r="G104" s="65" t="s">
        <v>740</v>
      </c>
    </row>
    <row r="105" spans="1:7" ht="26.1" customHeight="1">
      <c r="A105" s="75">
        <v>102</v>
      </c>
      <c r="B105" s="139" t="s">
        <v>314</v>
      </c>
      <c r="C105" s="139" t="s">
        <v>490</v>
      </c>
      <c r="D105" s="112" t="str">
        <f t="shared" si="1"/>
        <v>Rotations-WT</v>
      </c>
      <c r="E105" s="64" t="s">
        <v>317</v>
      </c>
      <c r="F105" s="115" t="s">
        <v>993</v>
      </c>
      <c r="G105" s="77" t="s">
        <v>741</v>
      </c>
    </row>
    <row r="106" spans="1:7" ht="26.1" customHeight="1">
      <c r="A106" s="63">
        <v>103</v>
      </c>
      <c r="B106" s="139" t="s">
        <v>314</v>
      </c>
      <c r="C106" s="139" t="s">
        <v>491</v>
      </c>
      <c r="D106" s="111" t="str">
        <f t="shared" si="1"/>
        <v>Kreislauf-KVS</v>
      </c>
      <c r="E106" s="64" t="s">
        <v>74</v>
      </c>
      <c r="F106" s="115" t="s">
        <v>994</v>
      </c>
      <c r="G106" s="65" t="s">
        <v>742</v>
      </c>
    </row>
    <row r="107" spans="1:7" ht="26.1" customHeight="1">
      <c r="A107" s="63">
        <v>104</v>
      </c>
      <c r="B107" s="139" t="s">
        <v>314</v>
      </c>
      <c r="C107" s="139" t="s">
        <v>492</v>
      </c>
      <c r="D107" s="111" t="str">
        <f t="shared" si="1"/>
        <v>AC-Motor</v>
      </c>
      <c r="E107" s="64" t="s">
        <v>321</v>
      </c>
      <c r="F107" s="115" t="s">
        <v>995</v>
      </c>
      <c r="G107" s="65" t="s">
        <v>743</v>
      </c>
    </row>
    <row r="108" spans="1:7" ht="26.1" customHeight="1">
      <c r="A108" s="63">
        <v>105</v>
      </c>
      <c r="B108" s="139" t="s">
        <v>314</v>
      </c>
      <c r="C108" s="139" t="s">
        <v>493</v>
      </c>
      <c r="D108" s="111" t="str">
        <f t="shared" si="1"/>
        <v>DC/EC-Motor</v>
      </c>
      <c r="E108" s="64" t="s">
        <v>322</v>
      </c>
      <c r="F108" s="115" t="s">
        <v>996</v>
      </c>
      <c r="G108" s="65" t="s">
        <v>744</v>
      </c>
    </row>
    <row r="109" spans="1:7" ht="26.1" customHeight="1">
      <c r="A109" s="63">
        <v>106</v>
      </c>
      <c r="D109" s="111" t="str">
        <f t="shared" si="1"/>
        <v>Deckungsgrad zu hoch</v>
      </c>
      <c r="E109" s="64" t="s">
        <v>5</v>
      </c>
      <c r="F109" s="115" t="s">
        <v>261</v>
      </c>
      <c r="G109" s="65" t="s">
        <v>745</v>
      </c>
    </row>
    <row r="110" spans="1:7" ht="26.1" customHeight="1">
      <c r="A110" s="63">
        <v>107</v>
      </c>
      <c r="D110" s="111" t="str">
        <f t="shared" si="1"/>
        <v>Heizung ausgewählt</v>
      </c>
      <c r="E110" s="64" t="s">
        <v>6</v>
      </c>
      <c r="F110" s="115" t="s">
        <v>262</v>
      </c>
      <c r="G110" s="65" t="s">
        <v>746</v>
      </c>
    </row>
    <row r="111" spans="1:7" ht="26.1" customHeight="1">
      <c r="A111" s="63">
        <v>108</v>
      </c>
      <c r="D111" s="111" t="str">
        <f t="shared" si="1"/>
        <v>Warmwasser ausgewählt</v>
      </c>
      <c r="E111" s="64" t="s">
        <v>7</v>
      </c>
      <c r="F111" s="115" t="s">
        <v>263</v>
      </c>
      <c r="G111" s="65" t="s">
        <v>747</v>
      </c>
    </row>
    <row r="112" spans="1:7" ht="26.1" customHeight="1">
      <c r="A112" s="63">
        <v>109</v>
      </c>
      <c r="D112" s="111" t="str">
        <f t="shared" si="1"/>
        <v>Berechnung beilege</v>
      </c>
      <c r="E112" s="64" t="s">
        <v>8</v>
      </c>
      <c r="F112" s="115" t="s">
        <v>264</v>
      </c>
      <c r="G112" s="65" t="s">
        <v>748</v>
      </c>
    </row>
    <row r="113" spans="1:7" ht="26.1" customHeight="1">
      <c r="A113" s="63">
        <v>110</v>
      </c>
      <c r="D113" s="111" t="str">
        <f t="shared" si="1"/>
        <v>Zusätzlich Elektro-Wassererwärmer wählen</v>
      </c>
      <c r="E113" s="64" t="s">
        <v>106</v>
      </c>
      <c r="F113" s="115" t="s">
        <v>265</v>
      </c>
      <c r="G113" s="65" t="s">
        <v>749</v>
      </c>
    </row>
    <row r="114" spans="1:7" ht="26.1" customHeight="1">
      <c r="A114" s="63">
        <v>111</v>
      </c>
      <c r="D114" s="111" t="str">
        <f t="shared" si="1"/>
        <v>Externe Berechnung beilegen</v>
      </c>
      <c r="E114" s="64" t="s">
        <v>210</v>
      </c>
      <c r="F114" s="115" t="s">
        <v>258</v>
      </c>
      <c r="G114" s="65" t="s">
        <v>750</v>
      </c>
    </row>
    <row r="115" spans="1:7" ht="35.25" customHeight="1">
      <c r="A115" s="125">
        <v>112</v>
      </c>
      <c r="B115" s="141"/>
      <c r="C115" s="141"/>
      <c r="D115" s="126" t="str">
        <f t="shared" si="1"/>
        <v>Hinweis: Im Blatt 'Eingaben' wurde ein Lüftungsgerät mit integrierter Wärmepumpe gewählt
-&gt;  Wärmeerzeugung mit Abluft-WP wählen</v>
      </c>
      <c r="E115" s="64" t="s">
        <v>143</v>
      </c>
      <c r="F115" s="115" t="s">
        <v>93</v>
      </c>
      <c r="G115" s="129" t="s">
        <v>751</v>
      </c>
    </row>
    <row r="116" spans="1:7" s="130" customFormat="1" ht="25.9" customHeight="1">
      <c r="A116" s="63">
        <v>113</v>
      </c>
      <c r="B116" s="139" t="s">
        <v>21</v>
      </c>
      <c r="C116" s="139" t="s">
        <v>508</v>
      </c>
      <c r="D116" s="111" t="str">
        <f t="shared" si="1"/>
        <v xml:space="preserve">1) Externe Berechnung beilegen und Werte in Zellen F40 - I43 eintragen </v>
      </c>
      <c r="E116" s="127" t="s">
        <v>642</v>
      </c>
      <c r="F116" s="128" t="s">
        <v>643</v>
      </c>
      <c r="G116" s="65" t="s">
        <v>752</v>
      </c>
    </row>
    <row r="117" spans="1:7" ht="25.9" customHeight="1">
      <c r="A117" s="75">
        <v>114</v>
      </c>
      <c r="B117" s="139" t="s">
        <v>21</v>
      </c>
      <c r="C117" s="113" t="s">
        <v>649</v>
      </c>
      <c r="D117" s="112" t="str">
        <f t="shared" si="1"/>
        <v xml:space="preserve">EGID:  </v>
      </c>
      <c r="E117" s="64" t="s">
        <v>650</v>
      </c>
      <c r="F117" s="115" t="s">
        <v>753</v>
      </c>
      <c r="G117" s="77" t="s">
        <v>753</v>
      </c>
    </row>
    <row r="118" spans="1:7" ht="25.9" customHeight="1">
      <c r="A118" s="63">
        <v>115</v>
      </c>
      <c r="B118" s="139" t="s">
        <v>314</v>
      </c>
      <c r="C118" s="139" t="s">
        <v>22</v>
      </c>
      <c r="D118" s="111" t="str">
        <f t="shared" si="1"/>
        <v>Aargau</v>
      </c>
      <c r="E118" s="64" t="s">
        <v>304</v>
      </c>
      <c r="F118" s="115" t="s">
        <v>275</v>
      </c>
      <c r="G118" s="65" t="s">
        <v>754</v>
      </c>
    </row>
    <row r="119" spans="1:7" ht="25.9" customHeight="1">
      <c r="A119" s="63">
        <v>116</v>
      </c>
      <c r="B119" s="139" t="s">
        <v>314</v>
      </c>
      <c r="C119" s="139" t="s">
        <v>23</v>
      </c>
      <c r="D119" s="111" t="str">
        <f t="shared" si="1"/>
        <v>Appenzell Innerrhoden</v>
      </c>
      <c r="E119" s="64" t="s">
        <v>305</v>
      </c>
      <c r="F119" s="115" t="s">
        <v>276</v>
      </c>
      <c r="G119" s="65" t="s">
        <v>755</v>
      </c>
    </row>
    <row r="120" spans="1:7" ht="25.9" customHeight="1">
      <c r="A120" s="63">
        <v>117</v>
      </c>
      <c r="B120" s="139" t="s">
        <v>314</v>
      </c>
      <c r="C120" s="139" t="s">
        <v>24</v>
      </c>
      <c r="D120" s="111" t="str">
        <f t="shared" si="1"/>
        <v>Appenzell Ausserrhoden</v>
      </c>
      <c r="E120" s="64" t="s">
        <v>306</v>
      </c>
      <c r="F120" s="115" t="s">
        <v>1147</v>
      </c>
      <c r="G120" s="65" t="s">
        <v>756</v>
      </c>
    </row>
    <row r="121" spans="1:7" ht="25.9" customHeight="1">
      <c r="A121" s="63">
        <v>118</v>
      </c>
      <c r="B121" s="139" t="s">
        <v>314</v>
      </c>
      <c r="C121" s="139" t="s">
        <v>25</v>
      </c>
      <c r="D121" s="111" t="str">
        <f t="shared" si="1"/>
        <v>Bern</v>
      </c>
      <c r="E121" s="64" t="s">
        <v>147</v>
      </c>
      <c r="F121" s="115" t="s">
        <v>277</v>
      </c>
      <c r="G121" s="65" t="s">
        <v>757</v>
      </c>
    </row>
    <row r="122" spans="1:7" ht="25.9" customHeight="1">
      <c r="A122" s="63">
        <v>119</v>
      </c>
      <c r="B122" s="139" t="s">
        <v>314</v>
      </c>
      <c r="C122" s="139" t="s">
        <v>26</v>
      </c>
      <c r="D122" s="111" t="str">
        <f t="shared" si="1"/>
        <v>Basel Land</v>
      </c>
      <c r="E122" s="64" t="s">
        <v>307</v>
      </c>
      <c r="F122" s="115" t="s">
        <v>278</v>
      </c>
      <c r="G122" s="65" t="s">
        <v>758</v>
      </c>
    </row>
    <row r="123" spans="1:7" ht="25.9" customHeight="1">
      <c r="A123" s="63">
        <v>120</v>
      </c>
      <c r="B123" s="139" t="s">
        <v>314</v>
      </c>
      <c r="C123" s="139" t="s">
        <v>27</v>
      </c>
      <c r="D123" s="111" t="str">
        <f t="shared" si="1"/>
        <v>Basel Stadt</v>
      </c>
      <c r="E123" s="64" t="s">
        <v>308</v>
      </c>
      <c r="F123" s="115" t="s">
        <v>279</v>
      </c>
      <c r="G123" s="65" t="s">
        <v>759</v>
      </c>
    </row>
    <row r="124" spans="1:7" ht="25.9" customHeight="1">
      <c r="A124" s="63">
        <v>121</v>
      </c>
      <c r="B124" s="139" t="s">
        <v>314</v>
      </c>
      <c r="C124" s="139" t="s">
        <v>28</v>
      </c>
      <c r="D124" s="111" t="str">
        <f t="shared" si="1"/>
        <v>Fribourg</v>
      </c>
      <c r="E124" s="64" t="s">
        <v>149</v>
      </c>
      <c r="F124" s="115" t="s">
        <v>149</v>
      </c>
      <c r="G124" s="65" t="s">
        <v>760</v>
      </c>
    </row>
    <row r="125" spans="1:7" ht="25.9" customHeight="1">
      <c r="A125" s="63">
        <v>122</v>
      </c>
      <c r="B125" s="139" t="s">
        <v>314</v>
      </c>
      <c r="C125" s="139" t="s">
        <v>29</v>
      </c>
      <c r="D125" s="111" t="str">
        <f t="shared" si="1"/>
        <v>Genève</v>
      </c>
      <c r="E125" s="64" t="s">
        <v>150</v>
      </c>
      <c r="F125" s="115" t="s">
        <v>150</v>
      </c>
      <c r="G125" s="65" t="s">
        <v>761</v>
      </c>
    </row>
    <row r="126" spans="1:7" ht="25.9" customHeight="1">
      <c r="A126" s="63">
        <v>123</v>
      </c>
      <c r="B126" s="139" t="s">
        <v>314</v>
      </c>
      <c r="C126" s="139" t="s">
        <v>30</v>
      </c>
      <c r="D126" s="111" t="str">
        <f t="shared" si="1"/>
        <v>Glarus</v>
      </c>
      <c r="E126" s="64" t="s">
        <v>152</v>
      </c>
      <c r="F126" s="115" t="s">
        <v>280</v>
      </c>
      <c r="G126" s="65" t="s">
        <v>762</v>
      </c>
    </row>
    <row r="127" spans="1:7" ht="25.9" customHeight="1">
      <c r="A127" s="63">
        <v>124</v>
      </c>
      <c r="B127" s="139" t="s">
        <v>314</v>
      </c>
      <c r="C127" s="139" t="s">
        <v>31</v>
      </c>
      <c r="D127" s="111" t="str">
        <f t="shared" si="1"/>
        <v>Graubünden</v>
      </c>
      <c r="E127" s="64" t="s">
        <v>215</v>
      </c>
      <c r="F127" s="115" t="s">
        <v>1148</v>
      </c>
      <c r="G127" s="65" t="s">
        <v>763</v>
      </c>
    </row>
    <row r="128" spans="1:7" ht="25.9" customHeight="1">
      <c r="A128" s="63">
        <v>125</v>
      </c>
      <c r="B128" s="139" t="s">
        <v>314</v>
      </c>
      <c r="C128" s="139" t="s">
        <v>421</v>
      </c>
      <c r="D128" s="111" t="str">
        <f t="shared" si="1"/>
        <v>Jura</v>
      </c>
      <c r="E128" s="64" t="s">
        <v>206</v>
      </c>
      <c r="F128" s="115" t="s">
        <v>206</v>
      </c>
      <c r="G128" s="65" t="s">
        <v>764</v>
      </c>
    </row>
    <row r="129" spans="1:7" ht="25.9" customHeight="1">
      <c r="A129" s="63">
        <v>126</v>
      </c>
      <c r="B129" s="139" t="s">
        <v>314</v>
      </c>
      <c r="C129" s="139" t="s">
        <v>32</v>
      </c>
      <c r="D129" s="111" t="str">
        <f t="shared" si="1"/>
        <v>Luzern</v>
      </c>
      <c r="E129" s="64" t="s">
        <v>148</v>
      </c>
      <c r="F129" s="115" t="s">
        <v>281</v>
      </c>
      <c r="G129" s="65" t="s">
        <v>765</v>
      </c>
    </row>
    <row r="130" spans="1:7" ht="25.9" customHeight="1">
      <c r="A130" s="63">
        <v>127</v>
      </c>
      <c r="B130" s="139" t="s">
        <v>314</v>
      </c>
      <c r="C130" s="139" t="s">
        <v>33</v>
      </c>
      <c r="D130" s="111" t="str">
        <f t="shared" si="1"/>
        <v>Neuenburg</v>
      </c>
      <c r="E130" s="64" t="s">
        <v>207</v>
      </c>
      <c r="F130" s="115" t="s">
        <v>151</v>
      </c>
      <c r="G130" s="65" t="s">
        <v>151</v>
      </c>
    </row>
    <row r="131" spans="1:7" ht="25.9" customHeight="1">
      <c r="A131" s="63">
        <v>128</v>
      </c>
      <c r="B131" s="139" t="s">
        <v>314</v>
      </c>
      <c r="C131" s="139" t="s">
        <v>34</v>
      </c>
      <c r="D131" s="111" t="str">
        <f t="shared" si="1"/>
        <v>Nidwalden</v>
      </c>
      <c r="E131" s="64" t="s">
        <v>213</v>
      </c>
      <c r="F131" s="115" t="s">
        <v>282</v>
      </c>
      <c r="G131" s="65" t="s">
        <v>766</v>
      </c>
    </row>
    <row r="132" spans="1:7" ht="25.9" customHeight="1">
      <c r="A132" s="63">
        <v>129</v>
      </c>
      <c r="B132" s="139" t="s">
        <v>314</v>
      </c>
      <c r="C132" s="139" t="s">
        <v>35</v>
      </c>
      <c r="D132" s="111" t="str">
        <f t="shared" si="1"/>
        <v>Obwalden</v>
      </c>
      <c r="E132" s="64" t="s">
        <v>212</v>
      </c>
      <c r="F132" s="115" t="s">
        <v>283</v>
      </c>
      <c r="G132" s="65" t="s">
        <v>767</v>
      </c>
    </row>
    <row r="133" spans="1:7" ht="25.9" customHeight="1">
      <c r="A133" s="63">
        <v>130</v>
      </c>
      <c r="B133" s="139" t="s">
        <v>314</v>
      </c>
      <c r="C133" s="139" t="s">
        <v>36</v>
      </c>
      <c r="D133" s="111" t="str">
        <f t="shared" ref="D133:D196" si="2">INDEX($E$4:$G$503,$A133,$A$1)</f>
        <v>St. Gallen</v>
      </c>
      <c r="E133" s="64" t="s">
        <v>146</v>
      </c>
      <c r="F133" s="115" t="s">
        <v>284</v>
      </c>
      <c r="G133" s="65" t="s">
        <v>768</v>
      </c>
    </row>
    <row r="134" spans="1:7" ht="25.9" customHeight="1">
      <c r="A134" s="63">
        <v>131</v>
      </c>
      <c r="B134" s="139" t="s">
        <v>314</v>
      </c>
      <c r="C134" s="139" t="s">
        <v>37</v>
      </c>
      <c r="D134" s="111" t="str">
        <f t="shared" si="2"/>
        <v>Schaffhausen</v>
      </c>
      <c r="E134" s="64" t="s">
        <v>145</v>
      </c>
      <c r="F134" s="115" t="s">
        <v>285</v>
      </c>
      <c r="G134" s="65" t="s">
        <v>769</v>
      </c>
    </row>
    <row r="135" spans="1:7" ht="25.9" customHeight="1">
      <c r="A135" s="63">
        <v>132</v>
      </c>
      <c r="B135" s="139" t="s">
        <v>314</v>
      </c>
      <c r="C135" s="139" t="s">
        <v>38</v>
      </c>
      <c r="D135" s="111" t="str">
        <f t="shared" si="2"/>
        <v>Solothurn</v>
      </c>
      <c r="E135" s="64" t="s">
        <v>144</v>
      </c>
      <c r="F135" s="115" t="s">
        <v>286</v>
      </c>
      <c r="G135" s="65" t="s">
        <v>770</v>
      </c>
    </row>
    <row r="136" spans="1:7" ht="25.9" customHeight="1">
      <c r="A136" s="63">
        <v>133</v>
      </c>
      <c r="B136" s="139" t="s">
        <v>314</v>
      </c>
      <c r="C136" s="139" t="s">
        <v>39</v>
      </c>
      <c r="D136" s="111" t="str">
        <f t="shared" si="2"/>
        <v>Schwyz</v>
      </c>
      <c r="E136" s="64" t="s">
        <v>211</v>
      </c>
      <c r="F136" s="115" t="s">
        <v>287</v>
      </c>
      <c r="G136" s="65" t="s">
        <v>771</v>
      </c>
    </row>
    <row r="137" spans="1:7" ht="25.9" customHeight="1">
      <c r="A137" s="63">
        <v>134</v>
      </c>
      <c r="B137" s="139" t="s">
        <v>314</v>
      </c>
      <c r="C137" s="139" t="s">
        <v>40</v>
      </c>
      <c r="D137" s="111" t="str">
        <f t="shared" si="2"/>
        <v>Thurgau</v>
      </c>
      <c r="E137" s="64" t="s">
        <v>205</v>
      </c>
      <c r="F137" s="115" t="s">
        <v>288</v>
      </c>
      <c r="G137" s="65" t="s">
        <v>772</v>
      </c>
    </row>
    <row r="138" spans="1:7" ht="25.9" customHeight="1">
      <c r="A138" s="63">
        <v>135</v>
      </c>
      <c r="B138" s="139" t="s">
        <v>314</v>
      </c>
      <c r="C138" s="139" t="s">
        <v>41</v>
      </c>
      <c r="D138" s="111" t="str">
        <f t="shared" si="2"/>
        <v>Tessin</v>
      </c>
      <c r="E138" s="64" t="s">
        <v>216</v>
      </c>
      <c r="F138" s="115" t="s">
        <v>216</v>
      </c>
      <c r="G138" s="65" t="s">
        <v>773</v>
      </c>
    </row>
    <row r="139" spans="1:7" ht="25.9" customHeight="1">
      <c r="A139" s="63">
        <v>136</v>
      </c>
      <c r="B139" s="139" t="s">
        <v>314</v>
      </c>
      <c r="C139" s="139" t="s">
        <v>42</v>
      </c>
      <c r="D139" s="111" t="str">
        <f t="shared" si="2"/>
        <v>Uri</v>
      </c>
      <c r="E139" s="64" t="s">
        <v>214</v>
      </c>
      <c r="F139" s="115" t="s">
        <v>214</v>
      </c>
      <c r="G139" s="65" t="s">
        <v>214</v>
      </c>
    </row>
    <row r="140" spans="1:7" ht="25.9" customHeight="1">
      <c r="A140" s="63">
        <v>137</v>
      </c>
      <c r="B140" s="139" t="s">
        <v>314</v>
      </c>
      <c r="C140" s="139" t="s">
        <v>43</v>
      </c>
      <c r="D140" s="111" t="str">
        <f t="shared" si="2"/>
        <v>Waadt</v>
      </c>
      <c r="E140" s="64" t="s">
        <v>309</v>
      </c>
      <c r="F140" s="115" t="s">
        <v>289</v>
      </c>
      <c r="G140" s="65" t="s">
        <v>289</v>
      </c>
    </row>
    <row r="141" spans="1:7" ht="25.9" customHeight="1">
      <c r="A141" s="63">
        <v>138</v>
      </c>
      <c r="B141" s="139" t="s">
        <v>314</v>
      </c>
      <c r="C141" s="139" t="s">
        <v>44</v>
      </c>
      <c r="D141" s="111" t="str">
        <f t="shared" si="2"/>
        <v>Wallis</v>
      </c>
      <c r="E141" s="64" t="s">
        <v>202</v>
      </c>
      <c r="F141" s="115" t="s">
        <v>290</v>
      </c>
      <c r="G141" s="65" t="s">
        <v>774</v>
      </c>
    </row>
    <row r="142" spans="1:7" ht="25.9" customHeight="1">
      <c r="A142" s="63">
        <v>139</v>
      </c>
      <c r="B142" s="139" t="s">
        <v>314</v>
      </c>
      <c r="C142" s="139" t="s">
        <v>45</v>
      </c>
      <c r="D142" s="111" t="str">
        <f t="shared" si="2"/>
        <v>Zug</v>
      </c>
      <c r="E142" s="64" t="s">
        <v>203</v>
      </c>
      <c r="F142" s="115" t="s">
        <v>291</v>
      </c>
      <c r="G142" s="65" t="s">
        <v>775</v>
      </c>
    </row>
    <row r="143" spans="1:7" ht="25.9" customHeight="1">
      <c r="A143" s="63">
        <v>140</v>
      </c>
      <c r="B143" s="139" t="s">
        <v>314</v>
      </c>
      <c r="C143" s="139" t="s">
        <v>46</v>
      </c>
      <c r="D143" s="111" t="str">
        <f t="shared" si="2"/>
        <v>Zürich</v>
      </c>
      <c r="E143" s="64" t="s">
        <v>204</v>
      </c>
      <c r="F143" s="115" t="s">
        <v>292</v>
      </c>
      <c r="G143" s="65" t="s">
        <v>776</v>
      </c>
    </row>
    <row r="144" spans="1:7" ht="25.9" customHeight="1">
      <c r="A144" s="63">
        <v>141</v>
      </c>
      <c r="B144" s="139" t="s">
        <v>314</v>
      </c>
      <c r="C144" s="139" t="s">
        <v>47</v>
      </c>
      <c r="D144" s="111" t="str">
        <f t="shared" si="2"/>
        <v>Fürstentum Liechtenstein</v>
      </c>
      <c r="E144" s="64" t="s">
        <v>310</v>
      </c>
      <c r="F144" s="115" t="s">
        <v>293</v>
      </c>
      <c r="G144" s="65" t="s">
        <v>777</v>
      </c>
    </row>
    <row r="145" spans="1:7" ht="25.9" customHeight="1">
      <c r="A145" s="63">
        <v>142</v>
      </c>
      <c r="B145" s="139" t="s">
        <v>314</v>
      </c>
      <c r="C145" s="139" t="s">
        <v>267</v>
      </c>
      <c r="D145" s="111" t="str">
        <f t="shared" si="2"/>
        <v>Spezial</v>
      </c>
      <c r="E145" s="64" t="s">
        <v>266</v>
      </c>
      <c r="F145" s="115" t="s">
        <v>294</v>
      </c>
      <c r="G145" s="65" t="s">
        <v>778</v>
      </c>
    </row>
    <row r="146" spans="1:7" ht="25.9" customHeight="1">
      <c r="A146" s="63">
        <v>143</v>
      </c>
      <c r="B146" s="139" t="s">
        <v>21</v>
      </c>
      <c r="C146" s="139" t="s">
        <v>494</v>
      </c>
      <c r="D146" s="111" t="str">
        <f t="shared" si="2"/>
        <v>Unterschriften</v>
      </c>
      <c r="E146" s="64" t="s">
        <v>358</v>
      </c>
      <c r="F146" s="115" t="s">
        <v>997</v>
      </c>
      <c r="G146" s="65" t="s">
        <v>779</v>
      </c>
    </row>
    <row r="147" spans="1:7" ht="25.9" customHeight="1">
      <c r="A147" s="63">
        <v>144</v>
      </c>
      <c r="B147" s="139" t="s">
        <v>21</v>
      </c>
      <c r="C147" s="139" t="s">
        <v>495</v>
      </c>
      <c r="D147" s="111" t="str">
        <f t="shared" si="2"/>
        <v xml:space="preserve"> Nachweis erarbeitet durch:</v>
      </c>
      <c r="E147" s="64" t="s">
        <v>359</v>
      </c>
      <c r="F147" s="115" t="s">
        <v>998</v>
      </c>
      <c r="G147" s="65" t="s">
        <v>780</v>
      </c>
    </row>
    <row r="148" spans="1:7" ht="25.9" customHeight="1">
      <c r="A148" s="63">
        <v>145</v>
      </c>
      <c r="B148" s="139" t="s">
        <v>21</v>
      </c>
      <c r="C148" s="139" t="s">
        <v>496</v>
      </c>
      <c r="D148" s="111" t="str">
        <f t="shared" si="2"/>
        <v xml:space="preserve"> Nachweisprüfung / Private Kontrolle:</v>
      </c>
      <c r="E148" s="64" t="s">
        <v>360</v>
      </c>
      <c r="F148" s="115" t="s">
        <v>999</v>
      </c>
      <c r="G148" s="65" t="s">
        <v>781</v>
      </c>
    </row>
    <row r="149" spans="1:7" ht="25.9" customHeight="1">
      <c r="A149" s="63">
        <v>146</v>
      </c>
      <c r="B149" s="139" t="s">
        <v>21</v>
      </c>
      <c r="C149" s="139" t="s">
        <v>497</v>
      </c>
      <c r="D149" s="111" t="str">
        <f t="shared" si="2"/>
        <v xml:space="preserve"> Die Richtigkeit bescheinigt</v>
      </c>
      <c r="E149" s="64" t="s">
        <v>361</v>
      </c>
      <c r="F149" s="115" t="s">
        <v>1000</v>
      </c>
      <c r="G149" s="65" t="s">
        <v>782</v>
      </c>
    </row>
    <row r="150" spans="1:7" ht="25.9" customHeight="1">
      <c r="A150" s="63">
        <v>147</v>
      </c>
      <c r="B150" s="139" t="s">
        <v>21</v>
      </c>
      <c r="C150" s="139" t="s">
        <v>498</v>
      </c>
      <c r="D150" s="111" t="str">
        <f t="shared" si="2"/>
        <v>Name und Adresse</v>
      </c>
      <c r="E150" s="64" t="s">
        <v>362</v>
      </c>
      <c r="F150" s="115" t="s">
        <v>1001</v>
      </c>
      <c r="G150" s="65" t="s">
        <v>783</v>
      </c>
    </row>
    <row r="151" spans="1:7" ht="25.9" customHeight="1">
      <c r="A151" s="63">
        <v>148</v>
      </c>
      <c r="B151" s="139" t="s">
        <v>21</v>
      </c>
      <c r="C151" s="139" t="s">
        <v>499</v>
      </c>
      <c r="D151" s="111" t="str">
        <f t="shared" si="2"/>
        <v>bzw. Firmenstempel</v>
      </c>
      <c r="E151" s="64" t="s">
        <v>363</v>
      </c>
      <c r="F151" s="115" t="s">
        <v>1002</v>
      </c>
      <c r="G151" s="65" t="s">
        <v>784</v>
      </c>
    </row>
    <row r="152" spans="1:7" ht="25.9" customHeight="1">
      <c r="A152" s="63">
        <v>149</v>
      </c>
      <c r="B152" s="139" t="s">
        <v>21</v>
      </c>
      <c r="C152" s="139" t="s">
        <v>500</v>
      </c>
      <c r="D152" s="111" t="str">
        <f t="shared" si="2"/>
        <v>Sachbearbeiter/-in, Tel.:</v>
      </c>
      <c r="E152" s="64" t="s">
        <v>364</v>
      </c>
      <c r="F152" s="115" t="s">
        <v>1003</v>
      </c>
      <c r="G152" s="65" t="s">
        <v>785</v>
      </c>
    </row>
    <row r="153" spans="1:7" ht="25.9" customHeight="1">
      <c r="A153" s="63">
        <v>150</v>
      </c>
      <c r="B153" s="139" t="s">
        <v>21</v>
      </c>
      <c r="C153" s="139" t="s">
        <v>503</v>
      </c>
      <c r="D153" s="111" t="str">
        <f t="shared" si="2"/>
        <v>Ort, Datum, Unterschrift:</v>
      </c>
      <c r="E153" s="64" t="s">
        <v>365</v>
      </c>
      <c r="F153" s="115" t="s">
        <v>1004</v>
      </c>
      <c r="G153" s="65" t="s">
        <v>786</v>
      </c>
    </row>
    <row r="154" spans="1:7" ht="25.9" customHeight="1">
      <c r="A154" s="63">
        <v>151</v>
      </c>
      <c r="B154" s="139" t="s">
        <v>21</v>
      </c>
      <c r="C154" s="139" t="s">
        <v>504</v>
      </c>
      <c r="D154" s="111" t="str">
        <f t="shared" si="2"/>
        <v>Ausführungskontrolle:</v>
      </c>
      <c r="E154" s="64" t="s">
        <v>366</v>
      </c>
      <c r="F154" s="115" t="s">
        <v>1005</v>
      </c>
      <c r="G154" s="65" t="s">
        <v>787</v>
      </c>
    </row>
    <row r="155" spans="1:7" ht="25.9" customHeight="1">
      <c r="A155" s="63">
        <v>152</v>
      </c>
      <c r="B155" s="139" t="s">
        <v>21</v>
      </c>
      <c r="C155" s="139" t="s">
        <v>506</v>
      </c>
      <c r="D155" s="111" t="str">
        <f t="shared" si="2"/>
        <v>Gleiche Person</v>
      </c>
      <c r="E155" s="64" t="s">
        <v>371</v>
      </c>
      <c r="F155" s="115" t="s">
        <v>1006</v>
      </c>
      <c r="G155" s="65" t="s">
        <v>788</v>
      </c>
    </row>
    <row r="156" spans="1:7" ht="25.9" customHeight="1">
      <c r="A156" s="132">
        <v>153</v>
      </c>
      <c r="B156" s="142" t="s">
        <v>21</v>
      </c>
      <c r="C156" s="142" t="s">
        <v>507</v>
      </c>
      <c r="D156" s="133" t="str">
        <f t="shared" si="2"/>
        <v>oder:</v>
      </c>
      <c r="E156" s="134" t="s">
        <v>372</v>
      </c>
      <c r="F156" s="135" t="s">
        <v>1007</v>
      </c>
      <c r="G156" s="136" t="s">
        <v>789</v>
      </c>
    </row>
    <row r="157" spans="1:7" ht="25.9" customHeight="1">
      <c r="A157" s="75">
        <v>154</v>
      </c>
      <c r="B157" s="139" t="s">
        <v>314</v>
      </c>
      <c r="C157" s="139" t="s">
        <v>509</v>
      </c>
      <c r="D157" s="112" t="str">
        <f t="shared" si="2"/>
        <v>Ölfeuerung</v>
      </c>
      <c r="E157" s="76" t="s">
        <v>111</v>
      </c>
      <c r="F157" s="117" t="s">
        <v>1008</v>
      </c>
      <c r="G157" s="77" t="s">
        <v>790</v>
      </c>
    </row>
    <row r="158" spans="1:7" ht="25.9" customHeight="1">
      <c r="A158" s="63">
        <v>155</v>
      </c>
      <c r="B158" s="139" t="s">
        <v>314</v>
      </c>
      <c r="C158" s="139" t="s">
        <v>510</v>
      </c>
      <c r="D158" s="111" t="str">
        <f t="shared" si="2"/>
        <v>Ölfeuerung kondensierend nur Heizung</v>
      </c>
      <c r="E158" s="64" t="s">
        <v>51</v>
      </c>
      <c r="F158" s="115" t="s">
        <v>1009</v>
      </c>
      <c r="G158" s="65" t="s">
        <v>791</v>
      </c>
    </row>
    <row r="159" spans="1:7" ht="25.9" customHeight="1">
      <c r="A159" s="63">
        <v>156</v>
      </c>
      <c r="B159" s="139" t="s">
        <v>314</v>
      </c>
      <c r="C159" s="139" t="s">
        <v>511</v>
      </c>
      <c r="D159" s="111" t="str">
        <f t="shared" si="2"/>
        <v>Ölfeuerung kondensierend nur Warmwasser</v>
      </c>
      <c r="E159" s="64" t="s">
        <v>52</v>
      </c>
      <c r="F159" s="115" t="s">
        <v>1010</v>
      </c>
      <c r="G159" s="65" t="s">
        <v>792</v>
      </c>
    </row>
    <row r="160" spans="1:7" ht="25.9" customHeight="1">
      <c r="A160" s="63">
        <v>157</v>
      </c>
      <c r="B160" s="139" t="s">
        <v>314</v>
      </c>
      <c r="C160" s="139" t="s">
        <v>512</v>
      </c>
      <c r="D160" s="111" t="str">
        <f t="shared" si="2"/>
        <v>Gasfeuerung</v>
      </c>
      <c r="E160" s="64" t="s">
        <v>112</v>
      </c>
      <c r="F160" s="115" t="s">
        <v>1011</v>
      </c>
      <c r="G160" s="65" t="s">
        <v>793</v>
      </c>
    </row>
    <row r="161" spans="1:7" ht="25.9" customHeight="1">
      <c r="A161" s="63">
        <v>158</v>
      </c>
      <c r="B161" s="139" t="s">
        <v>314</v>
      </c>
      <c r="C161" s="139" t="s">
        <v>513</v>
      </c>
      <c r="D161" s="111" t="str">
        <f t="shared" si="2"/>
        <v>Gasfeuerung kondensierend nur Heizung</v>
      </c>
      <c r="E161" s="64" t="s">
        <v>53</v>
      </c>
      <c r="F161" s="115" t="s">
        <v>1012</v>
      </c>
      <c r="G161" s="65" t="s">
        <v>794</v>
      </c>
    </row>
    <row r="162" spans="1:7" ht="25.9" customHeight="1">
      <c r="A162" s="63">
        <v>159</v>
      </c>
      <c r="B162" s="139" t="s">
        <v>314</v>
      </c>
      <c r="C162" s="139" t="s">
        <v>514</v>
      </c>
      <c r="D162" s="111" t="str">
        <f t="shared" si="2"/>
        <v>Gasfeuerung kondensierend nur Warmwasser</v>
      </c>
      <c r="E162" s="64" t="s">
        <v>54</v>
      </c>
      <c r="F162" s="115" t="s">
        <v>1013</v>
      </c>
      <c r="G162" s="65" t="s">
        <v>795</v>
      </c>
    </row>
    <row r="163" spans="1:7" ht="26.1" customHeight="1">
      <c r="A163" s="63">
        <v>160</v>
      </c>
      <c r="B163" s="139" t="s">
        <v>314</v>
      </c>
      <c r="C163" s="139" t="s">
        <v>515</v>
      </c>
      <c r="D163" s="111" t="str">
        <f t="shared" si="2"/>
        <v>Gas - Wassererwärmer</v>
      </c>
      <c r="E163" s="64" t="s">
        <v>113</v>
      </c>
      <c r="F163" s="115" t="s">
        <v>1014</v>
      </c>
      <c r="G163" s="65" t="s">
        <v>796</v>
      </c>
    </row>
    <row r="164" spans="1:7" ht="26.1" customHeight="1">
      <c r="A164" s="63">
        <v>161</v>
      </c>
      <c r="B164" s="139" t="s">
        <v>314</v>
      </c>
      <c r="C164" s="139" t="s">
        <v>516</v>
      </c>
      <c r="D164" s="111" t="str">
        <f t="shared" si="2"/>
        <v>Holzfeuerung</v>
      </c>
      <c r="E164" s="64" t="s">
        <v>157</v>
      </c>
      <c r="F164" s="115" t="s">
        <v>1015</v>
      </c>
      <c r="G164" s="65" t="s">
        <v>797</v>
      </c>
    </row>
    <row r="165" spans="1:7" ht="26.1" customHeight="1">
      <c r="A165" s="63">
        <v>162</v>
      </c>
      <c r="B165" s="139" t="s">
        <v>314</v>
      </c>
      <c r="C165" s="139" t="s">
        <v>517</v>
      </c>
      <c r="D165" s="111" t="str">
        <f t="shared" si="2"/>
        <v>Pelletfeuerung</v>
      </c>
      <c r="E165" s="64" t="s">
        <v>3</v>
      </c>
      <c r="F165" s="115" t="s">
        <v>1016</v>
      </c>
      <c r="G165" s="65" t="s">
        <v>798</v>
      </c>
    </row>
    <row r="166" spans="1:7" ht="26.1" customHeight="1">
      <c r="A166" s="63">
        <v>163</v>
      </c>
      <c r="B166" s="139" t="s">
        <v>314</v>
      </c>
      <c r="C166" s="139" t="s">
        <v>518</v>
      </c>
      <c r="D166" s="111" t="str">
        <f t="shared" si="2"/>
        <v>Fernwärme (inkl. Abwärme aus KVA,ARA), &lt;=50% nicht erneuerbar</v>
      </c>
      <c r="E166" s="64" t="s">
        <v>660</v>
      </c>
      <c r="F166" s="115" t="s">
        <v>1017</v>
      </c>
      <c r="G166" s="65" t="s">
        <v>915</v>
      </c>
    </row>
    <row r="167" spans="1:7" ht="26.1" customHeight="1">
      <c r="A167" s="63">
        <v>164</v>
      </c>
      <c r="B167" s="139" t="s">
        <v>314</v>
      </c>
      <c r="C167" s="139" t="s">
        <v>519</v>
      </c>
      <c r="D167" s="111" t="str">
        <f t="shared" si="2"/>
        <v>Elektrospeicher-Zentralheizung</v>
      </c>
      <c r="E167" s="64" t="s">
        <v>105</v>
      </c>
      <c r="F167" s="115" t="s">
        <v>1018</v>
      </c>
      <c r="G167" s="65" t="s">
        <v>799</v>
      </c>
    </row>
    <row r="168" spans="1:7" ht="26.1" customHeight="1">
      <c r="A168" s="63">
        <v>165</v>
      </c>
      <c r="B168" s="139" t="s">
        <v>314</v>
      </c>
      <c r="C168" s="139" t="s">
        <v>520</v>
      </c>
      <c r="D168" s="111" t="str">
        <f t="shared" si="2"/>
        <v>Elektro direkt</v>
      </c>
      <c r="E168" s="64" t="s">
        <v>19</v>
      </c>
      <c r="F168" s="115" t="s">
        <v>1019</v>
      </c>
      <c r="G168" s="65" t="s">
        <v>800</v>
      </c>
    </row>
    <row r="169" spans="1:7" ht="26.1" customHeight="1">
      <c r="A169" s="63">
        <v>166</v>
      </c>
      <c r="B169" s="139" t="s">
        <v>314</v>
      </c>
      <c r="C169" s="139" t="s">
        <v>521</v>
      </c>
      <c r="D169" s="111" t="str">
        <f t="shared" si="2"/>
        <v>Elektro-Wassererwärmer</v>
      </c>
      <c r="E169" s="64" t="s">
        <v>85</v>
      </c>
      <c r="F169" s="115" t="s">
        <v>1020</v>
      </c>
      <c r="G169" s="65" t="s">
        <v>801</v>
      </c>
    </row>
    <row r="170" spans="1:7" ht="26.1" customHeight="1">
      <c r="A170" s="63">
        <v>167</v>
      </c>
      <c r="B170" s="139" t="s">
        <v>314</v>
      </c>
      <c r="C170" s="139" t="s">
        <v>522</v>
      </c>
      <c r="D170" s="111" t="str">
        <f t="shared" si="2"/>
        <v>WKK (fossil) - thermischer + elektrischer Anteil</v>
      </c>
      <c r="E170" s="64" t="s">
        <v>341</v>
      </c>
      <c r="F170" s="115" t="s">
        <v>1021</v>
      </c>
      <c r="G170" s="65" t="s">
        <v>802</v>
      </c>
    </row>
    <row r="171" spans="1:7" ht="26.1" customHeight="1">
      <c r="A171" s="63">
        <v>168</v>
      </c>
      <c r="B171" s="139" t="s">
        <v>314</v>
      </c>
      <c r="C171" s="139" t="s">
        <v>523</v>
      </c>
      <c r="D171" s="111" t="str">
        <f t="shared" si="2"/>
        <v>WKK (Holz) - thermischer + elektrischer Anteil</v>
      </c>
      <c r="E171" s="64" t="s">
        <v>220</v>
      </c>
      <c r="F171" s="115" t="s">
        <v>1022</v>
      </c>
      <c r="G171" s="65" t="s">
        <v>803</v>
      </c>
    </row>
    <row r="172" spans="1:7" ht="25.9" customHeight="1">
      <c r="A172" s="63">
        <v>169</v>
      </c>
      <c r="B172" s="139" t="s">
        <v>314</v>
      </c>
      <c r="C172" s="139" t="s">
        <v>524</v>
      </c>
      <c r="D172" s="111" t="str">
        <f t="shared" si="2"/>
        <v>Wärmepumpe Aussenluft, nur Heizung</v>
      </c>
      <c r="E172" s="64" t="s">
        <v>55</v>
      </c>
      <c r="F172" s="115" t="s">
        <v>1149</v>
      </c>
      <c r="G172" s="65" t="s">
        <v>1748</v>
      </c>
    </row>
    <row r="173" spans="1:7" ht="25.9" customHeight="1">
      <c r="A173" s="63">
        <v>170</v>
      </c>
      <c r="B173" s="139" t="s">
        <v>314</v>
      </c>
      <c r="C173" s="139" t="s">
        <v>525</v>
      </c>
      <c r="D173" s="111" t="str">
        <f t="shared" si="2"/>
        <v>Wärmepumpe, Aussenluft, nur Warmwasser</v>
      </c>
      <c r="E173" s="64" t="s">
        <v>56</v>
      </c>
      <c r="F173" s="115" t="s">
        <v>1150</v>
      </c>
      <c r="G173" s="65" t="s">
        <v>1749</v>
      </c>
    </row>
    <row r="174" spans="1:7" ht="25.9" customHeight="1">
      <c r="A174" s="63">
        <v>171</v>
      </c>
      <c r="B174" s="139" t="s">
        <v>314</v>
      </c>
      <c r="C174" s="139" t="s">
        <v>526</v>
      </c>
      <c r="D174" s="111" t="str">
        <f t="shared" si="2"/>
        <v>Wärmepumpe, Erdwärmesonde, nur Heizung</v>
      </c>
      <c r="E174" s="64" t="s">
        <v>57</v>
      </c>
      <c r="F174" s="115" t="s">
        <v>1023</v>
      </c>
      <c r="G174" s="65" t="s">
        <v>804</v>
      </c>
    </row>
    <row r="175" spans="1:7" ht="26.1" customHeight="1">
      <c r="A175" s="63">
        <v>172</v>
      </c>
      <c r="B175" s="139" t="s">
        <v>314</v>
      </c>
      <c r="C175" s="139" t="s">
        <v>527</v>
      </c>
      <c r="D175" s="111" t="str">
        <f t="shared" si="2"/>
        <v>Wärmepumpe, Erdwärmesonde, nur Warmwasser</v>
      </c>
      <c r="E175" s="64" t="s">
        <v>58</v>
      </c>
      <c r="F175" s="115" t="s">
        <v>1024</v>
      </c>
      <c r="G175" s="65" t="s">
        <v>805</v>
      </c>
    </row>
    <row r="176" spans="1:7" ht="26.1" customHeight="1">
      <c r="A176" s="63">
        <v>173</v>
      </c>
      <c r="B176" s="139" t="s">
        <v>314</v>
      </c>
      <c r="C176" s="139" t="s">
        <v>528</v>
      </c>
      <c r="D176" s="111" t="str">
        <f t="shared" si="2"/>
        <v>Wärmepumpe, Abwasser, nur Heizung</v>
      </c>
      <c r="E176" s="64" t="s">
        <v>217</v>
      </c>
      <c r="F176" s="115" t="s">
        <v>1025</v>
      </c>
      <c r="G176" s="65" t="s">
        <v>806</v>
      </c>
    </row>
    <row r="177" spans="1:7" ht="26.1" customHeight="1">
      <c r="A177" s="63">
        <v>174</v>
      </c>
      <c r="B177" s="139" t="s">
        <v>314</v>
      </c>
      <c r="C177" s="139" t="s">
        <v>529</v>
      </c>
      <c r="D177" s="111" t="str">
        <f t="shared" si="2"/>
        <v>Wärmepumpe, Abwasser, nur Warmwasser</v>
      </c>
      <c r="E177" s="64" t="s">
        <v>218</v>
      </c>
      <c r="F177" s="115" t="s">
        <v>1026</v>
      </c>
      <c r="G177" s="65" t="s">
        <v>807</v>
      </c>
    </row>
    <row r="178" spans="1:7" ht="26.1" customHeight="1">
      <c r="A178" s="63">
        <v>175</v>
      </c>
      <c r="B178" s="139" t="s">
        <v>314</v>
      </c>
      <c r="C178" s="139" t="s">
        <v>530</v>
      </c>
      <c r="D178" s="111" t="str">
        <f t="shared" si="2"/>
        <v>Wasser-Wärmepumpe, nur Heizung</v>
      </c>
      <c r="E178" s="64" t="s">
        <v>219</v>
      </c>
      <c r="F178" s="115" t="s">
        <v>1027</v>
      </c>
      <c r="G178" s="65" t="s">
        <v>1750</v>
      </c>
    </row>
    <row r="179" spans="1:7" ht="26.1" customHeight="1">
      <c r="A179" s="63">
        <v>176</v>
      </c>
      <c r="B179" s="139" t="s">
        <v>314</v>
      </c>
      <c r="C179" s="139" t="s">
        <v>531</v>
      </c>
      <c r="D179" s="111" t="str">
        <f t="shared" si="2"/>
        <v>Wasser-Wärmepumpe, nur Warmwasser</v>
      </c>
      <c r="E179" s="64" t="s">
        <v>117</v>
      </c>
      <c r="F179" s="115" t="s">
        <v>1028</v>
      </c>
      <c r="G179" s="65" t="s">
        <v>1751</v>
      </c>
    </row>
    <row r="180" spans="1:7" ht="26.1" customHeight="1">
      <c r="A180" s="63">
        <v>177</v>
      </c>
      <c r="B180" s="139" t="s">
        <v>314</v>
      </c>
      <c r="C180" s="139" t="s">
        <v>532</v>
      </c>
      <c r="D180" s="111" t="str">
        <f t="shared" si="2"/>
        <v>Wärmepumpe, Grundwasser, direkt, nur Heizung</v>
      </c>
      <c r="E180" s="64" t="s">
        <v>118</v>
      </c>
      <c r="F180" s="115" t="s">
        <v>1029</v>
      </c>
      <c r="G180" s="65" t="s">
        <v>808</v>
      </c>
    </row>
    <row r="181" spans="1:7" ht="26.1" customHeight="1">
      <c r="A181" s="63">
        <v>178</v>
      </c>
      <c r="B181" s="139" t="s">
        <v>314</v>
      </c>
      <c r="C181" s="139" t="s">
        <v>533</v>
      </c>
      <c r="D181" s="111" t="str">
        <f t="shared" si="2"/>
        <v>Wärmepumpe, Grundwasser, direkt, nur Warmwasser</v>
      </c>
      <c r="E181" s="64" t="s">
        <v>119</v>
      </c>
      <c r="F181" s="115" t="s">
        <v>1030</v>
      </c>
      <c r="G181" s="65" t="s">
        <v>809</v>
      </c>
    </row>
    <row r="182" spans="1:7" ht="26.1" customHeight="1">
      <c r="A182" s="63">
        <v>179</v>
      </c>
      <c r="B182" s="139" t="s">
        <v>314</v>
      </c>
      <c r="C182" s="139" t="s">
        <v>534</v>
      </c>
      <c r="D182" s="111" t="str">
        <f t="shared" si="2"/>
        <v>Wärmepumpe, Grundwasser, indirekt, nur Heizung</v>
      </c>
      <c r="E182" s="64" t="s">
        <v>120</v>
      </c>
      <c r="F182" s="115" t="s">
        <v>1031</v>
      </c>
      <c r="G182" s="65" t="s">
        <v>810</v>
      </c>
    </row>
    <row r="183" spans="1:7" ht="26.1" customHeight="1">
      <c r="A183" s="63">
        <v>180</v>
      </c>
      <c r="B183" s="139" t="s">
        <v>314</v>
      </c>
      <c r="C183" s="139" t="s">
        <v>535</v>
      </c>
      <c r="D183" s="111" t="str">
        <f t="shared" si="2"/>
        <v>Wärmepumpe, Grundwasser, indirekt, nur Warmwaser</v>
      </c>
      <c r="E183" s="64" t="s">
        <v>121</v>
      </c>
      <c r="F183" s="115" t="s">
        <v>1032</v>
      </c>
      <c r="G183" s="65" t="s">
        <v>811</v>
      </c>
    </row>
    <row r="184" spans="1:7" ht="26.1" customHeight="1">
      <c r="A184" s="63">
        <v>181</v>
      </c>
      <c r="B184" s="139" t="s">
        <v>314</v>
      </c>
      <c r="C184" s="139" t="s">
        <v>536</v>
      </c>
      <c r="D184" s="111" t="str">
        <f t="shared" si="2"/>
        <v>Wärmepumpe Erdregister, nur Heizung</v>
      </c>
      <c r="E184" s="64" t="s">
        <v>122</v>
      </c>
      <c r="F184" s="115" t="s">
        <v>1033</v>
      </c>
      <c r="G184" s="65" t="s">
        <v>812</v>
      </c>
    </row>
    <row r="185" spans="1:7" ht="26.1" customHeight="1">
      <c r="A185" s="63">
        <v>182</v>
      </c>
      <c r="B185" s="139" t="s">
        <v>314</v>
      </c>
      <c r="C185" s="139" t="s">
        <v>537</v>
      </c>
      <c r="D185" s="111" t="str">
        <f t="shared" si="2"/>
        <v>Wärmepumpe Erdregister, nur Warmwasser</v>
      </c>
      <c r="E185" s="64" t="s">
        <v>123</v>
      </c>
      <c r="F185" s="115" t="s">
        <v>1034</v>
      </c>
      <c r="G185" s="65" t="s">
        <v>813</v>
      </c>
    </row>
    <row r="186" spans="1:7" ht="26.1" customHeight="1">
      <c r="A186" s="63">
        <v>183</v>
      </c>
      <c r="B186" s="139" t="s">
        <v>314</v>
      </c>
      <c r="C186" s="139" t="s">
        <v>538</v>
      </c>
      <c r="D186" s="111" t="str">
        <f t="shared" si="2"/>
        <v>Solarenergie thermisch, nur Heizung</v>
      </c>
      <c r="E186" s="64" t="s">
        <v>124</v>
      </c>
      <c r="F186" s="115" t="s">
        <v>1035</v>
      </c>
      <c r="G186" s="65" t="s">
        <v>814</v>
      </c>
    </row>
    <row r="187" spans="1:7" ht="26.1" customHeight="1">
      <c r="A187" s="63">
        <v>184</v>
      </c>
      <c r="B187" s="139" t="s">
        <v>314</v>
      </c>
      <c r="C187" s="139" t="s">
        <v>539</v>
      </c>
      <c r="D187" s="111" t="str">
        <f t="shared" si="2"/>
        <v>Solarenergie thermisch, nur Warmwasser</v>
      </c>
      <c r="E187" s="64" t="s">
        <v>125</v>
      </c>
      <c r="F187" s="115" t="s">
        <v>1036</v>
      </c>
      <c r="G187" s="65" t="s">
        <v>815</v>
      </c>
    </row>
    <row r="188" spans="1:7" ht="26.1" customHeight="1">
      <c r="A188" s="63">
        <v>185</v>
      </c>
      <c r="B188" s="139" t="s">
        <v>314</v>
      </c>
      <c r="C188" s="139" t="s">
        <v>540</v>
      </c>
      <c r="D188" s="111" t="str">
        <f t="shared" si="2"/>
        <v>Solarenergie thermisch, Heizung + WW</v>
      </c>
      <c r="E188" s="64" t="s">
        <v>87</v>
      </c>
      <c r="F188" s="115" t="s">
        <v>1037</v>
      </c>
      <c r="G188" s="65" t="s">
        <v>816</v>
      </c>
    </row>
    <row r="189" spans="1:7" ht="26.1" customHeight="1">
      <c r="A189" s="63">
        <v>186</v>
      </c>
      <c r="B189" s="139" t="s">
        <v>314</v>
      </c>
      <c r="C189" s="139" t="s">
        <v>541</v>
      </c>
      <c r="D189" s="111" t="str">
        <f t="shared" si="2"/>
        <v>Photovoltaik</v>
      </c>
      <c r="E189" s="64" t="s">
        <v>158</v>
      </c>
      <c r="F189" s="115" t="s">
        <v>1038</v>
      </c>
      <c r="G189" s="65" t="s">
        <v>817</v>
      </c>
    </row>
    <row r="190" spans="1:7" ht="26.1" customHeight="1">
      <c r="A190" s="63">
        <v>187</v>
      </c>
      <c r="B190" s="139" t="s">
        <v>314</v>
      </c>
      <c r="C190" s="139" t="s">
        <v>542</v>
      </c>
      <c r="D190" s="111" t="str">
        <f t="shared" si="2"/>
        <v>Andere</v>
      </c>
      <c r="E190" s="64" t="s">
        <v>159</v>
      </c>
      <c r="F190" s="115" t="s">
        <v>1039</v>
      </c>
      <c r="G190" s="65" t="s">
        <v>818</v>
      </c>
    </row>
    <row r="191" spans="1:7" ht="26.1" customHeight="1">
      <c r="A191" s="63">
        <v>188</v>
      </c>
      <c r="B191" s="139" t="s">
        <v>314</v>
      </c>
      <c r="C191" s="139" t="s">
        <v>543</v>
      </c>
      <c r="D191" s="111" t="str">
        <f t="shared" si="2"/>
        <v>Übertrag</v>
      </c>
      <c r="E191" s="64" t="s">
        <v>331</v>
      </c>
      <c r="F191" s="115" t="s">
        <v>1040</v>
      </c>
      <c r="G191" s="65" t="s">
        <v>819</v>
      </c>
    </row>
    <row r="192" spans="1:7" ht="26.1" customHeight="1">
      <c r="A192" s="63">
        <v>189</v>
      </c>
      <c r="B192" s="139" t="s">
        <v>314</v>
      </c>
      <c r="C192" s="139" t="s">
        <v>544</v>
      </c>
      <c r="D192" s="111" t="str">
        <f t="shared" si="2"/>
        <v>Lüftungsgerät mit Abluft / Zuluft - Wärmepumpe plus WRG</v>
      </c>
      <c r="E192" s="64" t="s">
        <v>186</v>
      </c>
      <c r="F192" s="115" t="s">
        <v>295</v>
      </c>
      <c r="G192" s="65" t="s">
        <v>820</v>
      </c>
    </row>
    <row r="193" spans="1:7" ht="26.1" customHeight="1">
      <c r="A193" s="63">
        <v>190</v>
      </c>
      <c r="B193" s="139" t="s">
        <v>314</v>
      </c>
      <c r="C193" s="139" t="s">
        <v>545</v>
      </c>
      <c r="D193" s="126" t="str">
        <f t="shared" si="2"/>
        <v>Lüftungsgerät mit Abluft / Zuluft - Wärmepumpe ohne WRG</v>
      </c>
      <c r="E193" s="64" t="s">
        <v>185</v>
      </c>
      <c r="F193" s="115" t="s">
        <v>296</v>
      </c>
      <c r="G193" s="65" t="s">
        <v>821</v>
      </c>
    </row>
    <row r="194" spans="1:7" ht="26.1" customHeight="1">
      <c r="A194" s="137">
        <v>191</v>
      </c>
      <c r="B194" s="139" t="s">
        <v>314</v>
      </c>
      <c r="C194" s="139" t="s">
        <v>546</v>
      </c>
      <c r="D194" s="111" t="str">
        <f t="shared" si="2"/>
        <v>Lüftungsgerät mit Abluft-Wärmepumpe (keine Zuluft)</v>
      </c>
      <c r="E194" s="64" t="s">
        <v>175</v>
      </c>
      <c r="F194" s="115" t="s">
        <v>297</v>
      </c>
      <c r="G194" s="65" t="s">
        <v>822</v>
      </c>
    </row>
    <row r="195" spans="1:7" ht="26.1" customHeight="1">
      <c r="A195" s="63">
        <v>192</v>
      </c>
      <c r="B195" s="139" t="s">
        <v>314</v>
      </c>
      <c r="C195" s="139" t="s">
        <v>547</v>
      </c>
      <c r="D195" s="112" t="str">
        <f t="shared" si="2"/>
        <v>Kompakt-WP mit Zu- &amp; Abluft / WW plus WRG</v>
      </c>
      <c r="E195" s="64" t="s">
        <v>179</v>
      </c>
      <c r="F195" s="115" t="s">
        <v>1041</v>
      </c>
      <c r="G195" s="65" t="s">
        <v>823</v>
      </c>
    </row>
    <row r="196" spans="1:7" ht="26.1" customHeight="1">
      <c r="A196" s="63">
        <v>193</v>
      </c>
      <c r="B196" s="139" t="s">
        <v>314</v>
      </c>
      <c r="C196" s="139" t="s">
        <v>548</v>
      </c>
      <c r="D196" s="111" t="str">
        <f t="shared" si="2"/>
        <v>Kompakt-WP mit Zu- &amp; Abluft / WW ohne WRG (nur Heizung)</v>
      </c>
      <c r="E196" s="64" t="s">
        <v>183</v>
      </c>
      <c r="F196" s="115" t="s">
        <v>1042</v>
      </c>
      <c r="G196" s="65" t="s">
        <v>824</v>
      </c>
    </row>
    <row r="197" spans="1:7" ht="26.1" customHeight="1">
      <c r="A197" s="63">
        <v>194</v>
      </c>
      <c r="B197" s="139" t="s">
        <v>314</v>
      </c>
      <c r="C197" s="139" t="s">
        <v>549</v>
      </c>
      <c r="D197" s="111" t="str">
        <f t="shared" ref="D197:D260" si="3">INDEX($E$4:$G$503,$A197,$A$1)</f>
        <v>Kompakt-WP mit Zu- &amp; Abluft / WW ohne WRG (nur WW)</v>
      </c>
      <c r="E197" s="64" t="s">
        <v>184</v>
      </c>
      <c r="F197" s="115" t="s">
        <v>1043</v>
      </c>
      <c r="G197" s="65" t="s">
        <v>825</v>
      </c>
    </row>
    <row r="198" spans="1:7" ht="26.1" customHeight="1">
      <c r="A198" s="63">
        <v>195</v>
      </c>
      <c r="B198" s="139" t="s">
        <v>314</v>
      </c>
      <c r="C198" s="139" t="s">
        <v>550</v>
      </c>
      <c r="D198" s="111" t="str">
        <f t="shared" si="3"/>
        <v>Biomasse, hydraulisch eingebunden</v>
      </c>
      <c r="E198" s="64" t="s">
        <v>243</v>
      </c>
      <c r="F198" s="115" t="s">
        <v>96</v>
      </c>
      <c r="G198" s="65" t="s">
        <v>826</v>
      </c>
    </row>
    <row r="199" spans="1:7" ht="26.1" customHeight="1">
      <c r="A199" s="63">
        <v>196</v>
      </c>
      <c r="B199" s="139" t="s">
        <v>314</v>
      </c>
      <c r="C199" s="139" t="s">
        <v>551</v>
      </c>
      <c r="D199" s="111" t="str">
        <f t="shared" si="3"/>
        <v>Fernwärme (inkl. Abwärme aus KVA,ARA), &gt;75% nicht erneuerbar</v>
      </c>
      <c r="E199" s="64" t="s">
        <v>658</v>
      </c>
      <c r="F199" s="115" t="s">
        <v>1044</v>
      </c>
      <c r="G199" s="65" t="s">
        <v>916</v>
      </c>
    </row>
    <row r="200" spans="1:7" ht="26.1" customHeight="1">
      <c r="A200" s="63">
        <v>197</v>
      </c>
      <c r="B200" s="139" t="s">
        <v>314</v>
      </c>
      <c r="C200" s="139" t="s">
        <v>552</v>
      </c>
      <c r="D200" s="111" t="str">
        <f t="shared" si="3"/>
        <v>Fernwärme (inkl. Abwärme aus KVA,ARA), &lt;=75% nicht erneuerbar</v>
      </c>
      <c r="E200" s="64" t="s">
        <v>657</v>
      </c>
      <c r="F200" s="115" t="s">
        <v>1045</v>
      </c>
      <c r="G200" s="65" t="s">
        <v>917</v>
      </c>
    </row>
    <row r="201" spans="1:7" ht="26.1" customHeight="1">
      <c r="A201" s="63">
        <v>198</v>
      </c>
      <c r="B201" s="139" t="s">
        <v>314</v>
      </c>
      <c r="C201" s="139" t="s">
        <v>553</v>
      </c>
      <c r="D201" s="111" t="str">
        <f t="shared" si="3"/>
        <v>Fernwärme (inkl. Abwärme aus KVA,ARA), &lt;=25% nicht erneuerbar</v>
      </c>
      <c r="E201" s="64" t="s">
        <v>656</v>
      </c>
      <c r="F201" s="115" t="s">
        <v>1046</v>
      </c>
      <c r="G201" s="65" t="s">
        <v>918</v>
      </c>
    </row>
    <row r="202" spans="1:7" ht="26.1" customHeight="1">
      <c r="A202" s="63">
        <v>199</v>
      </c>
      <c r="B202" s="139" t="s">
        <v>314</v>
      </c>
      <c r="C202" s="139" t="s">
        <v>554</v>
      </c>
      <c r="D202" s="111" t="str">
        <f t="shared" si="3"/>
        <v>Ölfeuerung</v>
      </c>
      <c r="E202" s="64" t="s">
        <v>111</v>
      </c>
      <c r="F202" s="115" t="s">
        <v>1008</v>
      </c>
      <c r="G202" s="65" t="s">
        <v>790</v>
      </c>
    </row>
    <row r="203" spans="1:7" ht="26.1" customHeight="1">
      <c r="A203" s="63">
        <v>200</v>
      </c>
      <c r="B203" s="139" t="s">
        <v>314</v>
      </c>
      <c r="C203" s="139" t="s">
        <v>555</v>
      </c>
      <c r="D203" s="111" t="str">
        <f t="shared" si="3"/>
        <v>Ölheizung kondensierend</v>
      </c>
      <c r="E203" s="64" t="s">
        <v>225</v>
      </c>
      <c r="F203" s="115" t="s">
        <v>1047</v>
      </c>
      <c r="G203" s="65" t="s">
        <v>827</v>
      </c>
    </row>
    <row r="204" spans="1:7" ht="26.1" customHeight="1">
      <c r="A204" s="63">
        <v>201</v>
      </c>
      <c r="B204" s="139" t="s">
        <v>314</v>
      </c>
      <c r="C204" s="139" t="s">
        <v>556</v>
      </c>
      <c r="D204" s="111" t="str">
        <f t="shared" si="3"/>
        <v>Ölfeuerung kondens. Warmwasser</v>
      </c>
      <c r="E204" s="64" t="s">
        <v>226</v>
      </c>
      <c r="F204" s="115" t="s">
        <v>1048</v>
      </c>
      <c r="G204" s="65" t="s">
        <v>828</v>
      </c>
    </row>
    <row r="205" spans="1:7" ht="26.1" customHeight="1">
      <c r="A205" s="63">
        <v>202</v>
      </c>
      <c r="B205" s="139" t="s">
        <v>314</v>
      </c>
      <c r="C205" s="139" t="s">
        <v>557</v>
      </c>
      <c r="D205" s="111" t="str">
        <f t="shared" si="3"/>
        <v>Gasfeuerung</v>
      </c>
      <c r="E205" s="64" t="s">
        <v>112</v>
      </c>
      <c r="F205" s="115" t="s">
        <v>1011</v>
      </c>
      <c r="G205" s="65" t="s">
        <v>793</v>
      </c>
    </row>
    <row r="206" spans="1:7" ht="26.1" customHeight="1">
      <c r="A206" s="63">
        <v>203</v>
      </c>
      <c r="B206" s="139" t="s">
        <v>314</v>
      </c>
      <c r="C206" s="139" t="s">
        <v>558</v>
      </c>
      <c r="D206" s="111" t="str">
        <f t="shared" si="3"/>
        <v>Gasheizung kondensierend</v>
      </c>
      <c r="E206" s="64" t="s">
        <v>227</v>
      </c>
      <c r="F206" s="115" t="s">
        <v>1049</v>
      </c>
      <c r="G206" s="65" t="s">
        <v>829</v>
      </c>
    </row>
    <row r="207" spans="1:7" ht="26.1" customHeight="1">
      <c r="A207" s="63">
        <v>204</v>
      </c>
      <c r="B207" s="139" t="s">
        <v>314</v>
      </c>
      <c r="C207" s="139" t="s">
        <v>559</v>
      </c>
      <c r="D207" s="111" t="str">
        <f t="shared" si="3"/>
        <v>Gas kondensierend Warmwasser</v>
      </c>
      <c r="E207" s="64" t="s">
        <v>228</v>
      </c>
      <c r="F207" s="115" t="s">
        <v>1050</v>
      </c>
      <c r="G207" s="65" t="s">
        <v>830</v>
      </c>
    </row>
    <row r="208" spans="1:7" ht="26.1" customHeight="1">
      <c r="A208" s="63">
        <v>205</v>
      </c>
      <c r="B208" s="139" t="s">
        <v>314</v>
      </c>
      <c r="C208" s="139" t="s">
        <v>560</v>
      </c>
      <c r="D208" s="111" t="str">
        <f t="shared" si="3"/>
        <v>Gas - Wassererwärmer</v>
      </c>
      <c r="E208" s="64" t="s">
        <v>113</v>
      </c>
      <c r="F208" s="115" t="s">
        <v>1014</v>
      </c>
      <c r="G208" s="65" t="s">
        <v>796</v>
      </c>
    </row>
    <row r="209" spans="1:7" ht="26.1" customHeight="1">
      <c r="A209" s="63">
        <v>206</v>
      </c>
      <c r="B209" s="139" t="s">
        <v>314</v>
      </c>
      <c r="C209" s="139" t="s">
        <v>561</v>
      </c>
      <c r="D209" s="111" t="str">
        <f t="shared" si="3"/>
        <v>Holzfeuerung</v>
      </c>
      <c r="E209" s="64" t="s">
        <v>157</v>
      </c>
      <c r="F209" s="115" t="s">
        <v>1015</v>
      </c>
      <c r="G209" s="65" t="s">
        <v>831</v>
      </c>
    </row>
    <row r="210" spans="1:7" ht="26.1" customHeight="1">
      <c r="A210" s="63">
        <v>207</v>
      </c>
      <c r="B210" s="139" t="s">
        <v>314</v>
      </c>
      <c r="C210" s="139" t="s">
        <v>562</v>
      </c>
      <c r="D210" s="111" t="str">
        <f t="shared" si="3"/>
        <v>Pelletfeuerung</v>
      </c>
      <c r="E210" s="64" t="s">
        <v>3</v>
      </c>
      <c r="F210" s="115" t="s">
        <v>1016</v>
      </c>
      <c r="G210" s="65" t="s">
        <v>832</v>
      </c>
    </row>
    <row r="211" spans="1:7" ht="26.1" customHeight="1">
      <c r="A211" s="63">
        <v>208</v>
      </c>
      <c r="B211" s="139" t="s">
        <v>314</v>
      </c>
      <c r="C211" s="139" t="s">
        <v>563</v>
      </c>
      <c r="D211" s="111" t="str">
        <f t="shared" si="3"/>
        <v>Fernwärme (&lt;=50% nicht erneuerbar)</v>
      </c>
      <c r="E211" s="64" t="s">
        <v>659</v>
      </c>
      <c r="F211" s="115" t="s">
        <v>1051</v>
      </c>
      <c r="G211" s="65" t="s">
        <v>919</v>
      </c>
    </row>
    <row r="212" spans="1:7" ht="26.1" customHeight="1">
      <c r="A212" s="63">
        <v>209</v>
      </c>
      <c r="B212" s="139" t="s">
        <v>314</v>
      </c>
      <c r="C212" s="139" t="s">
        <v>564</v>
      </c>
      <c r="D212" s="111" t="str">
        <f t="shared" si="3"/>
        <v>Elektrospeicher-Zentralheizung</v>
      </c>
      <c r="E212" s="64" t="s">
        <v>105</v>
      </c>
      <c r="F212" s="115" t="s">
        <v>1018</v>
      </c>
      <c r="G212" s="65" t="s">
        <v>799</v>
      </c>
    </row>
    <row r="213" spans="1:7" ht="26.1" customHeight="1">
      <c r="A213" s="63">
        <v>210</v>
      </c>
      <c r="B213" s="139" t="s">
        <v>314</v>
      </c>
      <c r="C213" s="139" t="s">
        <v>565</v>
      </c>
      <c r="D213" s="111" t="str">
        <f t="shared" si="3"/>
        <v>Elektro direkt</v>
      </c>
      <c r="E213" s="64" t="s">
        <v>19</v>
      </c>
      <c r="F213" s="115" t="s">
        <v>1019</v>
      </c>
      <c r="G213" s="65" t="s">
        <v>800</v>
      </c>
    </row>
    <row r="214" spans="1:7" ht="26.1" customHeight="1">
      <c r="A214" s="63">
        <v>211</v>
      </c>
      <c r="B214" s="139" t="s">
        <v>314</v>
      </c>
      <c r="C214" s="139" t="s">
        <v>566</v>
      </c>
      <c r="D214" s="111" t="str">
        <f t="shared" si="3"/>
        <v>Elektro-Wassererwärmer</v>
      </c>
      <c r="E214" s="64" t="s">
        <v>85</v>
      </c>
      <c r="F214" s="115" t="s">
        <v>1020</v>
      </c>
      <c r="G214" s="65" t="s">
        <v>801</v>
      </c>
    </row>
    <row r="215" spans="1:7" ht="26.1" customHeight="1">
      <c r="A215" s="63">
        <v>212</v>
      </c>
      <c r="B215" s="139" t="s">
        <v>314</v>
      </c>
      <c r="C215" s="139" t="s">
        <v>567</v>
      </c>
      <c r="D215" s="111" t="str">
        <f t="shared" si="3"/>
        <v>WKK - thermischer+elektr. Anteil</v>
      </c>
      <c r="E215" s="64" t="s">
        <v>192</v>
      </c>
      <c r="F215" s="115" t="s">
        <v>1021</v>
      </c>
      <c r="G215" s="65" t="s">
        <v>833</v>
      </c>
    </row>
    <row r="216" spans="1:7" ht="26.1" customHeight="1">
      <c r="A216" s="63">
        <v>213</v>
      </c>
      <c r="B216" s="139" t="s">
        <v>314</v>
      </c>
      <c r="C216" s="139" t="s">
        <v>568</v>
      </c>
      <c r="D216" s="111" t="str">
        <f t="shared" si="3"/>
        <v>WKK Holz - therm.+elektr. Anteil</v>
      </c>
      <c r="E216" s="64" t="s">
        <v>221</v>
      </c>
      <c r="F216" s="115" t="s">
        <v>1022</v>
      </c>
      <c r="G216" s="65" t="s">
        <v>834</v>
      </c>
    </row>
    <row r="217" spans="1:7" ht="26.1" customHeight="1">
      <c r="A217" s="63">
        <v>214</v>
      </c>
      <c r="B217" s="139" t="s">
        <v>314</v>
      </c>
      <c r="C217" s="139" t="s">
        <v>569</v>
      </c>
      <c r="D217" s="111" t="str">
        <f t="shared" si="3"/>
        <v>Luft-Wärmepumpe, Heizung</v>
      </c>
      <c r="E217" s="64" t="s">
        <v>229</v>
      </c>
      <c r="F217" s="115" t="s">
        <v>1052</v>
      </c>
      <c r="G217" s="65" t="s">
        <v>835</v>
      </c>
    </row>
    <row r="218" spans="1:7" ht="26.1" customHeight="1">
      <c r="A218" s="63">
        <v>215</v>
      </c>
      <c r="B218" s="139" t="s">
        <v>314</v>
      </c>
      <c r="C218" s="139" t="s">
        <v>570</v>
      </c>
      <c r="D218" s="111" t="str">
        <f t="shared" si="3"/>
        <v>Luft-Wärmepumpe, Warmwasser</v>
      </c>
      <c r="E218" s="64" t="s">
        <v>230</v>
      </c>
      <c r="F218" s="115" t="s">
        <v>1053</v>
      </c>
      <c r="G218" s="65" t="s">
        <v>836</v>
      </c>
    </row>
    <row r="219" spans="1:7" ht="26.1" customHeight="1">
      <c r="A219" s="63">
        <v>216</v>
      </c>
      <c r="B219" s="139" t="s">
        <v>314</v>
      </c>
      <c r="C219" s="139" t="s">
        <v>571</v>
      </c>
      <c r="D219" s="111" t="str">
        <f t="shared" si="3"/>
        <v>Erdsonden-WP, Heizung</v>
      </c>
      <c r="E219" s="64" t="s">
        <v>88</v>
      </c>
      <c r="F219" s="115" t="s">
        <v>1054</v>
      </c>
      <c r="G219" s="65" t="s">
        <v>837</v>
      </c>
    </row>
    <row r="220" spans="1:7" ht="26.1" customHeight="1">
      <c r="A220" s="63">
        <v>217</v>
      </c>
      <c r="B220" s="139" t="s">
        <v>314</v>
      </c>
      <c r="C220" s="139" t="s">
        <v>572</v>
      </c>
      <c r="D220" s="111" t="str">
        <f t="shared" si="3"/>
        <v>Erdsonden-WP, Warmwasser</v>
      </c>
      <c r="E220" s="64" t="s">
        <v>89</v>
      </c>
      <c r="F220" s="115" t="s">
        <v>1055</v>
      </c>
      <c r="G220" s="65" t="s">
        <v>838</v>
      </c>
    </row>
    <row r="221" spans="1:7" ht="26.1" customHeight="1">
      <c r="A221" s="63">
        <v>218</v>
      </c>
      <c r="B221" s="139" t="s">
        <v>314</v>
      </c>
      <c r="C221" s="139" t="s">
        <v>573</v>
      </c>
      <c r="D221" s="111" t="str">
        <f t="shared" si="3"/>
        <v>Abwasser-WP (direkt), Heizung</v>
      </c>
      <c r="E221" s="64" t="s">
        <v>90</v>
      </c>
      <c r="F221" s="115" t="s">
        <v>1056</v>
      </c>
      <c r="G221" s="65" t="s">
        <v>839</v>
      </c>
    </row>
    <row r="222" spans="1:7" ht="26.1" customHeight="1">
      <c r="A222" s="63">
        <v>219</v>
      </c>
      <c r="B222" s="139" t="s">
        <v>314</v>
      </c>
      <c r="C222" s="139" t="s">
        <v>574</v>
      </c>
      <c r="D222" s="111" t="str">
        <f t="shared" si="3"/>
        <v>Abwasser-WP direkt, Warmwasser</v>
      </c>
      <c r="E222" s="64" t="s">
        <v>91</v>
      </c>
      <c r="F222" s="115" t="s">
        <v>1057</v>
      </c>
      <c r="G222" s="65" t="s">
        <v>840</v>
      </c>
    </row>
    <row r="223" spans="1:7" ht="26.1" customHeight="1">
      <c r="A223" s="63">
        <v>220</v>
      </c>
      <c r="B223" s="139" t="s">
        <v>314</v>
      </c>
      <c r="C223" s="139" t="s">
        <v>575</v>
      </c>
      <c r="D223" s="111" t="str">
        <f t="shared" si="3"/>
        <v>Wasser-Wärmepumpe, Heizung</v>
      </c>
      <c r="E223" s="64" t="s">
        <v>86</v>
      </c>
      <c r="F223" s="115" t="s">
        <v>1058</v>
      </c>
      <c r="G223" s="65" t="s">
        <v>841</v>
      </c>
    </row>
    <row r="224" spans="1:7" ht="26.1" customHeight="1">
      <c r="A224" s="63">
        <v>221</v>
      </c>
      <c r="B224" s="139" t="s">
        <v>314</v>
      </c>
      <c r="C224" s="139" t="s">
        <v>576</v>
      </c>
      <c r="D224" s="111" t="str">
        <f t="shared" si="3"/>
        <v>Wasser-WP, Warmwasser</v>
      </c>
      <c r="E224" s="64" t="s">
        <v>92</v>
      </c>
      <c r="F224" s="115" t="s">
        <v>1059</v>
      </c>
      <c r="G224" s="65" t="s">
        <v>842</v>
      </c>
    </row>
    <row r="225" spans="1:7" ht="26.1" customHeight="1">
      <c r="A225" s="63">
        <v>222</v>
      </c>
      <c r="B225" s="139" t="s">
        <v>314</v>
      </c>
      <c r="C225" s="139" t="s">
        <v>577</v>
      </c>
      <c r="D225" s="111" t="str">
        <f t="shared" si="3"/>
        <v>Grundwasser-WP direkt, Heizung</v>
      </c>
      <c r="E225" s="64" t="s">
        <v>247</v>
      </c>
      <c r="F225" s="115" t="s">
        <v>1060</v>
      </c>
      <c r="G225" s="65" t="s">
        <v>843</v>
      </c>
    </row>
    <row r="226" spans="1:7" ht="26.1" customHeight="1">
      <c r="A226" s="63">
        <v>223</v>
      </c>
      <c r="B226" s="139" t="s">
        <v>314</v>
      </c>
      <c r="C226" s="139" t="s">
        <v>578</v>
      </c>
      <c r="D226" s="111" t="str">
        <f t="shared" si="3"/>
        <v>Grundwasser-WP dir. Warmwasser</v>
      </c>
      <c r="E226" s="64" t="s">
        <v>248</v>
      </c>
      <c r="F226" s="115" t="s">
        <v>1061</v>
      </c>
      <c r="G226" s="65" t="s">
        <v>844</v>
      </c>
    </row>
    <row r="227" spans="1:7" ht="26.1" customHeight="1">
      <c r="A227" s="63">
        <v>224</v>
      </c>
      <c r="B227" s="139" t="s">
        <v>314</v>
      </c>
      <c r="C227" s="139" t="s">
        <v>579</v>
      </c>
      <c r="D227" s="111" t="str">
        <f t="shared" si="3"/>
        <v>Grundwasser-WP, indir, Heizung</v>
      </c>
      <c r="E227" s="64" t="s">
        <v>142</v>
      </c>
      <c r="F227" s="115" t="s">
        <v>1062</v>
      </c>
      <c r="G227" s="65" t="s">
        <v>845</v>
      </c>
    </row>
    <row r="228" spans="1:7" ht="26.1" customHeight="1">
      <c r="A228" s="63">
        <v>225</v>
      </c>
      <c r="B228" s="139" t="s">
        <v>314</v>
      </c>
      <c r="C228" s="139" t="s">
        <v>580</v>
      </c>
      <c r="D228" s="111" t="str">
        <f t="shared" si="3"/>
        <v>Grundwasser-WP, indir, Warmw.</v>
      </c>
      <c r="E228" s="64" t="s">
        <v>208</v>
      </c>
      <c r="F228" s="115" t="s">
        <v>1063</v>
      </c>
      <c r="G228" s="65" t="s">
        <v>846</v>
      </c>
    </row>
    <row r="229" spans="1:7" ht="26.1" customHeight="1">
      <c r="A229" s="63">
        <v>226</v>
      </c>
      <c r="B229" s="139" t="s">
        <v>314</v>
      </c>
      <c r="C229" s="139" t="s">
        <v>581</v>
      </c>
      <c r="D229" s="111" t="str">
        <f t="shared" si="3"/>
        <v>Erdregister-WP, Heizung</v>
      </c>
      <c r="E229" s="64" t="s">
        <v>140</v>
      </c>
      <c r="F229" s="115" t="s">
        <v>1064</v>
      </c>
      <c r="G229" s="65" t="s">
        <v>847</v>
      </c>
    </row>
    <row r="230" spans="1:7" ht="25.9" customHeight="1">
      <c r="A230" s="63">
        <v>227</v>
      </c>
      <c r="B230" s="139" t="s">
        <v>314</v>
      </c>
      <c r="C230" s="139" t="s">
        <v>582</v>
      </c>
      <c r="D230" s="111" t="str">
        <f t="shared" si="3"/>
        <v>Erdregister-WP, Warmwasser</v>
      </c>
      <c r="E230" s="64" t="s">
        <v>141</v>
      </c>
      <c r="F230" s="115" t="s">
        <v>1065</v>
      </c>
      <c r="G230" s="65" t="s">
        <v>848</v>
      </c>
    </row>
    <row r="231" spans="1:7" ht="25.9" customHeight="1">
      <c r="A231" s="63">
        <v>228</v>
      </c>
      <c r="B231" s="139" t="s">
        <v>314</v>
      </c>
      <c r="C231" s="139" t="s">
        <v>583</v>
      </c>
      <c r="D231" s="111" t="str">
        <f t="shared" si="3"/>
        <v>Solarenergie thermisch, Heizung</v>
      </c>
      <c r="E231" s="64" t="s">
        <v>161</v>
      </c>
      <c r="F231" s="115" t="s">
        <v>1066</v>
      </c>
      <c r="G231" s="65" t="s">
        <v>849</v>
      </c>
    </row>
    <row r="232" spans="1:7" ht="25.9" customHeight="1">
      <c r="A232" s="63">
        <v>229</v>
      </c>
      <c r="B232" s="139" t="s">
        <v>314</v>
      </c>
      <c r="C232" s="139" t="s">
        <v>584</v>
      </c>
      <c r="D232" s="111" t="str">
        <f t="shared" si="3"/>
        <v>Solarenergie therm. Warmwasser</v>
      </c>
      <c r="E232" s="64" t="s">
        <v>249</v>
      </c>
      <c r="F232" s="115" t="s">
        <v>1067</v>
      </c>
      <c r="G232" s="65" t="s">
        <v>850</v>
      </c>
    </row>
    <row r="233" spans="1:7" ht="25.9" customHeight="1">
      <c r="A233" s="63">
        <v>230</v>
      </c>
      <c r="B233" s="139" t="s">
        <v>314</v>
      </c>
      <c r="C233" s="139" t="s">
        <v>585</v>
      </c>
      <c r="D233" s="111" t="str">
        <f t="shared" si="3"/>
        <v>Solarenergie Heizung + WW</v>
      </c>
      <c r="E233" s="64" t="s">
        <v>250</v>
      </c>
      <c r="F233" s="115" t="s">
        <v>1037</v>
      </c>
      <c r="G233" s="65" t="s">
        <v>851</v>
      </c>
    </row>
    <row r="234" spans="1:7" ht="25.9" customHeight="1">
      <c r="A234" s="63">
        <v>231</v>
      </c>
      <c r="B234" s="139" t="s">
        <v>314</v>
      </c>
      <c r="C234" s="139" t="s">
        <v>586</v>
      </c>
      <c r="D234" s="111" t="str">
        <f t="shared" si="3"/>
        <v>Photovoltaik</v>
      </c>
      <c r="E234" s="64" t="s">
        <v>158</v>
      </c>
      <c r="F234" s="115" t="s">
        <v>1038</v>
      </c>
      <c r="G234" s="65" t="s">
        <v>817</v>
      </c>
    </row>
    <row r="235" spans="1:7" ht="25.9" customHeight="1">
      <c r="A235" s="63">
        <v>232</v>
      </c>
      <c r="B235" s="139" t="s">
        <v>314</v>
      </c>
      <c r="C235" s="139" t="s">
        <v>587</v>
      </c>
      <c r="D235" s="111" t="str">
        <f t="shared" si="3"/>
        <v>Andere</v>
      </c>
      <c r="E235" s="64" t="s">
        <v>159</v>
      </c>
      <c r="F235" s="115" t="s">
        <v>1039</v>
      </c>
      <c r="G235" s="65" t="s">
        <v>818</v>
      </c>
    </row>
    <row r="236" spans="1:7" ht="25.9" customHeight="1">
      <c r="A236" s="63">
        <v>233</v>
      </c>
      <c r="B236" s="139" t="s">
        <v>314</v>
      </c>
      <c r="C236" s="139" t="s">
        <v>588</v>
      </c>
      <c r="D236" s="111" t="str">
        <f t="shared" si="3"/>
        <v>Übertrag</v>
      </c>
      <c r="E236" s="64" t="s">
        <v>331</v>
      </c>
      <c r="F236" s="115" t="s">
        <v>1040</v>
      </c>
      <c r="G236" s="65" t="s">
        <v>819</v>
      </c>
    </row>
    <row r="237" spans="1:7" ht="25.9" customHeight="1">
      <c r="A237" s="63">
        <v>234</v>
      </c>
      <c r="B237" s="139" t="s">
        <v>314</v>
      </c>
      <c r="C237" s="139" t="s">
        <v>589</v>
      </c>
      <c r="D237" s="111" t="str">
        <f t="shared" si="3"/>
        <v>Ab- / Zuluft-WP + WRG</v>
      </c>
      <c r="E237" s="64" t="s">
        <v>187</v>
      </c>
      <c r="F237" s="115" t="s">
        <v>298</v>
      </c>
      <c r="G237" s="65" t="s">
        <v>820</v>
      </c>
    </row>
    <row r="238" spans="1:7" ht="25.9" customHeight="1">
      <c r="A238" s="63">
        <v>235</v>
      </c>
      <c r="B238" s="139" t="s">
        <v>314</v>
      </c>
      <c r="C238" s="139" t="s">
        <v>590</v>
      </c>
      <c r="D238" s="111" t="str">
        <f t="shared" si="3"/>
        <v>Ab- / Zuluft-WP ohne WRG</v>
      </c>
      <c r="E238" s="64" t="s">
        <v>188</v>
      </c>
      <c r="F238" s="115" t="s">
        <v>299</v>
      </c>
      <c r="G238" s="65" t="s">
        <v>821</v>
      </c>
    </row>
    <row r="239" spans="1:7" ht="25.9" customHeight="1">
      <c r="A239" s="63">
        <v>236</v>
      </c>
      <c r="B239" s="139" t="s">
        <v>314</v>
      </c>
      <c r="C239" s="139" t="s">
        <v>591</v>
      </c>
      <c r="D239" s="111" t="str">
        <f t="shared" si="3"/>
        <v>Abluft-Wärmepumpe ohne ZUL</v>
      </c>
      <c r="E239" s="64" t="s">
        <v>15</v>
      </c>
      <c r="F239" s="115" t="s">
        <v>300</v>
      </c>
      <c r="G239" s="65" t="s">
        <v>852</v>
      </c>
    </row>
    <row r="240" spans="1:7" ht="25.9" customHeight="1">
      <c r="A240" s="63">
        <v>237</v>
      </c>
      <c r="B240" s="139" t="s">
        <v>314</v>
      </c>
      <c r="C240" s="139" t="s">
        <v>592</v>
      </c>
      <c r="D240" s="111" t="str">
        <f t="shared" si="3"/>
        <v>Kompakt-WP + WRG</v>
      </c>
      <c r="E240" s="64" t="s">
        <v>189</v>
      </c>
      <c r="F240" s="115" t="s">
        <v>301</v>
      </c>
      <c r="G240" s="65" t="s">
        <v>853</v>
      </c>
    </row>
    <row r="241" spans="1:7" ht="25.9" customHeight="1">
      <c r="A241" s="63">
        <v>238</v>
      </c>
      <c r="B241" s="139" t="s">
        <v>314</v>
      </c>
      <c r="C241" s="139" t="s">
        <v>593</v>
      </c>
      <c r="D241" s="111" t="str">
        <f t="shared" si="3"/>
        <v>Kompakt-WP ohne WRG, Heizteil</v>
      </c>
      <c r="E241" s="64" t="s">
        <v>190</v>
      </c>
      <c r="F241" s="115" t="s">
        <v>302</v>
      </c>
      <c r="G241" s="65" t="s">
        <v>854</v>
      </c>
    </row>
    <row r="242" spans="1:7" ht="25.9" customHeight="1">
      <c r="A242" s="63">
        <v>239</v>
      </c>
      <c r="B242" s="139" t="s">
        <v>314</v>
      </c>
      <c r="C242" s="139" t="s">
        <v>594</v>
      </c>
      <c r="D242" s="111" t="str">
        <f t="shared" si="3"/>
        <v>Kompakt-WP ohne WRG, WW</v>
      </c>
      <c r="E242" s="64" t="s">
        <v>178</v>
      </c>
      <c r="F242" s="115" t="s">
        <v>1068</v>
      </c>
      <c r="G242" s="65" t="s">
        <v>855</v>
      </c>
    </row>
    <row r="243" spans="1:7" ht="26.1" customHeight="1">
      <c r="A243" s="63">
        <v>240</v>
      </c>
      <c r="B243" s="139" t="s">
        <v>314</v>
      </c>
      <c r="C243" s="139" t="s">
        <v>595</v>
      </c>
      <c r="D243" s="111" t="str">
        <f t="shared" si="3"/>
        <v>Biomasse, eingebunden</v>
      </c>
      <c r="E243" s="64" t="s">
        <v>242</v>
      </c>
      <c r="F243" s="115" t="s">
        <v>95</v>
      </c>
      <c r="G243" s="65" t="s">
        <v>856</v>
      </c>
    </row>
    <row r="244" spans="1:7" ht="25.9" customHeight="1">
      <c r="A244" s="63">
        <v>241</v>
      </c>
      <c r="B244" s="139" t="s">
        <v>314</v>
      </c>
      <c r="C244" s="139" t="s">
        <v>596</v>
      </c>
      <c r="D244" s="111" t="str">
        <f t="shared" si="3"/>
        <v>Fernwärme (&gt;75% nicht erneuerbar)</v>
      </c>
      <c r="E244" s="64" t="s">
        <v>653</v>
      </c>
      <c r="F244" s="115" t="s">
        <v>1069</v>
      </c>
      <c r="G244" s="65" t="s">
        <v>920</v>
      </c>
    </row>
    <row r="245" spans="1:7" ht="25.9" customHeight="1">
      <c r="A245" s="63">
        <v>242</v>
      </c>
      <c r="B245" s="139" t="s">
        <v>314</v>
      </c>
      <c r="C245" s="139" t="s">
        <v>597</v>
      </c>
      <c r="D245" s="111" t="str">
        <f t="shared" si="3"/>
        <v>Fernwärme (&lt;=75% nicht erneuerbar)</v>
      </c>
      <c r="E245" s="64" t="s">
        <v>655</v>
      </c>
      <c r="F245" s="115" t="s">
        <v>1070</v>
      </c>
      <c r="G245" s="65" t="s">
        <v>921</v>
      </c>
    </row>
    <row r="246" spans="1:7" ht="25.9" customHeight="1">
      <c r="A246" s="63">
        <v>243</v>
      </c>
      <c r="B246" s="139" t="s">
        <v>314</v>
      </c>
      <c r="C246" s="139" t="s">
        <v>598</v>
      </c>
      <c r="D246" s="111" t="str">
        <f t="shared" si="3"/>
        <v>Fernwärme (&lt;=25% nicht erneuerbar)</v>
      </c>
      <c r="E246" s="64" t="s">
        <v>654</v>
      </c>
      <c r="F246" s="115" t="s">
        <v>1071</v>
      </c>
      <c r="G246" s="65" t="s">
        <v>922</v>
      </c>
    </row>
    <row r="247" spans="1:7" ht="25.9" customHeight="1">
      <c r="A247" s="63">
        <v>244</v>
      </c>
      <c r="B247" s="139" t="s">
        <v>314</v>
      </c>
      <c r="C247" s="139" t="s">
        <v>661</v>
      </c>
      <c r="D247" s="111" t="str">
        <f t="shared" si="3"/>
        <v>Strom für Wärmepumpen ist doppelt zu gewichten</v>
      </c>
      <c r="E247" s="64" t="s">
        <v>662</v>
      </c>
      <c r="F247" s="115" t="s">
        <v>1124</v>
      </c>
      <c r="G247" s="65" t="s">
        <v>923</v>
      </c>
    </row>
    <row r="248" spans="1:7" ht="25.9" customHeight="1">
      <c r="A248" s="63">
        <v>245</v>
      </c>
      <c r="D248" s="111">
        <f t="shared" si="3"/>
        <v>0</v>
      </c>
    </row>
    <row r="249" spans="1:7" ht="25.9" customHeight="1">
      <c r="A249" s="63">
        <v>246</v>
      </c>
      <c r="B249" s="139" t="s">
        <v>314</v>
      </c>
      <c r="C249" s="139" t="s">
        <v>600</v>
      </c>
      <c r="D249" s="111" t="str">
        <f t="shared" si="3"/>
        <v>Nutzungsgrad elektrisch (Berechnung beilegen)</v>
      </c>
      <c r="E249" s="64" t="s">
        <v>350</v>
      </c>
      <c r="F249" s="115" t="s">
        <v>1072</v>
      </c>
      <c r="G249" s="65" t="s">
        <v>857</v>
      </c>
    </row>
    <row r="250" spans="1:7" ht="25.9" customHeight="1">
      <c r="A250" s="63">
        <v>247</v>
      </c>
      <c r="B250" s="139" t="s">
        <v>314</v>
      </c>
      <c r="C250" s="139" t="s">
        <v>601</v>
      </c>
      <c r="D250" s="111" t="str">
        <f t="shared" si="3"/>
        <v>Absorberfläche [m2]</v>
      </c>
      <c r="E250" s="64" t="s">
        <v>351</v>
      </c>
      <c r="F250" s="115" t="s">
        <v>1073</v>
      </c>
      <c r="G250" s="65" t="s">
        <v>858</v>
      </c>
    </row>
    <row r="251" spans="1:7" ht="25.9" customHeight="1">
      <c r="A251" s="63">
        <v>248</v>
      </c>
      <c r="B251" s="139" t="s">
        <v>314</v>
      </c>
      <c r="C251" s="139" t="s">
        <v>602</v>
      </c>
      <c r="D251" s="111" t="str">
        <f t="shared" si="3"/>
        <v>Nennleistung [kWp]</v>
      </c>
      <c r="E251" s="64" t="s">
        <v>353</v>
      </c>
      <c r="F251" s="115" t="s">
        <v>1074</v>
      </c>
      <c r="G251" s="65" t="s">
        <v>859</v>
      </c>
    </row>
    <row r="252" spans="1:7" ht="25.9" customHeight="1">
      <c r="A252" s="63">
        <v>249</v>
      </c>
      <c r="B252" s="139" t="s">
        <v>314</v>
      </c>
      <c r="C252" s="139" t="s">
        <v>603</v>
      </c>
      <c r="D252" s="111" t="str">
        <f t="shared" si="3"/>
        <v>Netto-Ertrag pro m2 Absorberfläche  [kWh/m2]</v>
      </c>
      <c r="E252" s="64" t="s">
        <v>352</v>
      </c>
      <c r="F252" s="115" t="s">
        <v>1075</v>
      </c>
      <c r="G252" s="65" t="s">
        <v>860</v>
      </c>
    </row>
    <row r="253" spans="1:7" ht="25.9" customHeight="1">
      <c r="A253" s="63">
        <v>250</v>
      </c>
      <c r="B253" s="139" t="s">
        <v>314</v>
      </c>
      <c r="C253" s="139" t="s">
        <v>604</v>
      </c>
      <c r="D253" s="111" t="str">
        <f t="shared" si="3"/>
        <v>Netto-Jahresertrag [kWh/kWp] (Berechnung beilegen)</v>
      </c>
      <c r="E253" s="64" t="s">
        <v>646</v>
      </c>
      <c r="F253" s="115" t="s">
        <v>1076</v>
      </c>
      <c r="G253" s="65" t="s">
        <v>861</v>
      </c>
    </row>
    <row r="254" spans="1:7" ht="25.9" customHeight="1">
      <c r="A254" s="63">
        <v>251</v>
      </c>
      <c r="B254" s="139" t="s">
        <v>314</v>
      </c>
      <c r="C254" s="139" t="s">
        <v>492</v>
      </c>
      <c r="D254" s="111" t="str">
        <f t="shared" si="3"/>
        <v>AC-Motor</v>
      </c>
      <c r="E254" s="64" t="s">
        <v>321</v>
      </c>
      <c r="F254" s="115" t="s">
        <v>995</v>
      </c>
      <c r="G254" s="65" t="s">
        <v>743</v>
      </c>
    </row>
    <row r="255" spans="1:7" ht="25.9" customHeight="1">
      <c r="A255" s="63">
        <v>252</v>
      </c>
      <c r="B255" s="139" t="s">
        <v>314</v>
      </c>
      <c r="C255" s="139" t="s">
        <v>493</v>
      </c>
      <c r="D255" s="111" t="str">
        <f t="shared" si="3"/>
        <v>DC/EC-Motor</v>
      </c>
      <c r="E255" s="64" t="s">
        <v>322</v>
      </c>
      <c r="F255" s="115" t="s">
        <v>996</v>
      </c>
      <c r="G255" s="65" t="s">
        <v>744</v>
      </c>
    </row>
    <row r="256" spans="1:7" ht="25.9" customHeight="1">
      <c r="A256" s="63">
        <v>253</v>
      </c>
      <c r="B256" s="139" t="s">
        <v>340</v>
      </c>
      <c r="C256" s="139" t="s">
        <v>599</v>
      </c>
      <c r="D256" s="111" t="str">
        <f t="shared" si="3"/>
        <v>Wärmeerzeugung:</v>
      </c>
      <c r="E256" s="64" t="s">
        <v>97</v>
      </c>
      <c r="F256" s="115" t="s">
        <v>1077</v>
      </c>
      <c r="G256" s="65" t="s">
        <v>862</v>
      </c>
    </row>
    <row r="257" spans="1:7" ht="25.9" customHeight="1">
      <c r="A257" s="63">
        <v>254</v>
      </c>
      <c r="B257" s="139" t="s">
        <v>340</v>
      </c>
      <c r="C257" s="139" t="s">
        <v>605</v>
      </c>
      <c r="D257" s="111" t="str">
        <f t="shared" si="3"/>
        <v>Nutzungsgrad / JAZ</v>
      </c>
      <c r="E257" s="64" t="s">
        <v>370</v>
      </c>
      <c r="F257" s="115" t="s">
        <v>1078</v>
      </c>
      <c r="G257" s="532" t="s">
        <v>1944</v>
      </c>
    </row>
    <row r="258" spans="1:7" ht="25.9" customHeight="1">
      <c r="A258" s="63">
        <v>255</v>
      </c>
      <c r="B258" s="139" t="s">
        <v>340</v>
      </c>
      <c r="C258" s="139" t="s">
        <v>606</v>
      </c>
      <c r="D258" s="111" t="str">
        <f t="shared" si="3"/>
        <v>Deckungsgrad [%]</v>
      </c>
      <c r="E258" s="64" t="s">
        <v>155</v>
      </c>
      <c r="F258" s="115" t="s">
        <v>1079</v>
      </c>
      <c r="G258" s="65" t="s">
        <v>863</v>
      </c>
    </row>
    <row r="259" spans="1:7" ht="25.9" customHeight="1">
      <c r="A259" s="63">
        <v>256</v>
      </c>
      <c r="B259" s="139" t="s">
        <v>340</v>
      </c>
      <c r="C259" s="139" t="s">
        <v>405</v>
      </c>
      <c r="D259" s="111" t="str">
        <f t="shared" si="3"/>
        <v>Wärmeerzeugung A</v>
      </c>
      <c r="E259" s="64" t="s">
        <v>162</v>
      </c>
      <c r="F259" s="115" t="s">
        <v>1080</v>
      </c>
      <c r="G259" s="65" t="s">
        <v>864</v>
      </c>
    </row>
    <row r="260" spans="1:7" ht="25.9" customHeight="1">
      <c r="A260" s="63">
        <v>257</v>
      </c>
      <c r="B260" s="139" t="s">
        <v>340</v>
      </c>
      <c r="C260" s="139" t="s">
        <v>608</v>
      </c>
      <c r="D260" s="111" t="str">
        <f t="shared" si="3"/>
        <v>Wärmeerzeugung B</v>
      </c>
      <c r="E260" s="64" t="s">
        <v>165</v>
      </c>
      <c r="F260" s="115" t="s">
        <v>1081</v>
      </c>
      <c r="G260" s="65" t="s">
        <v>865</v>
      </c>
    </row>
    <row r="261" spans="1:7" ht="25.9" customHeight="1">
      <c r="A261" s="63">
        <v>258</v>
      </c>
      <c r="B261" s="139" t="s">
        <v>340</v>
      </c>
      <c r="C261" s="139" t="s">
        <v>412</v>
      </c>
      <c r="D261" s="111" t="str">
        <f t="shared" ref="D261:D324" si="4">INDEX($E$4:$G$503,$A261,$A$1)</f>
        <v>Wärmeerzeugung C</v>
      </c>
      <c r="E261" s="64" t="s">
        <v>164</v>
      </c>
      <c r="F261" s="115" t="s">
        <v>1082</v>
      </c>
      <c r="G261" s="65" t="s">
        <v>866</v>
      </c>
    </row>
    <row r="262" spans="1:7" ht="25.9" customHeight="1">
      <c r="A262" s="63">
        <v>259</v>
      </c>
      <c r="B262" s="139" t="s">
        <v>340</v>
      </c>
      <c r="C262" s="139" t="s">
        <v>233</v>
      </c>
      <c r="D262" s="111" t="str">
        <f t="shared" si="4"/>
        <v>Wärmeerzeugung D</v>
      </c>
      <c r="E262" s="64" t="s">
        <v>163</v>
      </c>
      <c r="F262" s="115" t="s">
        <v>1083</v>
      </c>
      <c r="G262" s="65" t="s">
        <v>867</v>
      </c>
    </row>
    <row r="263" spans="1:7" ht="25.9" customHeight="1">
      <c r="A263" s="63">
        <v>260</v>
      </c>
      <c r="B263" s="139" t="s">
        <v>340</v>
      </c>
      <c r="C263" s="139" t="s">
        <v>406</v>
      </c>
      <c r="D263" s="111" t="str">
        <f t="shared" si="4"/>
        <v>Eingabe</v>
      </c>
      <c r="E263" s="64" t="s">
        <v>347</v>
      </c>
      <c r="F263" s="115" t="s">
        <v>1084</v>
      </c>
      <c r="G263" s="65" t="s">
        <v>868</v>
      </c>
    </row>
    <row r="264" spans="1:7" ht="25.9" customHeight="1">
      <c r="A264" s="63">
        <v>261</v>
      </c>
      <c r="B264" s="139" t="s">
        <v>340</v>
      </c>
      <c r="C264" s="139" t="s">
        <v>609</v>
      </c>
      <c r="D264" s="111" t="str">
        <f t="shared" si="4"/>
        <v>Rechenwert</v>
      </c>
      <c r="E264" s="64" t="s">
        <v>348</v>
      </c>
      <c r="F264" s="115" t="s">
        <v>1085</v>
      </c>
      <c r="G264" s="65" t="s">
        <v>869</v>
      </c>
    </row>
    <row r="265" spans="1:7" ht="25.9" customHeight="1">
      <c r="A265" s="63">
        <v>262</v>
      </c>
      <c r="B265" s="139" t="s">
        <v>340</v>
      </c>
      <c r="C265" s="139" t="s">
        <v>607</v>
      </c>
      <c r="D265" s="111" t="str">
        <f t="shared" si="4"/>
        <v>Heizung</v>
      </c>
      <c r="E265" s="64" t="s">
        <v>132</v>
      </c>
      <c r="F265" s="115" t="s">
        <v>1086</v>
      </c>
      <c r="G265" s="65" t="s">
        <v>870</v>
      </c>
    </row>
    <row r="266" spans="1:7" ht="25.9" customHeight="1">
      <c r="A266" s="63">
        <v>263</v>
      </c>
      <c r="B266" s="139" t="s">
        <v>340</v>
      </c>
      <c r="C266" s="139" t="s">
        <v>343</v>
      </c>
      <c r="D266" s="111" t="str">
        <f t="shared" si="4"/>
        <v>Warmwasser</v>
      </c>
      <c r="E266" s="64" t="s">
        <v>133</v>
      </c>
      <c r="F266" s="115" t="s">
        <v>1087</v>
      </c>
      <c r="G266" s="65" t="s">
        <v>871</v>
      </c>
    </row>
    <row r="267" spans="1:7" ht="25.9" customHeight="1">
      <c r="A267" s="63">
        <v>264</v>
      </c>
      <c r="B267" s="139" t="s">
        <v>340</v>
      </c>
      <c r="C267" s="139" t="s">
        <v>269</v>
      </c>
      <c r="D267" s="111" t="str">
        <f t="shared" si="4"/>
        <v>Übertrag weitere Wärmeerzeugungen</v>
      </c>
      <c r="E267" s="64" t="s">
        <v>337</v>
      </c>
      <c r="F267" s="115" t="s">
        <v>1088</v>
      </c>
      <c r="G267" s="65" t="s">
        <v>872</v>
      </c>
    </row>
    <row r="268" spans="1:7" ht="25.9" customHeight="1">
      <c r="A268" s="63">
        <v>265</v>
      </c>
      <c r="B268" s="139" t="s">
        <v>340</v>
      </c>
      <c r="C268" s="139" t="s">
        <v>241</v>
      </c>
      <c r="D268" s="111" t="str">
        <f t="shared" si="4"/>
        <v>Zugeführte Elektrizität (ungewichtet)</v>
      </c>
      <c r="E268" s="64" t="s">
        <v>373</v>
      </c>
      <c r="F268" s="115" t="s">
        <v>1089</v>
      </c>
      <c r="G268" s="65" t="s">
        <v>873</v>
      </c>
    </row>
    <row r="269" spans="1:7" ht="25.9" customHeight="1">
      <c r="A269" s="63">
        <v>266</v>
      </c>
      <c r="B269" s="139" t="s">
        <v>340</v>
      </c>
      <c r="C269" s="139" t="s">
        <v>425</v>
      </c>
      <c r="D269" s="111" t="str">
        <f t="shared" si="4"/>
        <v>Zugeführte Energie (ohne Strom, gewichtet)</v>
      </c>
      <c r="E269" s="64" t="s">
        <v>374</v>
      </c>
      <c r="F269" s="115" t="s">
        <v>1090</v>
      </c>
      <c r="G269" s="65" t="s">
        <v>874</v>
      </c>
    </row>
    <row r="270" spans="1:7" ht="25.9" customHeight="1">
      <c r="A270" s="63">
        <v>267</v>
      </c>
      <c r="B270" s="139" t="s">
        <v>340</v>
      </c>
      <c r="C270" s="139" t="s">
        <v>610</v>
      </c>
      <c r="D270" s="111" t="str">
        <f t="shared" si="4"/>
        <v>Deckungsgrad total:</v>
      </c>
      <c r="E270" s="64" t="s">
        <v>349</v>
      </c>
      <c r="F270" s="115" t="s">
        <v>1091</v>
      </c>
      <c r="G270" s="65" t="s">
        <v>875</v>
      </c>
    </row>
    <row r="271" spans="1:7" ht="25.9" customHeight="1">
      <c r="A271" s="63">
        <v>268</v>
      </c>
      <c r="B271" s="139" t="s">
        <v>340</v>
      </c>
      <c r="C271" s="139" t="s">
        <v>427</v>
      </c>
      <c r="D271" s="111" t="str">
        <f t="shared" si="4"/>
        <v>Gebäudedaten, Lüftung und Grenzwert:</v>
      </c>
      <c r="E271" s="64" t="s">
        <v>110</v>
      </c>
      <c r="F271" s="115" t="s">
        <v>1092</v>
      </c>
      <c r="G271" s="65" t="s">
        <v>876</v>
      </c>
    </row>
    <row r="272" spans="1:7" ht="25.9" customHeight="1">
      <c r="A272" s="63">
        <v>269</v>
      </c>
      <c r="B272" s="139" t="s">
        <v>340</v>
      </c>
      <c r="C272" s="139" t="s">
        <v>611</v>
      </c>
      <c r="D272" s="111" t="str">
        <f t="shared" si="4"/>
        <v xml:space="preserve">Total/Mittel </v>
      </c>
      <c r="E272" s="64" t="s">
        <v>324</v>
      </c>
      <c r="F272" s="115" t="s">
        <v>1604</v>
      </c>
      <c r="G272" s="65" t="s">
        <v>877</v>
      </c>
    </row>
    <row r="273" spans="1:7" ht="25.9" customHeight="1">
      <c r="A273" s="63">
        <v>270</v>
      </c>
      <c r="B273" s="139" t="s">
        <v>340</v>
      </c>
      <c r="C273" s="139" t="s">
        <v>62</v>
      </c>
      <c r="D273" s="111" t="str">
        <f t="shared" si="4"/>
        <v>Heizwärmebedarf Qh,eff</v>
      </c>
      <c r="E273" s="64" t="s">
        <v>612</v>
      </c>
      <c r="F273" s="115" t="s">
        <v>1093</v>
      </c>
      <c r="G273" s="65" t="s">
        <v>878</v>
      </c>
    </row>
    <row r="274" spans="1:7" ht="25.9" customHeight="1">
      <c r="A274" s="63">
        <v>271</v>
      </c>
      <c r="B274" s="139" t="s">
        <v>340</v>
      </c>
      <c r="C274" s="139" t="s">
        <v>62</v>
      </c>
      <c r="D274" s="111" t="str">
        <f t="shared" si="4"/>
        <v>Qh mit effektivem Luftwechsel</v>
      </c>
      <c r="E274" s="64" t="s">
        <v>613</v>
      </c>
      <c r="F274" s="115" t="s">
        <v>1094</v>
      </c>
      <c r="G274" s="65" t="s">
        <v>879</v>
      </c>
    </row>
    <row r="275" spans="1:7" ht="25.9" customHeight="1">
      <c r="A275" s="63">
        <v>272</v>
      </c>
      <c r="B275" s="139" t="s">
        <v>340</v>
      </c>
      <c r="C275" s="139" t="s">
        <v>63</v>
      </c>
      <c r="D275" s="111" t="str">
        <f t="shared" si="4"/>
        <v>Qww Wärmebedarf Warmwasser SIA 380/1</v>
      </c>
      <c r="E275" s="64" t="s">
        <v>1639</v>
      </c>
      <c r="F275" s="115" t="s">
        <v>1640</v>
      </c>
      <c r="G275" s="65" t="s">
        <v>1641</v>
      </c>
    </row>
    <row r="276" spans="1:7" ht="25.9" customHeight="1">
      <c r="A276" s="63">
        <v>273</v>
      </c>
      <c r="B276" s="139" t="s">
        <v>340</v>
      </c>
      <c r="C276" s="139" t="s">
        <v>232</v>
      </c>
      <c r="D276" s="111" t="str">
        <f t="shared" si="4"/>
        <v>Strombedarf Lüftungsanlage</v>
      </c>
      <c r="E276" s="64" t="s">
        <v>240</v>
      </c>
      <c r="F276" s="115" t="s">
        <v>1095</v>
      </c>
      <c r="G276" s="65" t="s">
        <v>880</v>
      </c>
    </row>
    <row r="277" spans="1:7" ht="25.9" customHeight="1">
      <c r="A277" s="63">
        <v>274</v>
      </c>
      <c r="B277" s="139" t="s">
        <v>340</v>
      </c>
      <c r="C277" s="139" t="s">
        <v>433</v>
      </c>
      <c r="D277" s="111" t="str">
        <f t="shared" si="4"/>
        <v>Strom Hilfsbetriebe / Kühlung</v>
      </c>
      <c r="E277" s="64" t="s">
        <v>614</v>
      </c>
      <c r="F277" s="115" t="s">
        <v>1096</v>
      </c>
      <c r="G277" s="65" t="s">
        <v>881</v>
      </c>
    </row>
    <row r="278" spans="1:7" ht="25.9" customHeight="1">
      <c r="A278" s="63">
        <v>275</v>
      </c>
      <c r="B278" s="139" t="s">
        <v>340</v>
      </c>
      <c r="C278" s="139" t="s">
        <v>433</v>
      </c>
      <c r="D278" s="111" t="str">
        <f t="shared" si="4"/>
        <v>Strombedarf für Klima + Hilfsbetriebe</v>
      </c>
      <c r="E278" s="64" t="s">
        <v>647</v>
      </c>
      <c r="F278" s="115" t="s">
        <v>1097</v>
      </c>
      <c r="G278" s="65" t="s">
        <v>882</v>
      </c>
    </row>
    <row r="279" spans="1:7" ht="25.9" customHeight="1">
      <c r="A279" s="63">
        <v>276</v>
      </c>
      <c r="B279" s="139" t="s">
        <v>340</v>
      </c>
      <c r="C279" s="139" t="s">
        <v>438</v>
      </c>
      <c r="D279" s="111" t="str">
        <f t="shared" si="4"/>
        <v>Massgebender Grenzwert</v>
      </c>
      <c r="E279" s="64" t="s">
        <v>272</v>
      </c>
      <c r="F279" s="115" t="s">
        <v>1098</v>
      </c>
      <c r="G279" s="65" t="s">
        <v>883</v>
      </c>
    </row>
    <row r="280" spans="1:7" ht="25.9" customHeight="1">
      <c r="A280" s="63">
        <v>277</v>
      </c>
      <c r="B280" s="139" t="s">
        <v>340</v>
      </c>
      <c r="C280" s="139" t="s">
        <v>439</v>
      </c>
      <c r="D280" s="111" t="str">
        <f t="shared" si="4"/>
        <v>Wärmeerzeugung:</v>
      </c>
      <c r="E280" s="64" t="s">
        <v>97</v>
      </c>
      <c r="F280" s="115" t="s">
        <v>1077</v>
      </c>
      <c r="G280" s="65" t="s">
        <v>862</v>
      </c>
    </row>
    <row r="281" spans="1:7" ht="25.9" customHeight="1">
      <c r="A281" s="63">
        <v>278</v>
      </c>
      <c r="B281" s="139" t="s">
        <v>340</v>
      </c>
      <c r="C281" s="139" t="s">
        <v>440</v>
      </c>
      <c r="D281" s="111" t="str">
        <f t="shared" si="4"/>
        <v>(Heizung + Warmwasser)</v>
      </c>
      <c r="E281" s="64" t="s">
        <v>323</v>
      </c>
      <c r="F281" s="115" t="s">
        <v>1099</v>
      </c>
      <c r="G281" s="65" t="s">
        <v>884</v>
      </c>
    </row>
    <row r="282" spans="1:7" ht="25.9" customHeight="1">
      <c r="A282" s="63">
        <v>279</v>
      </c>
      <c r="B282" s="139" t="s">
        <v>340</v>
      </c>
      <c r="C282" s="139" t="s">
        <v>615</v>
      </c>
      <c r="D282" s="111" t="str">
        <f t="shared" si="4"/>
        <v>oder JAZ</v>
      </c>
      <c r="E282" s="64" t="s">
        <v>334</v>
      </c>
      <c r="F282" s="115" t="s">
        <v>1100</v>
      </c>
      <c r="G282" s="65" t="s">
        <v>885</v>
      </c>
    </row>
    <row r="283" spans="1:7" ht="25.9" customHeight="1">
      <c r="A283" s="63">
        <v>280</v>
      </c>
      <c r="B283" s="139" t="s">
        <v>340</v>
      </c>
      <c r="C283" s="139" t="s">
        <v>617</v>
      </c>
      <c r="D283" s="111" t="str">
        <f t="shared" si="4"/>
        <v>Gewich-tung</v>
      </c>
      <c r="E283" s="64" t="s">
        <v>616</v>
      </c>
      <c r="F283" s="115" t="s">
        <v>1101</v>
      </c>
      <c r="G283" s="65" t="s">
        <v>1603</v>
      </c>
    </row>
    <row r="284" spans="1:7" ht="25.9" customHeight="1">
      <c r="A284" s="63">
        <v>281</v>
      </c>
      <c r="B284" s="139" t="s">
        <v>340</v>
      </c>
      <c r="C284" s="139" t="s">
        <v>618</v>
      </c>
      <c r="D284" s="111" t="str">
        <f t="shared" si="4"/>
        <v>Deckungsgrad</v>
      </c>
      <c r="E284" s="64" t="s">
        <v>332</v>
      </c>
      <c r="F284" s="115" t="s">
        <v>1102</v>
      </c>
      <c r="G284" s="65" t="s">
        <v>886</v>
      </c>
    </row>
    <row r="285" spans="1:7" ht="25.9" customHeight="1">
      <c r="A285" s="63">
        <v>282</v>
      </c>
      <c r="B285" s="139" t="s">
        <v>340</v>
      </c>
      <c r="C285" s="139" t="s">
        <v>620</v>
      </c>
      <c r="D285" s="111" t="str">
        <f t="shared" si="4"/>
        <v>gew. Endenergie kWh/m2</v>
      </c>
      <c r="E285" s="64" t="s">
        <v>619</v>
      </c>
      <c r="F285" s="115" t="s">
        <v>1103</v>
      </c>
      <c r="G285" s="65" t="s">
        <v>887</v>
      </c>
    </row>
    <row r="286" spans="1:7" ht="25.9" customHeight="1">
      <c r="A286" s="63">
        <v>283</v>
      </c>
      <c r="B286" s="139" t="s">
        <v>340</v>
      </c>
      <c r="C286" s="139" t="s">
        <v>621</v>
      </c>
      <c r="D286" s="111" t="str">
        <f t="shared" si="4"/>
        <v>Strom</v>
      </c>
      <c r="E286" s="64" t="s">
        <v>346</v>
      </c>
      <c r="F286" s="115" t="s">
        <v>1104</v>
      </c>
      <c r="G286" s="65" t="s">
        <v>888</v>
      </c>
    </row>
    <row r="287" spans="1:7" ht="25.9" customHeight="1">
      <c r="A287" s="63">
        <v>284</v>
      </c>
      <c r="B287" s="139" t="s">
        <v>340</v>
      </c>
      <c r="C287" s="139" t="s">
        <v>622</v>
      </c>
      <c r="D287" s="111" t="str">
        <f t="shared" si="4"/>
        <v>andere</v>
      </c>
      <c r="E287" s="64" t="s">
        <v>102</v>
      </c>
      <c r="F287" s="115" t="s">
        <v>1105</v>
      </c>
      <c r="G287" s="65" t="s">
        <v>889</v>
      </c>
    </row>
    <row r="288" spans="1:7" ht="25.9" customHeight="1">
      <c r="A288" s="63">
        <v>285</v>
      </c>
      <c r="B288" s="139" t="s">
        <v>340</v>
      </c>
      <c r="C288" s="139" t="s">
        <v>623</v>
      </c>
      <c r="D288" s="111" t="str">
        <f t="shared" si="4"/>
        <v>Wärme</v>
      </c>
      <c r="E288" s="64" t="s">
        <v>345</v>
      </c>
      <c r="F288" s="115" t="s">
        <v>1106</v>
      </c>
      <c r="G288" s="65" t="s">
        <v>890</v>
      </c>
    </row>
    <row r="289" spans="1:7" ht="25.9" customHeight="1">
      <c r="A289" s="63">
        <v>286</v>
      </c>
      <c r="B289" s="139" t="s">
        <v>340</v>
      </c>
      <c r="C289" s="139" t="s">
        <v>499</v>
      </c>
      <c r="D289" s="111" t="str">
        <f t="shared" si="4"/>
        <v>Strombedarf Lüftungsanlage</v>
      </c>
      <c r="E289" s="64" t="s">
        <v>240</v>
      </c>
      <c r="F289" s="115" t="s">
        <v>1107</v>
      </c>
      <c r="G289" s="65" t="s">
        <v>891</v>
      </c>
    </row>
    <row r="290" spans="1:7" ht="25.9" customHeight="1">
      <c r="A290" s="63">
        <v>287</v>
      </c>
      <c r="B290" s="139" t="s">
        <v>340</v>
      </c>
      <c r="C290" s="139" t="s">
        <v>624</v>
      </c>
      <c r="D290" s="111" t="str">
        <f t="shared" si="4"/>
        <v>Strom Klima + Hilfsbetriebe</v>
      </c>
      <c r="E290" s="64" t="s">
        <v>244</v>
      </c>
      <c r="F290" s="115" t="s">
        <v>1108</v>
      </c>
      <c r="G290" s="65" t="s">
        <v>892</v>
      </c>
    </row>
    <row r="291" spans="1:7" ht="25.9" customHeight="1">
      <c r="A291" s="63">
        <v>288</v>
      </c>
      <c r="B291" s="139" t="s">
        <v>340</v>
      </c>
      <c r="C291" s="139" t="s">
        <v>624</v>
      </c>
      <c r="D291" s="111" t="str">
        <f t="shared" si="4"/>
        <v>Strom für Klima + Hilfsbetriebe</v>
      </c>
      <c r="E291" s="64" t="s">
        <v>648</v>
      </c>
      <c r="F291" s="115" t="s">
        <v>1108</v>
      </c>
      <c r="G291" s="65" t="s">
        <v>892</v>
      </c>
    </row>
    <row r="292" spans="1:7" ht="25.9" customHeight="1">
      <c r="A292" s="63">
        <v>289</v>
      </c>
      <c r="B292" s="139" t="s">
        <v>340</v>
      </c>
      <c r="C292" s="139" t="s">
        <v>625</v>
      </c>
      <c r="D292" s="111" t="str">
        <f t="shared" si="4"/>
        <v>Total:</v>
      </c>
      <c r="E292" s="64" t="s">
        <v>333</v>
      </c>
      <c r="F292" s="115" t="s">
        <v>333</v>
      </c>
      <c r="G292" s="65" t="s">
        <v>893</v>
      </c>
    </row>
    <row r="293" spans="1:7" ht="25.9" customHeight="1">
      <c r="A293" s="63">
        <v>290</v>
      </c>
      <c r="B293" s="139" t="s">
        <v>340</v>
      </c>
      <c r="C293" s="139" t="s">
        <v>501</v>
      </c>
      <c r="D293" s="111" t="str">
        <f t="shared" si="4"/>
        <v>Erfüllung der Anforderungen:</v>
      </c>
      <c r="E293" s="64" t="s">
        <v>1</v>
      </c>
      <c r="F293" s="115" t="s">
        <v>1109</v>
      </c>
      <c r="G293" s="65" t="s">
        <v>894</v>
      </c>
    </row>
    <row r="294" spans="1:7" ht="25.9" customHeight="1">
      <c r="A294" s="63">
        <v>291</v>
      </c>
      <c r="B294" s="139" t="s">
        <v>340</v>
      </c>
      <c r="C294" s="139" t="s">
        <v>303</v>
      </c>
      <c r="D294" s="111" t="str">
        <f t="shared" si="4"/>
        <v>Anforderung</v>
      </c>
      <c r="E294" s="64" t="s">
        <v>239</v>
      </c>
      <c r="F294" s="115" t="s">
        <v>1110</v>
      </c>
      <c r="G294" s="65" t="s">
        <v>895</v>
      </c>
    </row>
    <row r="295" spans="1:7" ht="25.9" customHeight="1">
      <c r="A295" s="63">
        <v>292</v>
      </c>
      <c r="B295" s="139" t="s">
        <v>340</v>
      </c>
      <c r="C295" s="139" t="s">
        <v>626</v>
      </c>
      <c r="D295" s="111" t="str">
        <f t="shared" si="4"/>
        <v>Berechneter Wert</v>
      </c>
      <c r="E295" s="64" t="s">
        <v>11</v>
      </c>
      <c r="F295" s="115" t="s">
        <v>1085</v>
      </c>
      <c r="G295" s="65" t="s">
        <v>896</v>
      </c>
    </row>
    <row r="296" spans="1:7" ht="25.9" customHeight="1">
      <c r="A296" s="63">
        <v>293</v>
      </c>
      <c r="B296" s="139" t="s">
        <v>340</v>
      </c>
      <c r="C296" s="139" t="s">
        <v>502</v>
      </c>
      <c r="D296" s="111" t="str">
        <f t="shared" si="4"/>
        <v>Minergie - Kennzahl Wärme</v>
      </c>
      <c r="E296" s="64" t="s">
        <v>627</v>
      </c>
      <c r="F296" s="115" t="s">
        <v>1111</v>
      </c>
      <c r="G296" s="65" t="s">
        <v>897</v>
      </c>
    </row>
    <row r="297" spans="1:7" ht="25.9" customHeight="1">
      <c r="A297" s="63">
        <v>294</v>
      </c>
      <c r="B297" s="139" t="s">
        <v>340</v>
      </c>
      <c r="C297" s="139" t="s">
        <v>502</v>
      </c>
      <c r="D297" s="111" t="str">
        <f t="shared" si="4"/>
        <v>Grenzwert MINERGIE - P</v>
      </c>
      <c r="E297" s="64" t="s">
        <v>628</v>
      </c>
      <c r="F297" s="115" t="s">
        <v>1112</v>
      </c>
      <c r="G297" s="65" t="s">
        <v>898</v>
      </c>
    </row>
    <row r="298" spans="1:7" ht="25.9" customHeight="1">
      <c r="A298" s="63">
        <v>295</v>
      </c>
      <c r="B298" s="139" t="s">
        <v>340</v>
      </c>
      <c r="C298" s="139" t="s">
        <v>502</v>
      </c>
      <c r="D298" s="111" t="str">
        <f t="shared" si="4"/>
        <v>Grenzwert</v>
      </c>
      <c r="E298" s="64" t="s">
        <v>327</v>
      </c>
      <c r="F298" s="115" t="s">
        <v>1113</v>
      </c>
      <c r="G298" s="65" t="s">
        <v>899</v>
      </c>
    </row>
    <row r="299" spans="1:7" ht="25.9" customHeight="1">
      <c r="A299" s="63">
        <v>296</v>
      </c>
      <c r="B299" s="139" t="s">
        <v>340</v>
      </c>
      <c r="C299" s="139" t="s">
        <v>629</v>
      </c>
      <c r="D299" s="111" t="str">
        <f t="shared" si="4"/>
        <v>Erfüllt?</v>
      </c>
      <c r="E299" s="64" t="s">
        <v>12</v>
      </c>
      <c r="F299" s="115" t="s">
        <v>1114</v>
      </c>
      <c r="G299" s="65" t="s">
        <v>900</v>
      </c>
    </row>
    <row r="300" spans="1:7" ht="25.9" customHeight="1">
      <c r="A300" s="63">
        <v>297</v>
      </c>
      <c r="B300" s="139" t="s">
        <v>340</v>
      </c>
      <c r="C300" s="139" t="s">
        <v>498</v>
      </c>
      <c r="D300" s="111" t="str">
        <f t="shared" si="4"/>
        <v>weitere Wärmeerzeuger</v>
      </c>
      <c r="E300" s="64" t="s">
        <v>630</v>
      </c>
      <c r="F300" s="115" t="s">
        <v>1115</v>
      </c>
      <c r="G300" s="65" t="s">
        <v>901</v>
      </c>
    </row>
    <row r="301" spans="1:7" ht="25.9" customHeight="1">
      <c r="A301" s="63">
        <v>298</v>
      </c>
      <c r="B301" s="139" t="s">
        <v>340</v>
      </c>
      <c r="C301" s="139" t="s">
        <v>505</v>
      </c>
      <c r="D301" s="111" t="str">
        <f t="shared" si="4"/>
        <v>Beilagen (alle Beilagen der linken Spalte einreichen)</v>
      </c>
      <c r="E301" s="64" t="s">
        <v>356</v>
      </c>
      <c r="F301" s="115" t="s">
        <v>1116</v>
      </c>
      <c r="G301" s="65" t="s">
        <v>902</v>
      </c>
    </row>
    <row r="302" spans="1:7" ht="25.9" customHeight="1">
      <c r="A302" s="63">
        <v>299</v>
      </c>
      <c r="B302" s="139" t="s">
        <v>340</v>
      </c>
      <c r="C302" s="139" t="s">
        <v>631</v>
      </c>
      <c r="D302" s="111" t="str">
        <f t="shared" si="4"/>
        <v>Zutreffendes ankreuzen</v>
      </c>
      <c r="E302" s="64" t="s">
        <v>357</v>
      </c>
      <c r="F302" s="115" t="s">
        <v>1117</v>
      </c>
      <c r="G302" s="65" t="s">
        <v>903</v>
      </c>
    </row>
    <row r="303" spans="1:7" ht="25.9" customHeight="1">
      <c r="A303" s="63">
        <v>300</v>
      </c>
      <c r="B303" s="139" t="s">
        <v>340</v>
      </c>
      <c r="C303" s="139" t="s">
        <v>632</v>
      </c>
      <c r="D303" s="111" t="str">
        <f t="shared" si="4"/>
        <v>Schema Heizung und Lüftung</v>
      </c>
      <c r="E303" s="64" t="s">
        <v>368</v>
      </c>
      <c r="F303" s="115" t="s">
        <v>1118</v>
      </c>
      <c r="G303" s="65" t="s">
        <v>904</v>
      </c>
    </row>
    <row r="304" spans="1:7" ht="25.9" customHeight="1">
      <c r="A304" s="63">
        <v>301</v>
      </c>
      <c r="B304" s="139" t="s">
        <v>340</v>
      </c>
      <c r="C304" s="139" t="s">
        <v>633</v>
      </c>
      <c r="D304" s="111" t="str">
        <f t="shared" si="4"/>
        <v>Externe Berechnungen und Datenblätter</v>
      </c>
      <c r="E304" s="64" t="s">
        <v>369</v>
      </c>
      <c r="F304" s="115" t="s">
        <v>1119</v>
      </c>
      <c r="G304" s="65" t="s">
        <v>905</v>
      </c>
    </row>
    <row r="305" spans="1:7" ht="25.9" customHeight="1">
      <c r="A305" s="63">
        <v>302</v>
      </c>
      <c r="B305" s="139" t="s">
        <v>340</v>
      </c>
      <c r="C305" s="139" t="s">
        <v>635</v>
      </c>
      <c r="D305" s="111" t="str">
        <f t="shared" si="4"/>
        <v xml:space="preserve">Bedarf nicht gedeckt  </v>
      </c>
      <c r="E305" s="64" t="s">
        <v>634</v>
      </c>
      <c r="F305" s="115" t="s">
        <v>1120</v>
      </c>
      <c r="G305" s="65" t="s">
        <v>906</v>
      </c>
    </row>
    <row r="306" spans="1:7" ht="25.9" customHeight="1">
      <c r="A306" s="63">
        <v>303</v>
      </c>
      <c r="B306" s="139" t="s">
        <v>340</v>
      </c>
      <c r="C306" s="139" t="s">
        <v>635</v>
      </c>
      <c r="D306" s="111" t="str">
        <f t="shared" si="4"/>
        <v>ohne Hallenbad</v>
      </c>
      <c r="E306" s="64" t="s">
        <v>636</v>
      </c>
      <c r="F306" s="115" t="s">
        <v>1121</v>
      </c>
      <c r="G306" s="65" t="s">
        <v>907</v>
      </c>
    </row>
    <row r="307" spans="1:7" ht="29.25" customHeight="1">
      <c r="A307" s="63">
        <v>304</v>
      </c>
      <c r="B307" s="139" t="s">
        <v>340</v>
      </c>
      <c r="C307" s="139" t="s">
        <v>637</v>
      </c>
      <c r="D307" s="111" t="str">
        <f t="shared" si="4"/>
        <v>Warmwasser mit mindestens 20% erneuerbarer Energie erzeugt (für Restaurants / Sportbauten / Hallenbäder)</v>
      </c>
      <c r="E307" s="64" t="s">
        <v>380</v>
      </c>
      <c r="F307" s="115" t="s">
        <v>1122</v>
      </c>
      <c r="G307" s="65" t="s">
        <v>908</v>
      </c>
    </row>
    <row r="308" spans="1:7" ht="25.9" customHeight="1">
      <c r="A308" s="63">
        <v>305</v>
      </c>
      <c r="B308" s="139" t="s">
        <v>340</v>
      </c>
      <c r="C308" s="139" t="s">
        <v>645</v>
      </c>
      <c r="D308" s="111" t="str">
        <f t="shared" si="4"/>
        <v>Deckungsgrad &lt;&gt; 100%</v>
      </c>
      <c r="E308" s="64" t="s">
        <v>644</v>
      </c>
      <c r="F308" s="115" t="s">
        <v>1123</v>
      </c>
      <c r="G308" s="65" t="s">
        <v>909</v>
      </c>
    </row>
    <row r="309" spans="1:7" ht="25.9" customHeight="1">
      <c r="A309" s="63">
        <v>306</v>
      </c>
      <c r="D309" s="111" t="str">
        <f t="shared" si="4"/>
        <v>Netto-Jahresertrag pro kWp (Standardwert)</v>
      </c>
      <c r="E309" s="64" t="s">
        <v>50</v>
      </c>
      <c r="F309" s="115" t="s">
        <v>316</v>
      </c>
      <c r="G309" s="65" t="s">
        <v>910</v>
      </c>
    </row>
    <row r="310" spans="1:7" ht="92.25" customHeight="1">
      <c r="A310" s="63">
        <v>307</v>
      </c>
      <c r="B310" s="139" t="s">
        <v>21</v>
      </c>
      <c r="C310" s="139" t="s">
        <v>444</v>
      </c>
      <c r="D310" s="111" t="str">
        <f t="shared" si="4"/>
        <v>Zwingende Eingabe Qh,eff oder Qh,korr:
Heizwärmebedarf Qh,eff mit effektivem, thermisch wirksamen Aussenluftvolumenstrom Vth aus der Berechnung SIA 380/1:2009 übertragen.
Fakultativ darf anstelle von Qh,eff auch der raumhöhenkorrigierte Wert Qh,korr (Korrektur gemäss Angaben MINERGIE) hier eingetragen werden.</v>
      </c>
      <c r="E310" s="64" t="s">
        <v>638</v>
      </c>
      <c r="F310" s="115" t="s">
        <v>639</v>
      </c>
      <c r="G310" s="65" t="s">
        <v>911</v>
      </c>
    </row>
    <row r="311" spans="1:7" ht="25.9" customHeight="1">
      <c r="A311" s="63">
        <v>308</v>
      </c>
      <c r="D311" s="111" t="str">
        <f t="shared" si="4"/>
        <v xml:space="preserve"> 'Lüftungsgerät mit Abluft-Wärmepumpe' wählen</v>
      </c>
      <c r="E311" s="64" t="s">
        <v>16</v>
      </c>
      <c r="F311" s="115" t="s">
        <v>64</v>
      </c>
      <c r="G311" s="65" t="s">
        <v>912</v>
      </c>
    </row>
    <row r="312" spans="1:7" ht="25.9" customHeight="1">
      <c r="A312" s="63">
        <v>309</v>
      </c>
      <c r="D312" s="111" t="str">
        <f t="shared" si="4"/>
        <v xml:space="preserve"> 'Lüftungsgerät mit Abluft / Zuluft  - Wärmepumpe ohne WRG'       oder                                   'Kompakt-WP mit Zu- &amp; Abluft / WW ohne WRG'    wählen</v>
      </c>
      <c r="E312" s="64" t="s">
        <v>17</v>
      </c>
      <c r="F312" s="115" t="s">
        <v>65</v>
      </c>
      <c r="G312" s="65" t="s">
        <v>913</v>
      </c>
    </row>
    <row r="313" spans="1:7" ht="25.9" customHeight="1">
      <c r="A313" s="63">
        <v>310</v>
      </c>
      <c r="D313" s="111" t="str">
        <f t="shared" si="4"/>
        <v xml:space="preserve"> 'Lüftungsgerät mit Abluft / Zuluft  - Wärmepumpe plus WRG'       oder                                         'Kompakt-WP mit Zu- &amp; Abluft / WW plus WRG'    wählen"</v>
      </c>
      <c r="E313" s="64" t="s">
        <v>18</v>
      </c>
      <c r="F313" s="115" t="s">
        <v>315</v>
      </c>
      <c r="G313" s="65" t="s">
        <v>914</v>
      </c>
    </row>
    <row r="314" spans="1:7" ht="45" customHeight="1">
      <c r="A314" s="63">
        <v>311</v>
      </c>
      <c r="B314" s="139" t="s">
        <v>1186</v>
      </c>
      <c r="C314" s="139" t="s">
        <v>1203</v>
      </c>
      <c r="D314" s="111" t="str">
        <f t="shared" si="4"/>
        <v>Wenn Beschreibung zutrifft, ist Bedingung 'Glasanteil' nicht relevant. Wenn eine der beschriebenen Eigenschaften nicht zutrifft, ist n.a. anzuwählen.</v>
      </c>
      <c r="E314" s="64" t="s">
        <v>1202</v>
      </c>
      <c r="F314" s="115" t="s">
        <v>1387</v>
      </c>
      <c r="G314" s="65" t="s">
        <v>1338</v>
      </c>
    </row>
    <row r="315" spans="1:7" ht="25.9" customHeight="1">
      <c r="A315" s="63">
        <v>312</v>
      </c>
      <c r="B315" s="139" t="s">
        <v>21</v>
      </c>
      <c r="C315" s="139" t="s">
        <v>1187</v>
      </c>
      <c r="D315" s="111" t="str">
        <f t="shared" si="4"/>
        <v>Eingaben</v>
      </c>
      <c r="E315" s="64" t="s">
        <v>21</v>
      </c>
      <c r="F315" s="115" t="s">
        <v>1127</v>
      </c>
      <c r="G315" s="65" t="s">
        <v>1126</v>
      </c>
    </row>
    <row r="316" spans="1:7" ht="25.9" customHeight="1">
      <c r="A316" s="63">
        <v>313</v>
      </c>
      <c r="B316" s="139" t="s">
        <v>340</v>
      </c>
      <c r="C316" s="139" t="s">
        <v>1187</v>
      </c>
      <c r="D316" s="111" t="str">
        <f t="shared" si="4"/>
        <v>Nachweis</v>
      </c>
      <c r="E316" s="64" t="s">
        <v>340</v>
      </c>
      <c r="F316" s="115" t="s">
        <v>1128</v>
      </c>
      <c r="G316" s="65" t="s">
        <v>1125</v>
      </c>
    </row>
    <row r="317" spans="1:7" ht="25.9" customHeight="1">
      <c r="A317" s="63">
        <v>314</v>
      </c>
      <c r="B317" s="139" t="s">
        <v>1223</v>
      </c>
      <c r="C317" s="139" t="s">
        <v>1187</v>
      </c>
      <c r="D317" s="111" t="str">
        <f t="shared" si="4"/>
        <v>Uebrsicht</v>
      </c>
      <c r="E317" s="64" t="s">
        <v>1222</v>
      </c>
      <c r="F317" s="115" t="s">
        <v>1388</v>
      </c>
      <c r="G317" s="65" t="s">
        <v>1487</v>
      </c>
    </row>
    <row r="318" spans="1:7" ht="25.9" customHeight="1">
      <c r="A318" s="63">
        <v>315</v>
      </c>
      <c r="B318" s="139" t="s">
        <v>1223</v>
      </c>
      <c r="C318" s="139" t="s">
        <v>402</v>
      </c>
      <c r="D318" s="111" t="str">
        <f t="shared" si="4"/>
        <v>Übersicht</v>
      </c>
      <c r="E318" s="64" t="s">
        <v>1298</v>
      </c>
      <c r="F318" s="115" t="s">
        <v>1388</v>
      </c>
      <c r="G318" s="65" t="s">
        <v>1487</v>
      </c>
    </row>
    <row r="319" spans="1:7" ht="25.9" customHeight="1">
      <c r="A319" s="63">
        <v>316</v>
      </c>
      <c r="B319" s="139" t="s">
        <v>1186</v>
      </c>
      <c r="C319" s="139" t="s">
        <v>1187</v>
      </c>
      <c r="D319" s="111" t="str">
        <f t="shared" si="4"/>
        <v>Sommer</v>
      </c>
      <c r="E319" s="64" t="s">
        <v>1186</v>
      </c>
      <c r="F319" s="115" t="s">
        <v>1389</v>
      </c>
      <c r="G319" s="65" t="s">
        <v>1488</v>
      </c>
    </row>
    <row r="320" spans="1:7" ht="25.9" customHeight="1">
      <c r="A320" s="63">
        <v>317</v>
      </c>
      <c r="B320" s="139" t="s">
        <v>1186</v>
      </c>
      <c r="C320" s="139" t="s">
        <v>1188</v>
      </c>
      <c r="D320" s="111" t="str">
        <f t="shared" si="4"/>
        <v>Sommerlicher Wärmeschutz im Minergie-Standard</v>
      </c>
      <c r="E320" s="64" t="s">
        <v>1752</v>
      </c>
      <c r="F320" s="115" t="s">
        <v>1753</v>
      </c>
      <c r="G320" s="65" t="s">
        <v>1754</v>
      </c>
    </row>
    <row r="321" spans="1:7" ht="96" customHeight="1">
      <c r="A321" s="63">
        <v>318</v>
      </c>
      <c r="B321" s="139" t="s">
        <v>1186</v>
      </c>
      <c r="C321" s="139" t="s">
        <v>408</v>
      </c>
      <c r="D321" s="111" t="str">
        <f t="shared" si="4"/>
        <v>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v>
      </c>
      <c r="E321" s="64" t="s">
        <v>1151</v>
      </c>
      <c r="F321" s="115" t="s">
        <v>1390</v>
      </c>
      <c r="G321" s="65" t="s">
        <v>1489</v>
      </c>
    </row>
    <row r="322" spans="1:7" ht="39" customHeight="1">
      <c r="A322" s="63">
        <v>319</v>
      </c>
      <c r="B322" s="139" t="s">
        <v>1186</v>
      </c>
      <c r="C322" s="139" t="s">
        <v>1190</v>
      </c>
      <c r="D322" s="111" t="str">
        <f t="shared" si="4"/>
        <v>Variante 1: Globalbeurteilung von Standardfällen für die Nutzungen Wohnen, Einzelbüro, Gruppenbüro, Sitzungszimmer und Lager (ohne Kühlung)</v>
      </c>
      <c r="E322" s="64" t="s">
        <v>1189</v>
      </c>
      <c r="F322" s="115" t="s">
        <v>1391</v>
      </c>
      <c r="G322" s="65" t="s">
        <v>1490</v>
      </c>
    </row>
    <row r="323" spans="1:7" ht="25.9" customHeight="1">
      <c r="A323" s="63">
        <v>320</v>
      </c>
      <c r="B323" s="139" t="s">
        <v>1186</v>
      </c>
      <c r="C323" s="139" t="s">
        <v>608</v>
      </c>
      <c r="D323" s="111" t="str">
        <f t="shared" si="4"/>
        <v>Die Globalbeurteilung gilt für Zonen in denen in allen Räumen folgende Bedingungen eingehalten sind:</v>
      </c>
      <c r="E323" s="64" t="s">
        <v>1152</v>
      </c>
      <c r="F323" s="115" t="s">
        <v>1392</v>
      </c>
      <c r="G323" s="65" t="s">
        <v>1491</v>
      </c>
    </row>
    <row r="324" spans="1:7" ht="54.95" customHeight="1">
      <c r="A324" s="63">
        <v>321</v>
      </c>
      <c r="B324" s="139" t="s">
        <v>1186</v>
      </c>
      <c r="C324" s="139" t="s">
        <v>1191</v>
      </c>
      <c r="D324" s="111" t="str">
        <f t="shared" si="4"/>
        <v>- keine Oblichter oder Dachflächenfenster mit Glasflächen &gt; 0.5 m2, grössere Glasflächen können in vertikale Flächen
  umgerechnet werden -&gt; siehe Anwendungshilfe</v>
      </c>
      <c r="E324" s="73" t="s">
        <v>1154</v>
      </c>
      <c r="F324" s="406" t="s">
        <v>1755</v>
      </c>
      <c r="G324" s="405" t="s">
        <v>1811</v>
      </c>
    </row>
    <row r="325" spans="1:7" ht="25.9" customHeight="1">
      <c r="A325" s="63">
        <v>322</v>
      </c>
      <c r="B325" s="139" t="s">
        <v>1186</v>
      </c>
      <c r="C325" s="139" t="s">
        <v>409</v>
      </c>
      <c r="D325" s="111" t="str">
        <f t="shared" ref="D325:D388" si="5">INDEX($E$4:$G$503,$A325,$A$1)</f>
        <v>- aussenliegender beweglicher Sonnenschutz mit Rollläden oder Rafflamellenstoren (z.B. Minergie-Module);</v>
      </c>
      <c r="E325" s="73" t="s">
        <v>1756</v>
      </c>
      <c r="F325" s="115" t="s">
        <v>1757</v>
      </c>
      <c r="G325" s="405" t="s">
        <v>1758</v>
      </c>
    </row>
    <row r="326" spans="1:7" ht="25.9" customHeight="1">
      <c r="A326" s="63">
        <v>323</v>
      </c>
      <c r="B326" s="139" t="s">
        <v>1186</v>
      </c>
      <c r="C326" s="139" t="s">
        <v>224</v>
      </c>
      <c r="D326" s="111" t="str">
        <f t="shared" si="5"/>
        <v>- Nachtauskühlung mit Fensterlüftung ist möglich;</v>
      </c>
      <c r="E326" s="73" t="s">
        <v>1155</v>
      </c>
      <c r="F326" s="115" t="s">
        <v>1393</v>
      </c>
      <c r="G326" s="65" t="s">
        <v>1492</v>
      </c>
    </row>
    <row r="327" spans="1:7" ht="25.9" customHeight="1">
      <c r="A327" s="63">
        <v>324</v>
      </c>
      <c r="B327" s="139" t="s">
        <v>1186</v>
      </c>
      <c r="C327" s="139" t="s">
        <v>412</v>
      </c>
      <c r="D327" s="111" t="str">
        <f t="shared" si="5"/>
        <v>- interne Wärmelasten nicht höher als die Standardwerte im Merkblatt SIA 2024.</v>
      </c>
      <c r="E327" s="73" t="s">
        <v>1157</v>
      </c>
      <c r="F327" s="115" t="s">
        <v>1394</v>
      </c>
      <c r="G327" s="65" t="s">
        <v>1493</v>
      </c>
    </row>
    <row r="328" spans="1:7" ht="25.9" customHeight="1">
      <c r="A328" s="63">
        <v>325</v>
      </c>
      <c r="B328" s="139" t="s">
        <v>1186</v>
      </c>
      <c r="C328" s="139" t="s">
        <v>414</v>
      </c>
      <c r="D328" s="111" t="str">
        <f t="shared" si="5"/>
        <v>Erfüllen die Räume in der Zone die Kriterien?</v>
      </c>
      <c r="E328" s="64" t="s">
        <v>1159</v>
      </c>
      <c r="F328" s="115" t="s">
        <v>1395</v>
      </c>
      <c r="G328" s="65" t="s">
        <v>1494</v>
      </c>
    </row>
    <row r="329" spans="1:7" ht="25.9" customHeight="1">
      <c r="A329" s="63">
        <v>326</v>
      </c>
      <c r="B329" s="139" t="s">
        <v>1186</v>
      </c>
      <c r="C329" s="139" t="s">
        <v>1192</v>
      </c>
      <c r="D329" s="111" t="str">
        <f t="shared" si="5"/>
        <v>Aussenliegender beweglicher Sonnenschutz. Bei "andere" hier deklarieren:</v>
      </c>
      <c r="E329" s="64" t="s">
        <v>1161</v>
      </c>
      <c r="F329" s="115" t="s">
        <v>1396</v>
      </c>
      <c r="G329" s="65" t="s">
        <v>1495</v>
      </c>
    </row>
    <row r="330" spans="1:7" ht="25.9" customHeight="1">
      <c r="A330" s="63">
        <v>327</v>
      </c>
      <c r="B330" s="139" t="s">
        <v>1186</v>
      </c>
      <c r="C330" s="139" t="s">
        <v>447</v>
      </c>
      <c r="D330" s="111" t="str">
        <f t="shared" si="5"/>
        <v>g-Wert und Produktebezeichnung</v>
      </c>
      <c r="E330" s="64" t="s">
        <v>1193</v>
      </c>
      <c r="F330" s="115" t="s">
        <v>1397</v>
      </c>
      <c r="G330" s="65" t="s">
        <v>1496</v>
      </c>
    </row>
    <row r="331" spans="1:7" ht="46.5" customHeight="1">
      <c r="A331" s="63">
        <v>328</v>
      </c>
      <c r="B331" s="139" t="s">
        <v>1186</v>
      </c>
      <c r="C331" s="139" t="s">
        <v>1194</v>
      </c>
      <c r="D331" s="111" t="str">
        <f t="shared" si="5"/>
        <v>Wohnen (EFH, MFH), Räume mit 1 Fassade, Betondecke (&gt;80% frei):
- Glasanteil &lt;70%</v>
      </c>
      <c r="E331" s="64" t="s">
        <v>1162</v>
      </c>
      <c r="F331" s="115" t="s">
        <v>1594</v>
      </c>
      <c r="G331" s="65" t="s">
        <v>1600</v>
      </c>
    </row>
    <row r="332" spans="1:7" ht="34.9" customHeight="1">
      <c r="A332" s="63">
        <v>329</v>
      </c>
      <c r="B332" s="139" t="s">
        <v>1186</v>
      </c>
      <c r="C332" s="139" t="s">
        <v>268</v>
      </c>
      <c r="D332" s="111" t="str">
        <f t="shared" si="5"/>
        <v>Wohnen (EFH,MFH), Eckzimmer; Betondecke (&gt;80% frei):
- Glasanteil pro Fassade &lt;50%</v>
      </c>
      <c r="E332" s="64" t="s">
        <v>1163</v>
      </c>
      <c r="F332" s="115" t="s">
        <v>1595</v>
      </c>
      <c r="G332" s="405" t="s">
        <v>1601</v>
      </c>
    </row>
    <row r="333" spans="1:7" ht="49.5" customHeight="1">
      <c r="A333" s="63">
        <v>330</v>
      </c>
      <c r="B333" s="139" t="s">
        <v>1186</v>
      </c>
      <c r="C333" s="139" t="s">
        <v>1195</v>
      </c>
      <c r="D333" s="111" t="str">
        <f t="shared" si="5"/>
        <v>Wohnen (EFH, MFH), 1 Fassade oder Eckzimmer. Holzdecke und Zementunterlagsboden mit min. 6 cm oder Anhydrit min. 5 cm Stärke:
- Glasanteil &lt;40%</v>
      </c>
      <c r="E333" s="64" t="s">
        <v>1164</v>
      </c>
      <c r="F333" s="115" t="s">
        <v>1807</v>
      </c>
      <c r="G333" s="65" t="s">
        <v>1806</v>
      </c>
    </row>
    <row r="334" spans="1:7" ht="66" customHeight="1">
      <c r="A334" s="63">
        <v>331</v>
      </c>
      <c r="B334" s="139" t="s">
        <v>1186</v>
      </c>
      <c r="C334" s="139" t="s">
        <v>269</v>
      </c>
      <c r="D334" s="111" t="str">
        <f t="shared" si="5"/>
        <v>Wohnen (EFH, MFH), Räume mit 1 Fassade, Betondecke (&gt;80% frei) oder Zement-unterlagsboden mit min. 6 cm oder Anhydrit min. 5 cmStärke. Süd-Orientierung und Verschattung durch Balkon von min. 1 m Tiefe. 
- Glasanteil &lt;100%</v>
      </c>
      <c r="E334" s="64" t="s">
        <v>1165</v>
      </c>
      <c r="F334" s="115" t="s">
        <v>1596</v>
      </c>
      <c r="G334" s="405" t="s">
        <v>1808</v>
      </c>
    </row>
    <row r="335" spans="1:7" ht="42.75" customHeight="1">
      <c r="A335" s="63">
        <v>332</v>
      </c>
      <c r="B335" s="139" t="s">
        <v>1186</v>
      </c>
      <c r="C335" s="139" t="s">
        <v>270</v>
      </c>
      <c r="D335" s="111" t="str">
        <f t="shared" si="5"/>
        <v>Einzelbüro, Gruppenbüro, Sitzungszimmer mit 1 Fassade, Betondecke (&gt;80% frei):
- Glasanteil &lt;50% und automat. Steuerung des Sonnenschutzes</v>
      </c>
      <c r="E335" s="64" t="s">
        <v>1196</v>
      </c>
      <c r="F335" s="115" t="s">
        <v>1597</v>
      </c>
      <c r="G335" s="65" t="s">
        <v>1810</v>
      </c>
    </row>
    <row r="336" spans="1:7" ht="40.5" customHeight="1">
      <c r="A336" s="63">
        <v>333</v>
      </c>
      <c r="B336" s="139" t="s">
        <v>1186</v>
      </c>
      <c r="C336" s="139" t="s">
        <v>241</v>
      </c>
      <c r="D336" s="111" t="str">
        <f t="shared" si="5"/>
        <v>Einzelbüro, Gruppenbüro, Sitzungszimmer als Eckzimmer, Betondecke (&gt;80% frei):
- Glasanteil &lt;35% und automat. Steuerung des Sonnenschutzes</v>
      </c>
      <c r="E336" s="64" t="s">
        <v>1197</v>
      </c>
      <c r="F336" s="115" t="s">
        <v>1598</v>
      </c>
      <c r="G336" s="65" t="s">
        <v>1809</v>
      </c>
    </row>
    <row r="337" spans="1:7" ht="25.9" customHeight="1">
      <c r="A337" s="63">
        <v>334</v>
      </c>
      <c r="B337" s="139" t="s">
        <v>1186</v>
      </c>
      <c r="C337" s="139" t="s">
        <v>1199</v>
      </c>
      <c r="D337" s="111" t="str">
        <f t="shared" si="5"/>
        <v>Lager mit geringen internen Wärmelasten</v>
      </c>
      <c r="E337" s="64" t="s">
        <v>1198</v>
      </c>
      <c r="F337" s="115" t="s">
        <v>1398</v>
      </c>
      <c r="G337" s="65" t="s">
        <v>1497</v>
      </c>
    </row>
    <row r="338" spans="1:7" ht="67.5" customHeight="1">
      <c r="A338" s="63">
        <v>335</v>
      </c>
      <c r="B338" s="139" t="s">
        <v>1186</v>
      </c>
      <c r="C338" s="139" t="s">
        <v>428</v>
      </c>
      <c r="D338" s="111" t="str">
        <f t="shared" si="5"/>
        <v>"n.a.":    Nicht vorhanden. Ein solcher Raumtyp existiert nicht.
"ja":       Ein solcher Raumtyp ist vorhanden und alle Kriterien sind erfüllt.
"nein":   Ein solcher Raumtyp ist vorhanden, aber die Kriterien sind nicht erfüllt (z.B. zu hoher Glasanteil)</v>
      </c>
      <c r="E338" s="64" t="s">
        <v>1166</v>
      </c>
      <c r="F338" s="115" t="s">
        <v>1599</v>
      </c>
      <c r="G338" s="65" t="s">
        <v>1602</v>
      </c>
    </row>
    <row r="339" spans="1:7" ht="25.9" customHeight="1">
      <c r="A339" s="63">
        <v>336</v>
      </c>
      <c r="B339" s="139" t="s">
        <v>1186</v>
      </c>
      <c r="C339" s="139" t="s">
        <v>1201</v>
      </c>
      <c r="D339" s="111" t="str">
        <f t="shared" si="5"/>
        <v>Wenn S14 zutrifft, ist in S11 n.a. anzuwählen.</v>
      </c>
      <c r="E339" s="64" t="s">
        <v>1200</v>
      </c>
      <c r="F339" s="115" t="s">
        <v>1399</v>
      </c>
      <c r="G339" s="65" t="s">
        <v>1505</v>
      </c>
    </row>
    <row r="340" spans="1:7" ht="43.5" customHeight="1">
      <c r="A340" s="63">
        <v>337</v>
      </c>
      <c r="B340" s="139" t="s">
        <v>1186</v>
      </c>
      <c r="C340" s="139" t="s">
        <v>1203</v>
      </c>
      <c r="D340" s="111" t="str">
        <f t="shared" si="5"/>
        <v>Wenn Beschreibung zutrifft, ist Bedingung 'Glasanteil' nicht relevant. Wenn eine der beschriebenen Eigenschaften nicht zutrifft, ist n.a. anzuwählen.</v>
      </c>
      <c r="E340" s="64" t="s">
        <v>1202</v>
      </c>
      <c r="F340" s="115" t="s">
        <v>1387</v>
      </c>
      <c r="G340" s="65" t="s">
        <v>1338</v>
      </c>
    </row>
    <row r="341" spans="1:7" ht="25.9" customHeight="1">
      <c r="A341" s="63">
        <v>338</v>
      </c>
      <c r="B341" s="139" t="s">
        <v>1186</v>
      </c>
      <c r="C341" s="139" t="s">
        <v>430</v>
      </c>
      <c r="D341" s="111" t="str">
        <f t="shared" si="5"/>
        <v>Variante 2: Externer Nachweis der Kriterien gemäss SIA382/1 (ohne Kühlung)</v>
      </c>
      <c r="E341" s="64" t="s">
        <v>1167</v>
      </c>
      <c r="F341" s="115" t="s">
        <v>1400</v>
      </c>
      <c r="G341" s="65" t="s">
        <v>1499</v>
      </c>
    </row>
    <row r="342" spans="1:7" ht="25.9" customHeight="1">
      <c r="A342" s="63">
        <v>339</v>
      </c>
      <c r="B342" s="139" t="s">
        <v>1186</v>
      </c>
      <c r="C342" s="139" t="s">
        <v>1204</v>
      </c>
      <c r="D342" s="111" t="str">
        <f t="shared" si="5"/>
        <v>Die Erfüllung dieser Kriterien wird in Beilagen beschrieben und dokumentiert.</v>
      </c>
      <c r="E342" s="64" t="s">
        <v>1168</v>
      </c>
      <c r="F342" s="115" t="s">
        <v>1401</v>
      </c>
      <c r="G342" s="65" t="s">
        <v>1500</v>
      </c>
    </row>
    <row r="343" spans="1:7" ht="25.9" customHeight="1">
      <c r="A343" s="63">
        <v>340</v>
      </c>
      <c r="B343" s="139" t="s">
        <v>1186</v>
      </c>
      <c r="C343" s="139" t="s">
        <v>62</v>
      </c>
      <c r="D343" s="111" t="str">
        <f t="shared" si="5"/>
        <v>SIA 382/1 Ziffer</v>
      </c>
      <c r="E343" s="64" t="s">
        <v>1169</v>
      </c>
      <c r="F343" s="115" t="s">
        <v>1402</v>
      </c>
      <c r="G343" s="65" t="s">
        <v>1501</v>
      </c>
    </row>
    <row r="344" spans="1:7" ht="25.9" customHeight="1">
      <c r="A344" s="63">
        <v>341</v>
      </c>
      <c r="B344" s="139" t="s">
        <v>1186</v>
      </c>
      <c r="C344" s="139" t="s">
        <v>1205</v>
      </c>
      <c r="D344" s="111" t="str">
        <f t="shared" si="5"/>
        <v>Anforderungen an den Sonnenschutz sind gemäss Zusatzformular sommerlicher Wärmeschutz erfüllt.</v>
      </c>
      <c r="E344" s="64" t="s">
        <v>1172</v>
      </c>
      <c r="F344" s="115" t="s">
        <v>1403</v>
      </c>
      <c r="G344" s="65" t="s">
        <v>1502</v>
      </c>
    </row>
    <row r="345" spans="1:7" ht="25.9" customHeight="1">
      <c r="A345" s="63">
        <v>342</v>
      </c>
      <c r="B345" s="139" t="s">
        <v>1186</v>
      </c>
      <c r="C345" s="139" t="s">
        <v>431</v>
      </c>
      <c r="D345" s="111" t="str">
        <f t="shared" si="5"/>
        <v>Bemerkungen zum externen Nachweis (Art, Beilage, z.B. Hilfskriterien gemäss Anwendungshilfe):</v>
      </c>
      <c r="E345" s="64" t="s">
        <v>1178</v>
      </c>
      <c r="F345" s="115" t="s">
        <v>1404</v>
      </c>
      <c r="G345" s="65" t="s">
        <v>1503</v>
      </c>
    </row>
    <row r="346" spans="1:7" ht="25.9" customHeight="1">
      <c r="A346" s="63">
        <v>343</v>
      </c>
      <c r="B346" s="139" t="s">
        <v>1186</v>
      </c>
      <c r="C346" s="139" t="s">
        <v>439</v>
      </c>
      <c r="D346" s="111" t="str">
        <f t="shared" si="5"/>
        <v>Variante 3: Externer Nachweis der Kriterien gemäss SIA382/1 (mit Kühlung)</v>
      </c>
      <c r="E346" s="64" t="s">
        <v>1206</v>
      </c>
      <c r="F346" s="115" t="s">
        <v>1405</v>
      </c>
      <c r="G346" s="65" t="s">
        <v>1504</v>
      </c>
    </row>
    <row r="347" spans="1:7" ht="41.25" customHeight="1">
      <c r="A347" s="63">
        <v>344</v>
      </c>
      <c r="B347" s="139" t="s">
        <v>1186</v>
      </c>
      <c r="C347" s="139" t="s">
        <v>1207</v>
      </c>
      <c r="D347" s="111" t="str">
        <f t="shared" si="5"/>
        <v>Die sommerlichen Raumlufttemperaturen wurden gemäss SIA 382/1, Zif. 4.4.4 berechnet. Die Grenzwertkurve wird ohne Kühlung an weniger als 100 h überschritten.</v>
      </c>
      <c r="E347" s="64" t="s">
        <v>1179</v>
      </c>
      <c r="F347" s="115" t="s">
        <v>1406</v>
      </c>
      <c r="G347" s="65" t="s">
        <v>1506</v>
      </c>
    </row>
    <row r="348" spans="1:7" ht="44.25" customHeight="1">
      <c r="A348" s="63">
        <v>345</v>
      </c>
      <c r="B348" s="139" t="s">
        <v>1186</v>
      </c>
      <c r="C348" s="139" t="s">
        <v>494</v>
      </c>
      <c r="D348" s="111" t="str">
        <f t="shared" si="5"/>
        <v>Die Zone ist gekühlt und der Energiebedarf wurde berechnet. 
Es treten keinen hohen sommerlichen Raumlufttemperaturen auf.</v>
      </c>
      <c r="E348" s="64" t="s">
        <v>1181</v>
      </c>
      <c r="F348" s="115" t="s">
        <v>1411</v>
      </c>
      <c r="G348" s="65" t="s">
        <v>1507</v>
      </c>
    </row>
    <row r="349" spans="1:7" ht="25.9" customHeight="1">
      <c r="A349" s="63">
        <v>346</v>
      </c>
      <c r="B349" s="139" t="s">
        <v>1186</v>
      </c>
      <c r="C349" s="139" t="s">
        <v>499</v>
      </c>
      <c r="D349" s="111" t="str">
        <f t="shared" si="5"/>
        <v>Gemäss Deklaration sind Anforderungen an den sommerlichen Wärmeschutz erfüllt.</v>
      </c>
      <c r="E349" s="64" t="s">
        <v>1185</v>
      </c>
      <c r="F349" s="115" t="s">
        <v>1407</v>
      </c>
      <c r="G349" s="65" t="s">
        <v>1508</v>
      </c>
    </row>
    <row r="350" spans="1:7" ht="25.9" customHeight="1">
      <c r="A350" s="63">
        <v>347</v>
      </c>
      <c r="B350" s="139" t="s">
        <v>1186</v>
      </c>
      <c r="C350" s="139" t="s">
        <v>1208</v>
      </c>
      <c r="D350" s="111" t="str">
        <f t="shared" si="5"/>
        <v>Rollläden</v>
      </c>
      <c r="E350" s="64" t="s">
        <v>1153</v>
      </c>
      <c r="F350" s="115" t="s">
        <v>1408</v>
      </c>
      <c r="G350" s="65" t="s">
        <v>1759</v>
      </c>
    </row>
    <row r="351" spans="1:7" ht="25.9" customHeight="1">
      <c r="A351" s="63">
        <v>348</v>
      </c>
      <c r="B351" s="139" t="s">
        <v>1186</v>
      </c>
      <c r="C351" s="139" t="s">
        <v>1209</v>
      </c>
      <c r="D351" s="111" t="str">
        <f t="shared" si="5"/>
        <v>Rafflamellen</v>
      </c>
      <c r="E351" s="64" t="s">
        <v>1210</v>
      </c>
      <c r="F351" s="115" t="s">
        <v>1409</v>
      </c>
      <c r="G351" s="65" t="s">
        <v>1509</v>
      </c>
    </row>
    <row r="352" spans="1:7" ht="25.9" customHeight="1">
      <c r="A352" s="63">
        <v>349</v>
      </c>
      <c r="B352" s="139" t="s">
        <v>1186</v>
      </c>
      <c r="C352" s="139" t="s">
        <v>1211</v>
      </c>
      <c r="D352" s="111" t="str">
        <f t="shared" si="5"/>
        <v>Modul Minergie</v>
      </c>
      <c r="E352" s="64" t="s">
        <v>1760</v>
      </c>
      <c r="F352" s="115" t="s">
        <v>1761</v>
      </c>
      <c r="G352" s="65" t="s">
        <v>1510</v>
      </c>
    </row>
    <row r="353" spans="1:7" ht="25.9" customHeight="1">
      <c r="A353" s="63">
        <v>350</v>
      </c>
      <c r="B353" s="139" t="s">
        <v>1186</v>
      </c>
      <c r="C353" s="139" t="s">
        <v>1212</v>
      </c>
      <c r="D353" s="111" t="str">
        <f t="shared" si="5"/>
        <v>andere</v>
      </c>
      <c r="E353" s="64" t="s">
        <v>102</v>
      </c>
      <c r="F353" s="115" t="s">
        <v>1410</v>
      </c>
      <c r="G353" s="65" t="s">
        <v>889</v>
      </c>
    </row>
    <row r="354" spans="1:7" ht="25.9" customHeight="1">
      <c r="A354" s="63">
        <v>351</v>
      </c>
      <c r="B354" s="139" t="s">
        <v>1186</v>
      </c>
      <c r="C354" s="139" t="s">
        <v>447</v>
      </c>
      <c r="D354" s="111" t="str">
        <f t="shared" si="5"/>
        <v>g-Wert und Produktebezeichnung</v>
      </c>
      <c r="E354" s="64" t="s">
        <v>1193</v>
      </c>
      <c r="F354" s="115" t="s">
        <v>1397</v>
      </c>
      <c r="G354" s="65" t="s">
        <v>1496</v>
      </c>
    </row>
    <row r="355" spans="1:7" ht="25.9" customHeight="1">
      <c r="A355" s="63">
        <v>352</v>
      </c>
      <c r="B355" s="139" t="s">
        <v>1186</v>
      </c>
      <c r="C355" s="139" t="s">
        <v>1201</v>
      </c>
      <c r="D355" s="111" t="str">
        <f t="shared" si="5"/>
        <v>Wenn S14 zutrifft, ist in S11 n.a. anzuwählen.</v>
      </c>
      <c r="E355" s="64" t="s">
        <v>1200</v>
      </c>
      <c r="F355" s="115" t="s">
        <v>1399</v>
      </c>
      <c r="G355" s="65" t="s">
        <v>1498</v>
      </c>
    </row>
    <row r="356" spans="1:7" ht="25.9" customHeight="1">
      <c r="A356" s="63">
        <v>353</v>
      </c>
      <c r="B356" s="139" t="s">
        <v>21</v>
      </c>
      <c r="C356" s="139" t="s">
        <v>405</v>
      </c>
      <c r="D356" s="111" t="str">
        <f t="shared" si="5"/>
        <v>Projektname:</v>
      </c>
      <c r="E356" s="64" t="s">
        <v>1213</v>
      </c>
      <c r="F356" s="115" t="s">
        <v>1412</v>
      </c>
      <c r="G356" s="65" t="s">
        <v>1511</v>
      </c>
    </row>
    <row r="357" spans="1:7" ht="25.9" customHeight="1">
      <c r="A357" s="63">
        <v>354</v>
      </c>
      <c r="B357" s="139" t="s">
        <v>21</v>
      </c>
      <c r="C357" s="139" t="s">
        <v>269</v>
      </c>
      <c r="D357" s="111" t="str">
        <f t="shared" si="5"/>
        <v>Gebäudehüllzahl</v>
      </c>
      <c r="E357" s="64" t="s">
        <v>100</v>
      </c>
      <c r="F357" s="115" t="s">
        <v>1413</v>
      </c>
      <c r="G357" s="65" t="s">
        <v>1512</v>
      </c>
    </row>
    <row r="358" spans="1:7" ht="25.9" customHeight="1">
      <c r="A358" s="63">
        <v>355</v>
      </c>
      <c r="B358" s="139" t="s">
        <v>21</v>
      </c>
      <c r="C358" s="139" t="s">
        <v>1214</v>
      </c>
      <c r="D358" s="111" t="str">
        <f t="shared" si="5"/>
        <v xml:space="preserve">MOP - Nr.: </v>
      </c>
      <c r="E358" s="64" t="s">
        <v>1215</v>
      </c>
      <c r="F358" s="115" t="s">
        <v>1414</v>
      </c>
      <c r="G358" s="65" t="s">
        <v>1812</v>
      </c>
    </row>
    <row r="359" spans="1:7" ht="25.9" customHeight="1">
      <c r="A359" s="63">
        <v>356</v>
      </c>
      <c r="B359" s="139" t="s">
        <v>21</v>
      </c>
      <c r="C359" s="139" t="s">
        <v>408</v>
      </c>
      <c r="D359" s="111" t="str">
        <f t="shared" si="5"/>
        <v>Gebäudeadresse:</v>
      </c>
      <c r="E359" s="64" t="s">
        <v>1216</v>
      </c>
      <c r="F359" s="115" t="s">
        <v>1415</v>
      </c>
      <c r="G359" s="65" t="s">
        <v>1513</v>
      </c>
    </row>
    <row r="360" spans="1:7" ht="25.9" customHeight="1">
      <c r="A360" s="63">
        <v>357</v>
      </c>
      <c r="B360" s="139" t="s">
        <v>340</v>
      </c>
      <c r="C360" s="139" t="s">
        <v>438</v>
      </c>
      <c r="D360" s="111" t="str">
        <f t="shared" si="5"/>
        <v>Grenzwert für Endenergiebedarf ohne PV</v>
      </c>
      <c r="E360" s="64" t="s">
        <v>1217</v>
      </c>
      <c r="F360" s="115" t="s">
        <v>1416</v>
      </c>
      <c r="G360" s="65" t="s">
        <v>1514</v>
      </c>
    </row>
    <row r="361" spans="1:7" ht="25.9" customHeight="1">
      <c r="A361" s="63">
        <v>358</v>
      </c>
      <c r="B361" s="139" t="s">
        <v>340</v>
      </c>
      <c r="C361" s="139" t="s">
        <v>339</v>
      </c>
      <c r="D361" s="111" t="str">
        <f t="shared" si="5"/>
        <v>Grenzwert für Minergie-Kennzahl MKZ</v>
      </c>
      <c r="E361" s="64" t="s">
        <v>1218</v>
      </c>
      <c r="F361" s="115" t="s">
        <v>1417</v>
      </c>
      <c r="G361" s="65" t="s">
        <v>1515</v>
      </c>
    </row>
    <row r="362" spans="1:7" ht="25.9" customHeight="1">
      <c r="A362" s="63">
        <v>359</v>
      </c>
      <c r="B362" s="139" t="s">
        <v>154</v>
      </c>
      <c r="C362" s="139" t="s">
        <v>1192</v>
      </c>
      <c r="D362" s="111" t="str">
        <f t="shared" si="5"/>
        <v xml:space="preserve"> - Abminderung Armaturen</v>
      </c>
      <c r="E362" s="64" t="s">
        <v>1245</v>
      </c>
      <c r="F362" s="115" t="s">
        <v>1418</v>
      </c>
      <c r="G362" s="405" t="s">
        <v>1518</v>
      </c>
    </row>
    <row r="363" spans="1:7" ht="25.9" customHeight="1">
      <c r="A363" s="63">
        <v>360</v>
      </c>
      <c r="B363" s="139" t="s">
        <v>154</v>
      </c>
      <c r="C363" s="139" t="s">
        <v>233</v>
      </c>
      <c r="D363" s="111" t="str">
        <f t="shared" si="5"/>
        <v xml:space="preserve"> - Abminderung Warmhaltung</v>
      </c>
      <c r="E363" s="64" t="s">
        <v>1246</v>
      </c>
      <c r="F363" s="115" t="s">
        <v>1419</v>
      </c>
      <c r="G363" s="405" t="s">
        <v>1519</v>
      </c>
    </row>
    <row r="364" spans="1:7" ht="25.9" customHeight="1">
      <c r="A364" s="63">
        <v>361</v>
      </c>
      <c r="B364" s="139" t="s">
        <v>154</v>
      </c>
      <c r="C364" s="139" t="s">
        <v>428</v>
      </c>
      <c r="D364" s="111" t="str">
        <f t="shared" si="5"/>
        <v>Elektrizität</v>
      </c>
      <c r="E364" s="64" t="s">
        <v>1135</v>
      </c>
      <c r="F364" s="115" t="s">
        <v>1420</v>
      </c>
      <c r="G364" s="65" t="s">
        <v>888</v>
      </c>
    </row>
    <row r="365" spans="1:7" ht="25.9" customHeight="1">
      <c r="A365" s="63">
        <v>362</v>
      </c>
      <c r="B365" s="139" t="s">
        <v>154</v>
      </c>
      <c r="C365" s="139" t="s">
        <v>430</v>
      </c>
      <c r="D365" s="111" t="str">
        <f t="shared" si="5"/>
        <v>Angaben für Wohnungsnutzung:</v>
      </c>
      <c r="E365" s="64" t="s">
        <v>1143</v>
      </c>
      <c r="F365" s="115" t="s">
        <v>1421</v>
      </c>
      <c r="G365" s="65" t="s">
        <v>1516</v>
      </c>
    </row>
    <row r="366" spans="1:7" ht="25.9" customHeight="1">
      <c r="A366" s="63">
        <v>363</v>
      </c>
      <c r="B366" s="139" t="s">
        <v>154</v>
      </c>
      <c r="C366" s="139" t="s">
        <v>1204</v>
      </c>
      <c r="D366" s="111" t="str">
        <f t="shared" si="5"/>
        <v>Aufzugsanlage / Lift vorhanden?</v>
      </c>
      <c r="E366" s="64" t="s">
        <v>1361</v>
      </c>
      <c r="F366" s="115" t="s">
        <v>1422</v>
      </c>
      <c r="G366" s="65" t="s">
        <v>1517</v>
      </c>
    </row>
    <row r="367" spans="1:7" ht="25.9" customHeight="1">
      <c r="A367" s="63">
        <v>364</v>
      </c>
      <c r="B367" s="139" t="s">
        <v>154</v>
      </c>
      <c r="C367" s="139" t="s">
        <v>62</v>
      </c>
      <c r="D367" s="111" t="str">
        <f t="shared" si="5"/>
        <v>Alle Geschirrspüler Klasse A+++</v>
      </c>
      <c r="E367" s="64" t="s">
        <v>1137</v>
      </c>
      <c r="F367" s="115" t="s">
        <v>1423</v>
      </c>
      <c r="G367" s="65" t="s">
        <v>1520</v>
      </c>
    </row>
    <row r="368" spans="1:7" ht="25.9" customHeight="1">
      <c r="A368" s="63">
        <v>365</v>
      </c>
      <c r="B368" s="139" t="s">
        <v>154</v>
      </c>
      <c r="C368" s="139" t="s">
        <v>63</v>
      </c>
      <c r="D368" s="111" t="str">
        <f t="shared" si="5"/>
        <v>Alle Kühl- und Gefrierschränke A+++</v>
      </c>
      <c r="E368" s="64" t="s">
        <v>1136</v>
      </c>
      <c r="F368" s="115" t="s">
        <v>1424</v>
      </c>
      <c r="G368" s="65" t="s">
        <v>1521</v>
      </c>
    </row>
    <row r="369" spans="1:7" ht="25.9" customHeight="1">
      <c r="A369" s="63">
        <v>366</v>
      </c>
      <c r="B369" s="139" t="s">
        <v>154</v>
      </c>
      <c r="C369" s="139" t="s">
        <v>1219</v>
      </c>
      <c r="D369" s="111" t="str">
        <f t="shared" si="5"/>
        <v>Alle Waschmaschinen Klasse A+++</v>
      </c>
      <c r="E369" s="64" t="s">
        <v>1138</v>
      </c>
      <c r="F369" s="115" t="s">
        <v>1425</v>
      </c>
      <c r="G369" s="65" t="s">
        <v>1522</v>
      </c>
    </row>
    <row r="370" spans="1:7" ht="25.9" customHeight="1">
      <c r="A370" s="63">
        <v>367</v>
      </c>
      <c r="B370" s="139" t="s">
        <v>154</v>
      </c>
      <c r="C370" s="139" t="s">
        <v>209</v>
      </c>
      <c r="D370" s="111" t="str">
        <f t="shared" si="5"/>
        <v>Alle Wäschetrockner Klasse A+++</v>
      </c>
      <c r="E370" s="64" t="s">
        <v>1139</v>
      </c>
      <c r="F370" s="115" t="s">
        <v>1426</v>
      </c>
      <c r="G370" s="65" t="s">
        <v>1523</v>
      </c>
    </row>
    <row r="371" spans="1:7" ht="25.9" customHeight="1">
      <c r="A371" s="63">
        <v>368</v>
      </c>
      <c r="B371" s="139" t="s">
        <v>154</v>
      </c>
      <c r="C371" s="139" t="s">
        <v>191</v>
      </c>
      <c r="D371" s="111" t="str">
        <f t="shared" si="5"/>
        <v>Alles Induktionskochherde</v>
      </c>
      <c r="E371" s="64" t="s">
        <v>1140</v>
      </c>
      <c r="F371" s="115" t="s">
        <v>1427</v>
      </c>
      <c r="G371" s="65" t="s">
        <v>1524</v>
      </c>
    </row>
    <row r="372" spans="1:7" ht="25.9" customHeight="1">
      <c r="A372" s="63">
        <v>369</v>
      </c>
      <c r="B372" s="139" t="s">
        <v>154</v>
      </c>
      <c r="C372" s="139" t="s">
        <v>232</v>
      </c>
      <c r="D372" s="111" t="str">
        <f t="shared" si="5"/>
        <v>Feste Wohnungsbeleuchtung LED A++</v>
      </c>
      <c r="E372" s="64" t="s">
        <v>1141</v>
      </c>
      <c r="F372" s="115" t="s">
        <v>1428</v>
      </c>
      <c r="G372" s="65" t="s">
        <v>1525</v>
      </c>
    </row>
    <row r="373" spans="1:7" ht="25.9" customHeight="1">
      <c r="A373" s="63">
        <v>370</v>
      </c>
      <c r="B373" s="139" t="s">
        <v>154</v>
      </c>
      <c r="C373" s="139" t="s">
        <v>433</v>
      </c>
      <c r="D373" s="111" t="str">
        <f t="shared" si="5"/>
        <v>Allg. Beleuchtung LED A++ &amp; Regelung</v>
      </c>
      <c r="E373" s="64" t="s">
        <v>1142</v>
      </c>
      <c r="F373" s="115" t="s">
        <v>1429</v>
      </c>
      <c r="G373" s="65" t="s">
        <v>1526</v>
      </c>
    </row>
    <row r="374" spans="1:7" ht="25.9" customHeight="1">
      <c r="A374" s="63">
        <v>371</v>
      </c>
      <c r="B374" s="139" t="s">
        <v>154</v>
      </c>
      <c r="C374" s="139" t="s">
        <v>438</v>
      </c>
      <c r="D374" s="111" t="str">
        <f t="shared" si="5"/>
        <v>Übrige Nutzungen: Angaben zur Beleuchtung</v>
      </c>
      <c r="E374" s="64" t="s">
        <v>1220</v>
      </c>
      <c r="F374" s="115" t="s">
        <v>1430</v>
      </c>
      <c r="G374" s="65" t="s">
        <v>1527</v>
      </c>
    </row>
    <row r="375" spans="1:7" ht="25.9" customHeight="1">
      <c r="A375" s="63">
        <v>372</v>
      </c>
      <c r="B375" s="139" t="s">
        <v>154</v>
      </c>
      <c r="C375" s="139" t="s">
        <v>402</v>
      </c>
      <c r="D375" s="111" t="str">
        <f t="shared" si="5"/>
        <v>Zusatzangaben für den</v>
      </c>
      <c r="E375" s="64" t="s">
        <v>1146</v>
      </c>
      <c r="F375" s="115" t="s">
        <v>1431</v>
      </c>
      <c r="G375" s="65" t="s">
        <v>1528</v>
      </c>
    </row>
    <row r="376" spans="1:7" ht="25.9" customHeight="1">
      <c r="A376" s="63">
        <v>373</v>
      </c>
      <c r="B376" s="139" t="s">
        <v>154</v>
      </c>
      <c r="C376" s="139" t="s">
        <v>403</v>
      </c>
      <c r="D376" s="111" t="str">
        <f t="shared" si="5"/>
        <v>Minergie-Nachweis</v>
      </c>
      <c r="E376" s="64" t="s">
        <v>1762</v>
      </c>
      <c r="F376" s="115" t="s">
        <v>1763</v>
      </c>
      <c r="G376" s="65" t="s">
        <v>1529</v>
      </c>
    </row>
    <row r="377" spans="1:7" ht="25.9" customHeight="1">
      <c r="A377" s="63">
        <v>374</v>
      </c>
      <c r="B377" s="139" t="s">
        <v>154</v>
      </c>
      <c r="C377" s="139" t="s">
        <v>440</v>
      </c>
      <c r="D377" s="111" t="str">
        <f t="shared" si="5"/>
        <v xml:space="preserve">Leuchten: Minergie-Modul/Lichtausbe. &gt;100 lm/W </v>
      </c>
      <c r="E377" s="64" t="s">
        <v>1764</v>
      </c>
      <c r="F377" s="115" t="s">
        <v>1432</v>
      </c>
      <c r="G377" s="65" t="s">
        <v>1805</v>
      </c>
    </row>
    <row r="378" spans="1:7" ht="25.9" customHeight="1">
      <c r="A378" s="63">
        <v>375</v>
      </c>
      <c r="B378" s="139" t="s">
        <v>154</v>
      </c>
      <c r="C378" s="139" t="s">
        <v>1207</v>
      </c>
      <c r="D378" s="111" t="str">
        <f t="shared" si="5"/>
        <v>Lichtsteuerung Präsenz-/ Tageslichtsensor</v>
      </c>
      <c r="E378" s="64" t="s">
        <v>1765</v>
      </c>
      <c r="F378" s="115" t="s">
        <v>1433</v>
      </c>
      <c r="G378" s="65" t="s">
        <v>1766</v>
      </c>
    </row>
    <row r="379" spans="1:7" ht="25.9" customHeight="1">
      <c r="A379" s="63">
        <v>376</v>
      </c>
      <c r="B379" s="139" t="s">
        <v>154</v>
      </c>
      <c r="C379" s="139" t="s">
        <v>624</v>
      </c>
      <c r="D379" s="111" t="str">
        <f t="shared" si="5"/>
        <v>Photovoltaik-Anlage</v>
      </c>
      <c r="E379" s="64" t="s">
        <v>1144</v>
      </c>
      <c r="F379" s="115" t="s">
        <v>1038</v>
      </c>
      <c r="G379" s="65" t="s">
        <v>1530</v>
      </c>
    </row>
    <row r="380" spans="1:7" ht="25.9" customHeight="1">
      <c r="A380" s="63">
        <v>377</v>
      </c>
      <c r="B380" s="139" t="s">
        <v>154</v>
      </c>
      <c r="C380" s="139" t="s">
        <v>1271</v>
      </c>
      <c r="D380" s="111" t="str">
        <f t="shared" si="5"/>
        <v>Jahresertrag [kWh/m2]</v>
      </c>
      <c r="E380" s="64" t="s">
        <v>1145</v>
      </c>
      <c r="F380" s="115" t="s">
        <v>1434</v>
      </c>
      <c r="G380" s="65" t="s">
        <v>1531</v>
      </c>
    </row>
    <row r="381" spans="1:7" ht="25.9" customHeight="1">
      <c r="A381" s="63">
        <v>378</v>
      </c>
      <c r="B381" s="139" t="s">
        <v>154</v>
      </c>
      <c r="C381" s="139" t="s">
        <v>1363</v>
      </c>
      <c r="D381" s="111" t="str">
        <f t="shared" si="5"/>
        <v>Eigenverbrauchsrate [%]</v>
      </c>
      <c r="E381" s="64" t="s">
        <v>1697</v>
      </c>
      <c r="F381" s="115" t="s">
        <v>1435</v>
      </c>
      <c r="G381" s="65" t="s">
        <v>1532</v>
      </c>
    </row>
    <row r="382" spans="1:7" ht="25.9" customHeight="1">
      <c r="A382" s="63">
        <v>379</v>
      </c>
      <c r="B382" s="139" t="s">
        <v>154</v>
      </c>
      <c r="C382" s="139" t="s">
        <v>500</v>
      </c>
      <c r="D382" s="111" t="str">
        <f t="shared" si="5"/>
        <v>Installierte Leistung (ohne WKK)  [kWp]</v>
      </c>
      <c r="E382" s="64" t="s">
        <v>1693</v>
      </c>
      <c r="F382" s="115" t="s">
        <v>1694</v>
      </c>
      <c r="G382" s="65" t="s">
        <v>1615</v>
      </c>
    </row>
    <row r="383" spans="1:7" ht="25.9" customHeight="1">
      <c r="A383" s="63">
        <v>380</v>
      </c>
      <c r="B383" s="139" t="s">
        <v>154</v>
      </c>
      <c r="C383" s="139" t="s">
        <v>502</v>
      </c>
      <c r="D383" s="111" t="str">
        <f t="shared" si="5"/>
        <v>Netto-Jahresertrag [kWh/kWp] (Berechnung beilegen)</v>
      </c>
      <c r="E383" s="64" t="s">
        <v>646</v>
      </c>
      <c r="F383" s="115" t="s">
        <v>1436</v>
      </c>
      <c r="G383" s="65" t="s">
        <v>1533</v>
      </c>
    </row>
    <row r="384" spans="1:7" ht="25.9" customHeight="1">
      <c r="A384" s="63">
        <v>381</v>
      </c>
      <c r="B384" s="139" t="s">
        <v>154</v>
      </c>
      <c r="C384" s="139" t="s">
        <v>1270</v>
      </c>
      <c r="D384" s="111" t="str">
        <f t="shared" si="5"/>
        <v>Weitere Anforderungen</v>
      </c>
      <c r="E384" s="64" t="s">
        <v>1239</v>
      </c>
      <c r="F384" s="115" t="s">
        <v>1437</v>
      </c>
      <c r="G384" s="65" t="s">
        <v>1534</v>
      </c>
    </row>
    <row r="385" spans="1:7" ht="25.9" customHeight="1">
      <c r="A385" s="63">
        <v>382</v>
      </c>
      <c r="B385" s="139" t="s">
        <v>154</v>
      </c>
      <c r="C385" s="139" t="s">
        <v>1269</v>
      </c>
      <c r="D385" s="111" t="str">
        <f t="shared" si="5"/>
        <v>Selbstdeklaration/Bestätigung</v>
      </c>
      <c r="E385" s="64" t="s">
        <v>49</v>
      </c>
      <c r="F385" s="115" t="s">
        <v>1438</v>
      </c>
      <c r="G385" s="65" t="s">
        <v>1535</v>
      </c>
    </row>
    <row r="386" spans="1:7" ht="25.9" customHeight="1">
      <c r="A386" s="63">
        <v>383</v>
      </c>
      <c r="B386" s="139" t="s">
        <v>154</v>
      </c>
      <c r="C386" s="139" t="s">
        <v>1364</v>
      </c>
      <c r="D386" s="111" t="str">
        <f t="shared" si="5"/>
        <v xml:space="preserve">Anforderung erfüllt?    </v>
      </c>
      <c r="E386" s="64" t="s">
        <v>1848</v>
      </c>
      <c r="F386" s="115" t="s">
        <v>1846</v>
      </c>
      <c r="G386" s="65" t="s">
        <v>1847</v>
      </c>
    </row>
    <row r="387" spans="1:7" ht="25.9" customHeight="1">
      <c r="A387" s="63">
        <v>384</v>
      </c>
      <c r="B387" s="139" t="s">
        <v>154</v>
      </c>
      <c r="C387" s="139" t="s">
        <v>1268</v>
      </c>
      <c r="D387" s="111" t="str">
        <f t="shared" si="5"/>
        <v>Anforderung</v>
      </c>
      <c r="E387" s="64" t="s">
        <v>239</v>
      </c>
      <c r="F387" s="115" t="s">
        <v>1439</v>
      </c>
      <c r="G387" s="65" t="s">
        <v>1536</v>
      </c>
    </row>
    <row r="388" spans="1:7" ht="25.9" customHeight="1">
      <c r="A388" s="63">
        <v>385</v>
      </c>
      <c r="B388" s="139" t="s">
        <v>154</v>
      </c>
      <c r="C388" s="139" t="s">
        <v>1267</v>
      </c>
      <c r="D388" s="111" t="str">
        <f t="shared" si="5"/>
        <v>Objektwert</v>
      </c>
      <c r="E388" s="64" t="s">
        <v>98</v>
      </c>
      <c r="F388" s="115" t="s">
        <v>1440</v>
      </c>
      <c r="G388" s="65" t="s">
        <v>1537</v>
      </c>
    </row>
    <row r="389" spans="1:7" ht="25.9" customHeight="1">
      <c r="A389" s="63">
        <v>386</v>
      </c>
      <c r="B389" s="139" t="s">
        <v>314</v>
      </c>
      <c r="C389" s="139" t="s">
        <v>1224</v>
      </c>
      <c r="D389" s="111" t="str">
        <f t="shared" ref="D389:D452" si="6">INDEX($E$4:$G$503,$A389,$A$1)</f>
        <v>Luftdichtheit der Hüllfläche</v>
      </c>
      <c r="E389" s="64" t="s">
        <v>1689</v>
      </c>
      <c r="F389" s="115" t="s">
        <v>1690</v>
      </c>
      <c r="G389" s="65" t="s">
        <v>1691</v>
      </c>
    </row>
    <row r="390" spans="1:7" ht="25.9" customHeight="1">
      <c r="A390" s="63">
        <v>387</v>
      </c>
      <c r="B390" s="139" t="s">
        <v>314</v>
      </c>
      <c r="C390" s="139" t="s">
        <v>1225</v>
      </c>
      <c r="D390" s="111" t="str">
        <f t="shared" si="6"/>
        <v>Luftdichtheit der Hüllfläche, Erneuerung</v>
      </c>
      <c r="E390" s="64" t="s">
        <v>1605</v>
      </c>
      <c r="F390" s="115" t="s">
        <v>1441</v>
      </c>
      <c r="G390" s="65" t="s">
        <v>1538</v>
      </c>
    </row>
    <row r="391" spans="1:7" ht="25.9" customHeight="1">
      <c r="A391" s="63">
        <v>388</v>
      </c>
      <c r="B391" s="139" t="s">
        <v>154</v>
      </c>
      <c r="C391" s="139" t="s">
        <v>432</v>
      </c>
      <c r="D391" s="111" t="str">
        <f t="shared" si="6"/>
        <v>Effiziente Geräte Gebäudebetrieb/Wohnnutzung</v>
      </c>
      <c r="E391" s="64" t="s">
        <v>1767</v>
      </c>
      <c r="F391" s="115" t="s">
        <v>1616</v>
      </c>
      <c r="G391" s="65" t="s">
        <v>1614</v>
      </c>
    </row>
    <row r="392" spans="1:7" ht="25.9" customHeight="1">
      <c r="A392" s="63">
        <v>389</v>
      </c>
      <c r="B392" s="139" t="s">
        <v>314</v>
      </c>
      <c r="C392" s="139" t="s">
        <v>1226</v>
      </c>
      <c r="D392" s="111" t="str">
        <f t="shared" si="6"/>
        <v>Warmwasser</v>
      </c>
      <c r="E392" s="64" t="s">
        <v>133</v>
      </c>
      <c r="F392" s="115" t="s">
        <v>1087</v>
      </c>
      <c r="G392" s="65" t="s">
        <v>1539</v>
      </c>
    </row>
    <row r="393" spans="1:7" ht="25.9" customHeight="1">
      <c r="A393" s="63">
        <v>390</v>
      </c>
      <c r="B393" s="139" t="s">
        <v>314</v>
      </c>
      <c r="C393" s="139" t="s">
        <v>1227</v>
      </c>
      <c r="D393" s="111" t="str">
        <f t="shared" si="6"/>
        <v>Abwärme aus gewerblicher Kälte</v>
      </c>
      <c r="E393" s="64" t="s">
        <v>108</v>
      </c>
      <c r="F393" s="115" t="s">
        <v>1442</v>
      </c>
      <c r="G393" s="65" t="s">
        <v>1540</v>
      </c>
    </row>
    <row r="394" spans="1:7" ht="25.9" customHeight="1">
      <c r="A394" s="63">
        <v>391</v>
      </c>
      <c r="B394" s="139" t="s">
        <v>314</v>
      </c>
      <c r="C394" s="139" t="s">
        <v>1228</v>
      </c>
      <c r="D394" s="111" t="str">
        <f t="shared" si="6"/>
        <v>Abwärme</v>
      </c>
      <c r="E394" s="64" t="s">
        <v>14</v>
      </c>
      <c r="F394" s="115" t="s">
        <v>1443</v>
      </c>
      <c r="G394" s="65" t="s">
        <v>1541</v>
      </c>
    </row>
    <row r="395" spans="1:7" ht="25.9" customHeight="1">
      <c r="A395" s="63">
        <v>392</v>
      </c>
      <c r="B395" s="139" t="s">
        <v>314</v>
      </c>
      <c r="C395" s="139" t="s">
        <v>1230</v>
      </c>
      <c r="D395" s="111" t="str">
        <f t="shared" si="6"/>
        <v>Nutzung der Abwärme</v>
      </c>
      <c r="E395" s="64" t="s">
        <v>1229</v>
      </c>
      <c r="F395" s="115" t="s">
        <v>1444</v>
      </c>
      <c r="G395" s="65" t="s">
        <v>1542</v>
      </c>
    </row>
    <row r="396" spans="1:7" ht="25.9" customHeight="1">
      <c r="A396" s="63">
        <v>393</v>
      </c>
      <c r="B396" s="139" t="s">
        <v>314</v>
      </c>
      <c r="C396" s="139" t="s">
        <v>1231</v>
      </c>
      <c r="D396" s="111" t="str">
        <f t="shared" si="6"/>
        <v>Optimierter Betrieb Hallenbad</v>
      </c>
      <c r="E396" s="64" t="s">
        <v>99</v>
      </c>
      <c r="F396" s="115" t="s">
        <v>1445</v>
      </c>
      <c r="G396" s="65" t="s">
        <v>1543</v>
      </c>
    </row>
    <row r="397" spans="1:7" ht="25.9" customHeight="1">
      <c r="A397" s="63">
        <v>394</v>
      </c>
      <c r="B397" s="139" t="s">
        <v>314</v>
      </c>
      <c r="C397" s="139" t="s">
        <v>1227</v>
      </c>
      <c r="D397" s="111" t="str">
        <f t="shared" si="6"/>
        <v>Einsatz erneuerbarer Energien</v>
      </c>
      <c r="E397" s="64" t="s">
        <v>1352</v>
      </c>
      <c r="F397" s="115" t="s">
        <v>1446</v>
      </c>
      <c r="G397" s="65" t="s">
        <v>1544</v>
      </c>
    </row>
    <row r="398" spans="1:7" ht="25.9" customHeight="1">
      <c r="A398" s="63">
        <v>395</v>
      </c>
      <c r="B398" s="139" t="s">
        <v>314</v>
      </c>
      <c r="C398" s="139" t="s">
        <v>1351</v>
      </c>
      <c r="D398" s="111" t="str">
        <f t="shared" si="6"/>
        <v>Fällt Abwärme an?</v>
      </c>
      <c r="E398" s="64" t="s">
        <v>13</v>
      </c>
      <c r="F398" s="115" t="s">
        <v>1447</v>
      </c>
      <c r="G398" s="65" t="s">
        <v>1545</v>
      </c>
    </row>
    <row r="399" spans="1:7" ht="25.9" customHeight="1">
      <c r="A399" s="63">
        <v>396</v>
      </c>
      <c r="B399" s="139" t="s">
        <v>314</v>
      </c>
      <c r="C399" s="139" t="s">
        <v>1232</v>
      </c>
      <c r="D399" s="111" t="str">
        <f t="shared" si="6"/>
        <v>20% mit erneuerbarer Energie gedeckt?</v>
      </c>
      <c r="E399" s="64" t="s">
        <v>1341</v>
      </c>
      <c r="F399" s="115" t="s">
        <v>1448</v>
      </c>
      <c r="G399" s="65" t="s">
        <v>1546</v>
      </c>
    </row>
    <row r="400" spans="1:7" ht="25.9" customHeight="1">
      <c r="A400" s="63">
        <v>397</v>
      </c>
      <c r="B400" s="139" t="s">
        <v>314</v>
      </c>
      <c r="C400" s="139" t="s">
        <v>1233</v>
      </c>
      <c r="D400" s="111" t="str">
        <f t="shared" si="6"/>
        <v>Luftdichtheit qa,50 &lt; 1.2 m3/(h*m2)</v>
      </c>
      <c r="E400" s="64" t="s">
        <v>1606</v>
      </c>
      <c r="F400" s="115" t="s">
        <v>1449</v>
      </c>
      <c r="G400" s="65" t="s">
        <v>1547</v>
      </c>
    </row>
    <row r="401" spans="1:7" ht="25.9" customHeight="1">
      <c r="A401" s="63">
        <v>398</v>
      </c>
      <c r="B401" s="139" t="s">
        <v>314</v>
      </c>
      <c r="C401" s="139" t="s">
        <v>1233</v>
      </c>
      <c r="D401" s="111" t="str">
        <f t="shared" si="6"/>
        <v>Luftdichtheit qa,50 &lt; 0.8 m3/(h*m2)</v>
      </c>
      <c r="E401" s="64" t="s">
        <v>1607</v>
      </c>
      <c r="F401" s="115" t="s">
        <v>1450</v>
      </c>
      <c r="G401" s="65" t="s">
        <v>1548</v>
      </c>
    </row>
    <row r="402" spans="1:7" ht="25.9" customHeight="1">
      <c r="A402" s="63">
        <v>399</v>
      </c>
      <c r="B402" s="139" t="s">
        <v>314</v>
      </c>
      <c r="C402" s="139" t="s">
        <v>1235</v>
      </c>
      <c r="D402" s="111" t="str">
        <f t="shared" si="6"/>
        <v>Wird die Abwärme genutzt?</v>
      </c>
      <c r="E402" s="64" t="s">
        <v>1234</v>
      </c>
      <c r="F402" s="115" t="s">
        <v>1451</v>
      </c>
      <c r="G402" s="65" t="s">
        <v>1549</v>
      </c>
    </row>
    <row r="403" spans="1:7" ht="25.9" customHeight="1">
      <c r="A403" s="63">
        <v>400</v>
      </c>
      <c r="B403" s="139" t="s">
        <v>314</v>
      </c>
      <c r="C403" s="139" t="s">
        <v>1236</v>
      </c>
      <c r="D403" s="111" t="str">
        <f t="shared" si="6"/>
        <v>WRG mit WP bei Lüftung, WRG aus Badwasser</v>
      </c>
      <c r="E403" s="64" t="s">
        <v>253</v>
      </c>
      <c r="F403" s="115" t="s">
        <v>1452</v>
      </c>
      <c r="G403" s="65" t="s">
        <v>1550</v>
      </c>
    </row>
    <row r="404" spans="1:7" ht="25.9" customHeight="1">
      <c r="A404" s="63">
        <v>401</v>
      </c>
      <c r="B404" s="139" t="s">
        <v>314</v>
      </c>
      <c r="C404" s="139" t="s">
        <v>608</v>
      </c>
      <c r="D404" s="111" t="str">
        <f t="shared" si="6"/>
        <v>Luftdichtheit qa,50 &lt; 1.6 m3/(h*m2)</v>
      </c>
      <c r="E404" s="64" t="s">
        <v>1608</v>
      </c>
      <c r="F404" s="115" t="s">
        <v>1453</v>
      </c>
      <c r="G404" s="65" t="s">
        <v>1551</v>
      </c>
    </row>
    <row r="405" spans="1:7" ht="25.9" customHeight="1">
      <c r="A405" s="63">
        <v>402</v>
      </c>
      <c r="B405" s="139" t="s">
        <v>314</v>
      </c>
      <c r="C405" s="139" t="s">
        <v>1350</v>
      </c>
      <c r="D405" s="111" t="str">
        <f t="shared" si="6"/>
        <v>Maximal 30% fossile Spitzenlast?</v>
      </c>
      <c r="E405" s="64" t="s">
        <v>1353</v>
      </c>
      <c r="F405" s="115" t="s">
        <v>1454</v>
      </c>
      <c r="G405" s="65" t="s">
        <v>1552</v>
      </c>
    </row>
    <row r="406" spans="1:7" ht="25.9" customHeight="1">
      <c r="A406" s="63">
        <v>403</v>
      </c>
      <c r="B406" s="139" t="s">
        <v>314</v>
      </c>
      <c r="C406" s="139" t="s">
        <v>1233</v>
      </c>
      <c r="D406" s="111" t="str">
        <f t="shared" si="6"/>
        <v>Konzept Lufdichtheit beigelegt?</v>
      </c>
      <c r="E406" s="64" t="s">
        <v>1851</v>
      </c>
      <c r="F406" s="115" t="s">
        <v>1849</v>
      </c>
      <c r="G406" s="65" t="s">
        <v>1850</v>
      </c>
    </row>
    <row r="407" spans="1:7" ht="25.9" customHeight="1">
      <c r="A407" s="63">
        <v>404</v>
      </c>
      <c r="B407" s="139" t="s">
        <v>154</v>
      </c>
      <c r="C407" s="139" t="s">
        <v>1221</v>
      </c>
      <c r="D407" s="111" t="str">
        <f t="shared" si="6"/>
        <v>Beleuchtung: Projektwert SIA 380/4 (ungew.)</v>
      </c>
      <c r="E407" s="64" t="s">
        <v>1768</v>
      </c>
      <c r="F407" s="115" t="s">
        <v>1455</v>
      </c>
      <c r="G407" s="65" t="s">
        <v>1553</v>
      </c>
    </row>
    <row r="408" spans="1:7" ht="25.9" customHeight="1">
      <c r="A408" s="63">
        <v>405</v>
      </c>
      <c r="B408" s="139" t="s">
        <v>154</v>
      </c>
      <c r="C408" s="139" t="s">
        <v>494</v>
      </c>
      <c r="D408" s="111" t="str">
        <f t="shared" si="6"/>
        <v>Beleuchtung: Zielwert SIA 380/4 (ungew.)</v>
      </c>
      <c r="E408" s="64" t="s">
        <v>1769</v>
      </c>
      <c r="F408" s="115" t="s">
        <v>1456</v>
      </c>
      <c r="G408" s="65" t="s">
        <v>1554</v>
      </c>
    </row>
    <row r="409" spans="1:7" ht="25.9" customHeight="1">
      <c r="A409" s="63">
        <v>406</v>
      </c>
      <c r="B409" s="139" t="s">
        <v>154</v>
      </c>
      <c r="C409" s="139" t="s">
        <v>1266</v>
      </c>
      <c r="D409" s="111" t="str">
        <f t="shared" si="6"/>
        <v>Anforderung Beleuchtung eingehalten?</v>
      </c>
      <c r="E409" s="64" t="s">
        <v>1238</v>
      </c>
      <c r="F409" s="115" t="s">
        <v>1457</v>
      </c>
      <c r="G409" s="65" t="s">
        <v>1555</v>
      </c>
    </row>
    <row r="410" spans="1:7" ht="25.9" customHeight="1">
      <c r="A410" s="63">
        <v>407</v>
      </c>
      <c r="B410" s="139" t="s">
        <v>154</v>
      </c>
      <c r="C410" s="139" t="s">
        <v>241</v>
      </c>
      <c r="D410" s="111" t="str">
        <f t="shared" si="6"/>
        <v>Anzahl Wohneinheiten</v>
      </c>
      <c r="E410" s="64" t="s">
        <v>1381</v>
      </c>
      <c r="F410" s="115" t="s">
        <v>1617</v>
      </c>
      <c r="G410" s="65" t="s">
        <v>1613</v>
      </c>
    </row>
    <row r="411" spans="1:7" ht="25.9" customHeight="1">
      <c r="A411" s="63">
        <v>408</v>
      </c>
      <c r="B411" s="139" t="s">
        <v>154</v>
      </c>
      <c r="C411" s="139" t="s">
        <v>1194</v>
      </c>
      <c r="D411" s="111" t="str">
        <f t="shared" si="6"/>
        <v xml:space="preserve"> - Länge Warmhaltebänder</v>
      </c>
      <c r="E411" s="73" t="s">
        <v>1259</v>
      </c>
      <c r="F411" s="115" t="s">
        <v>1458</v>
      </c>
      <c r="G411" s="405" t="s">
        <v>1573</v>
      </c>
    </row>
    <row r="412" spans="1:7" ht="25.9" customHeight="1">
      <c r="A412" s="63">
        <v>409</v>
      </c>
      <c r="B412" s="139" t="s">
        <v>154</v>
      </c>
      <c r="C412" s="139" t="s">
        <v>439</v>
      </c>
      <c r="D412" s="111" t="str">
        <f t="shared" si="6"/>
        <v>Beleuchtung: Umfassende Sanierung?</v>
      </c>
      <c r="E412" s="64" t="s">
        <v>1265</v>
      </c>
      <c r="F412" s="115" t="s">
        <v>1459</v>
      </c>
      <c r="G412" s="65" t="s">
        <v>1556</v>
      </c>
    </row>
    <row r="413" spans="1:7" ht="25.9" customHeight="1">
      <c r="A413" s="63">
        <v>410</v>
      </c>
      <c r="B413" s="139" t="s">
        <v>154</v>
      </c>
      <c r="C413" s="139" t="s">
        <v>1362</v>
      </c>
      <c r="D413" s="111" t="str">
        <f t="shared" si="6"/>
        <v>spezifischer Jahresertrag [kWh/kWp]</v>
      </c>
      <c r="E413" s="64" t="s">
        <v>1698</v>
      </c>
      <c r="F413" s="433" t="s">
        <v>1942</v>
      </c>
      <c r="G413" s="532" t="s">
        <v>1943</v>
      </c>
    </row>
    <row r="414" spans="1:7" ht="25.9" customHeight="1">
      <c r="A414" s="63">
        <v>411</v>
      </c>
      <c r="B414" s="139" t="s">
        <v>154</v>
      </c>
      <c r="C414" s="139" t="s">
        <v>503</v>
      </c>
      <c r="D414" s="111" t="str">
        <f t="shared" si="6"/>
        <v>spezifische, installierte Leistung pro m2 EBF:</v>
      </c>
      <c r="E414" s="64" t="s">
        <v>1288</v>
      </c>
      <c r="F414" s="115" t="s">
        <v>1460</v>
      </c>
      <c r="G414" s="65" t="s">
        <v>1557</v>
      </c>
    </row>
    <row r="415" spans="1:7" ht="25.9" customHeight="1">
      <c r="A415" s="63">
        <v>412</v>
      </c>
      <c r="B415" s="139" t="s">
        <v>314</v>
      </c>
      <c r="C415" s="139" t="s">
        <v>1237</v>
      </c>
      <c r="D415" s="111" t="str">
        <f t="shared" si="6"/>
        <v>Grosse Eingriffe in  Gebäudetechnik?</v>
      </c>
      <c r="E415" s="64" t="s">
        <v>1357</v>
      </c>
      <c r="F415" s="115" t="s">
        <v>1461</v>
      </c>
      <c r="G415" s="65" t="s">
        <v>1558</v>
      </c>
    </row>
    <row r="416" spans="1:7" ht="25.9" customHeight="1">
      <c r="A416" s="63">
        <v>413</v>
      </c>
      <c r="B416" s="139" t="s">
        <v>314</v>
      </c>
      <c r="C416" s="139" t="s">
        <v>1356</v>
      </c>
      <c r="D416" s="111" t="str">
        <f t="shared" si="6"/>
        <v>Monitoringkonzept</v>
      </c>
      <c r="E416" s="64" t="s">
        <v>1354</v>
      </c>
      <c r="F416" s="115" t="s">
        <v>1462</v>
      </c>
      <c r="G416" s="65" t="s">
        <v>1559</v>
      </c>
    </row>
    <row r="417" spans="1:7" ht="25.9" customHeight="1">
      <c r="A417" s="63">
        <v>414</v>
      </c>
      <c r="B417" s="139" t="s">
        <v>314</v>
      </c>
      <c r="C417" s="139" t="s">
        <v>1359</v>
      </c>
      <c r="D417" s="111" t="str">
        <f t="shared" si="6"/>
        <v>Monitoringkonzept beigelegt?</v>
      </c>
      <c r="E417" s="64" t="s">
        <v>1360</v>
      </c>
      <c r="F417" s="115" t="s">
        <v>1463</v>
      </c>
      <c r="G417" s="65" t="s">
        <v>1560</v>
      </c>
    </row>
    <row r="418" spans="1:7" ht="25.9" customHeight="1">
      <c r="A418" s="63">
        <v>415</v>
      </c>
      <c r="B418" s="139" t="s">
        <v>1223</v>
      </c>
      <c r="C418" s="139" t="s">
        <v>1194</v>
      </c>
      <c r="D418" s="111" t="str">
        <f t="shared" si="6"/>
        <v>Projekt</v>
      </c>
      <c r="E418" s="64" t="s">
        <v>1308</v>
      </c>
      <c r="F418" s="115" t="s">
        <v>1464</v>
      </c>
      <c r="G418" s="65" t="s">
        <v>1561</v>
      </c>
    </row>
    <row r="419" spans="1:7" ht="25.9" customHeight="1">
      <c r="A419" s="63">
        <v>416</v>
      </c>
      <c r="B419" s="139" t="s">
        <v>1223</v>
      </c>
      <c r="C419" s="139" t="s">
        <v>408</v>
      </c>
      <c r="D419" s="111" t="str">
        <f t="shared" si="6"/>
        <v>Anleitung</v>
      </c>
      <c r="E419" s="64" t="s">
        <v>1299</v>
      </c>
      <c r="F419" s="115" t="s">
        <v>1465</v>
      </c>
      <c r="G419" s="65" t="s">
        <v>1562</v>
      </c>
    </row>
    <row r="420" spans="1:7" ht="45" customHeight="1">
      <c r="A420" s="63">
        <v>417</v>
      </c>
      <c r="B420" s="139" t="s">
        <v>1223</v>
      </c>
      <c r="C420" s="139" t="s">
        <v>1311</v>
      </c>
      <c r="D420" s="111" t="str">
        <f t="shared" si="6"/>
        <v xml:space="preserve">Dieses Nachweisformular dient zum Nachweis der Standards Minergie, Minergie-P und Minergie-A. Der entsprechende Standard </v>
      </c>
      <c r="E420" s="64" t="s">
        <v>1300</v>
      </c>
      <c r="F420" s="115" t="s">
        <v>1797</v>
      </c>
      <c r="G420" s="65" t="s">
        <v>1801</v>
      </c>
    </row>
    <row r="421" spans="1:7" ht="42" customHeight="1">
      <c r="A421" s="63">
        <v>418</v>
      </c>
      <c r="B421" s="139" t="s">
        <v>1223</v>
      </c>
      <c r="C421" s="139" t="s">
        <v>1190</v>
      </c>
      <c r="D421" s="111" t="str">
        <f t="shared" si="6"/>
        <v>kann im Blatt "Eingabe" ausgewählt werden. Der ausgefüllte Nachweis wird auf der Minergie-Online-Plattform (MOP) hochgeladen.</v>
      </c>
      <c r="E421" s="64" t="s">
        <v>1301</v>
      </c>
      <c r="F421" s="115" t="s">
        <v>1796</v>
      </c>
      <c r="G421" s="65" t="s">
        <v>1802</v>
      </c>
    </row>
    <row r="422" spans="1:7" ht="42.75" customHeight="1">
      <c r="A422" s="63">
        <v>419</v>
      </c>
      <c r="B422" s="139" t="s">
        <v>1223</v>
      </c>
      <c r="C422" s="139" t="s">
        <v>608</v>
      </c>
      <c r="D422" s="111" t="str">
        <f t="shared" si="6"/>
        <v>Das Antragsformular wird nach der Einreichung auf der MOP automatisch generiert. Der unterschriebene Antrag, dieses Nachweis-</v>
      </c>
      <c r="E422" s="64" t="s">
        <v>1302</v>
      </c>
      <c r="F422" s="115" t="s">
        <v>1798</v>
      </c>
      <c r="G422" s="65" t="s">
        <v>1804</v>
      </c>
    </row>
    <row r="423" spans="1:7" ht="45" customHeight="1">
      <c r="A423" s="63">
        <v>420</v>
      </c>
      <c r="B423" s="139" t="s">
        <v>1223</v>
      </c>
      <c r="C423" s="139" t="s">
        <v>1191</v>
      </c>
      <c r="D423" s="111" t="str">
        <f t="shared" si="6"/>
        <v>formular, sowie weitere auf dem Antrag vermerkte Unterlagen sind der zuständigen Zertifizierungsstelle schriftlich einzureichen.</v>
      </c>
      <c r="E423" s="64" t="s">
        <v>1303</v>
      </c>
      <c r="F423" s="115" t="s">
        <v>1799</v>
      </c>
      <c r="G423" s="65" t="s">
        <v>1803</v>
      </c>
    </row>
    <row r="424" spans="1:7" ht="36" customHeight="1">
      <c r="A424" s="63">
        <v>421</v>
      </c>
      <c r="B424" s="139" t="s">
        <v>1223</v>
      </c>
      <c r="C424" s="139" t="s">
        <v>409</v>
      </c>
      <c r="D424" s="111" t="str">
        <f t="shared" si="6"/>
        <v>Folgende Farbcodierung ist beim Ausfüllen des Nachweisformulars zu beachten:</v>
      </c>
      <c r="E424" s="64" t="s">
        <v>1304</v>
      </c>
      <c r="F424" s="115" t="s">
        <v>1800</v>
      </c>
      <c r="G424" s="65" t="s">
        <v>1563</v>
      </c>
    </row>
    <row r="425" spans="1:7" ht="25.9" customHeight="1">
      <c r="A425" s="63">
        <v>422</v>
      </c>
      <c r="B425" s="139" t="s">
        <v>1223</v>
      </c>
      <c r="C425" s="139" t="s">
        <v>414</v>
      </c>
      <c r="D425" s="111" t="str">
        <f t="shared" si="6"/>
        <v>Eingabefeld (Pflicht)</v>
      </c>
      <c r="E425" s="64" t="s">
        <v>1305</v>
      </c>
      <c r="F425" s="115" t="s">
        <v>1466</v>
      </c>
      <c r="G425" s="65" t="s">
        <v>1564</v>
      </c>
    </row>
    <row r="426" spans="1:7" ht="25.9" customHeight="1">
      <c r="A426" s="63">
        <v>423</v>
      </c>
      <c r="B426" s="139" t="s">
        <v>1223</v>
      </c>
      <c r="C426" s="139" t="s">
        <v>1312</v>
      </c>
      <c r="D426" s="111" t="str">
        <f t="shared" si="6"/>
        <v>Eingabefeld (Fakultativ)</v>
      </c>
      <c r="E426" s="64" t="s">
        <v>1306</v>
      </c>
      <c r="F426" s="115" t="s">
        <v>1467</v>
      </c>
      <c r="G426" s="65" t="s">
        <v>1565</v>
      </c>
    </row>
    <row r="427" spans="1:7" ht="25.9" customHeight="1">
      <c r="A427" s="63">
        <v>424</v>
      </c>
      <c r="B427" s="139" t="s">
        <v>1223</v>
      </c>
      <c r="C427" s="139" t="s">
        <v>1313</v>
      </c>
      <c r="D427" s="111" t="str">
        <f t="shared" si="6"/>
        <v>Auswahlfeld (Pflicht)</v>
      </c>
      <c r="E427" s="64" t="s">
        <v>1307</v>
      </c>
      <c r="F427" s="115" t="s">
        <v>1468</v>
      </c>
      <c r="G427" s="65" t="s">
        <v>1566</v>
      </c>
    </row>
    <row r="428" spans="1:7" ht="25.9" customHeight="1">
      <c r="A428" s="63">
        <v>425</v>
      </c>
      <c r="B428" s="139" t="s">
        <v>1223</v>
      </c>
      <c r="C428" s="139" t="s">
        <v>426</v>
      </c>
      <c r="D428" s="111" t="str">
        <f t="shared" si="6"/>
        <v>Erfüllung der Hauptanforderung</v>
      </c>
      <c r="E428" s="64" t="s">
        <v>1309</v>
      </c>
      <c r="F428" s="115" t="s">
        <v>1469</v>
      </c>
      <c r="G428" s="65" t="s">
        <v>1567</v>
      </c>
    </row>
    <row r="429" spans="1:7" ht="25.9" customHeight="1">
      <c r="A429" s="63">
        <v>426</v>
      </c>
      <c r="B429" s="139" t="s">
        <v>1223</v>
      </c>
      <c r="C429" s="139" t="s">
        <v>63</v>
      </c>
      <c r="D429" s="111" t="str">
        <f t="shared" si="6"/>
        <v>Erfüllung der Zusatzanforderungen</v>
      </c>
      <c r="E429" s="64" t="s">
        <v>1378</v>
      </c>
      <c r="F429" s="115" t="s">
        <v>1470</v>
      </c>
      <c r="G429" s="65" t="s">
        <v>1568</v>
      </c>
    </row>
    <row r="430" spans="1:7" ht="25.9" customHeight="1">
      <c r="A430" s="63">
        <v>427</v>
      </c>
      <c r="B430" s="139" t="s">
        <v>1223</v>
      </c>
      <c r="C430" s="139" t="s">
        <v>428</v>
      </c>
      <c r="D430" s="111" t="str">
        <f t="shared" si="6"/>
        <v>Minergie-Kennzahl in kWh/m2</v>
      </c>
      <c r="E430" s="64" t="s">
        <v>1310</v>
      </c>
      <c r="F430" s="115" t="s">
        <v>1471</v>
      </c>
      <c r="G430" s="65" t="s">
        <v>1569</v>
      </c>
    </row>
    <row r="431" spans="1:7" ht="25.9" customHeight="1">
      <c r="A431" s="63">
        <v>428</v>
      </c>
      <c r="B431" s="139" t="s">
        <v>1223</v>
      </c>
      <c r="C431" s="139" t="s">
        <v>245</v>
      </c>
      <c r="D431" s="111" t="str">
        <f t="shared" si="6"/>
        <v>Minergie-Kennzahl in kg CO2/m2</v>
      </c>
      <c r="E431" s="64" t="s">
        <v>1373</v>
      </c>
      <c r="F431" s="115" t="s">
        <v>1472</v>
      </c>
      <c r="G431" s="65" t="s">
        <v>1570</v>
      </c>
    </row>
    <row r="432" spans="1:7" ht="25.9" customHeight="1">
      <c r="A432" s="63">
        <v>429</v>
      </c>
      <c r="B432" s="139" t="s">
        <v>1223</v>
      </c>
      <c r="C432" s="139" t="s">
        <v>209</v>
      </c>
      <c r="D432" s="111" t="str">
        <f t="shared" si="6"/>
        <v>ZA1: Heizwärmebedarf in kWh/m2</v>
      </c>
      <c r="E432" s="64" t="s">
        <v>1770</v>
      </c>
      <c r="F432" s="115" t="s">
        <v>1771</v>
      </c>
      <c r="G432" s="65" t="s">
        <v>1571</v>
      </c>
    </row>
    <row r="433" spans="1:7" ht="25.9" customHeight="1">
      <c r="A433" s="63">
        <v>430</v>
      </c>
      <c r="B433" s="139" t="s">
        <v>1223</v>
      </c>
      <c r="C433" s="139" t="s">
        <v>191</v>
      </c>
      <c r="D433" s="111" t="str">
        <f t="shared" si="6"/>
        <v>ZA2: Endenergie ohne PV in kWh/m2</v>
      </c>
      <c r="E433" s="64" t="s">
        <v>1772</v>
      </c>
      <c r="F433" s="115" t="s">
        <v>1773</v>
      </c>
      <c r="G433" s="65" t="s">
        <v>1572</v>
      </c>
    </row>
    <row r="434" spans="1:7" ht="25.9" customHeight="1">
      <c r="A434" s="63">
        <v>431</v>
      </c>
      <c r="B434" s="139" t="s">
        <v>1223</v>
      </c>
      <c r="C434" s="139" t="s">
        <v>232</v>
      </c>
      <c r="D434" s="111" t="str">
        <f t="shared" si="6"/>
        <v>ZA3: Minergie-Grenzwert Beleuchtung in kWh/m2</v>
      </c>
      <c r="E434" s="64" t="s">
        <v>1774</v>
      </c>
      <c r="F434" s="115" t="s">
        <v>1775</v>
      </c>
      <c r="G434" s="65" t="s">
        <v>1574</v>
      </c>
    </row>
    <row r="435" spans="1:7" ht="25.9" customHeight="1">
      <c r="A435" s="63">
        <v>432</v>
      </c>
      <c r="B435" s="139" t="s">
        <v>1223</v>
      </c>
      <c r="C435" s="139" t="s">
        <v>432</v>
      </c>
      <c r="D435" s="111" t="str">
        <f t="shared" si="6"/>
        <v>Visualisierung Minergie-Kennzahl (MKZ)</v>
      </c>
      <c r="E435" s="64" t="s">
        <v>1776</v>
      </c>
      <c r="F435" s="115" t="s">
        <v>1473</v>
      </c>
      <c r="G435" s="65" t="s">
        <v>1575</v>
      </c>
    </row>
    <row r="436" spans="1:7" ht="25.9" customHeight="1">
      <c r="A436" s="63">
        <v>433</v>
      </c>
      <c r="B436" s="139" t="s">
        <v>1223</v>
      </c>
      <c r="C436" s="139" t="s">
        <v>1318</v>
      </c>
      <c r="D436" s="111" t="str">
        <f t="shared" si="6"/>
        <v>Heizung</v>
      </c>
      <c r="E436" s="64" t="s">
        <v>132</v>
      </c>
      <c r="F436" s="115" t="s">
        <v>1086</v>
      </c>
      <c r="G436" s="65" t="s">
        <v>1576</v>
      </c>
    </row>
    <row r="437" spans="1:7" ht="25.9" customHeight="1">
      <c r="A437" s="63">
        <v>434</v>
      </c>
      <c r="B437" s="139" t="s">
        <v>1223</v>
      </c>
      <c r="C437" s="139" t="s">
        <v>1319</v>
      </c>
      <c r="D437" s="111" t="str">
        <f t="shared" si="6"/>
        <v>Warmwasser</v>
      </c>
      <c r="E437" s="64" t="s">
        <v>133</v>
      </c>
      <c r="F437" s="115" t="s">
        <v>1087</v>
      </c>
      <c r="G437" s="65" t="s">
        <v>1539</v>
      </c>
    </row>
    <row r="438" spans="1:7" ht="25.9" customHeight="1">
      <c r="A438" s="63">
        <v>435</v>
      </c>
      <c r="B438" s="139" t="s">
        <v>1223</v>
      </c>
      <c r="C438" s="139" t="s">
        <v>1321</v>
      </c>
      <c r="D438" s="111" t="str">
        <f t="shared" si="6"/>
        <v>Beleuchtung</v>
      </c>
      <c r="E438" s="64" t="s">
        <v>335</v>
      </c>
      <c r="F438" s="115" t="s">
        <v>1474</v>
      </c>
      <c r="G438" s="65" t="s">
        <v>1577</v>
      </c>
    </row>
    <row r="439" spans="1:7" ht="25.9" customHeight="1">
      <c r="A439" s="63">
        <v>436</v>
      </c>
      <c r="B439" s="139" t="s">
        <v>1223</v>
      </c>
      <c r="C439" s="139" t="s">
        <v>1322</v>
      </c>
      <c r="D439" s="111" t="str">
        <f t="shared" si="6"/>
        <v>Geräte</v>
      </c>
      <c r="E439" s="64" t="s">
        <v>1277</v>
      </c>
      <c r="F439" s="115" t="s">
        <v>1475</v>
      </c>
      <c r="G439" s="65" t="s">
        <v>1578</v>
      </c>
    </row>
    <row r="440" spans="1:7" ht="25.9" customHeight="1">
      <c r="A440" s="63">
        <v>437</v>
      </c>
      <c r="B440" s="139" t="s">
        <v>1223</v>
      </c>
      <c r="C440" s="139" t="s">
        <v>1326</v>
      </c>
      <c r="D440" s="111" t="str">
        <f t="shared" si="6"/>
        <v>Allgemeine Gebäudetechnik</v>
      </c>
      <c r="E440" s="64" t="s">
        <v>1280</v>
      </c>
      <c r="F440" s="115" t="s">
        <v>1699</v>
      </c>
      <c r="G440" s="65" t="s">
        <v>1579</v>
      </c>
    </row>
    <row r="441" spans="1:7" ht="25.9" customHeight="1">
      <c r="A441" s="63">
        <v>438</v>
      </c>
      <c r="B441" s="139" t="s">
        <v>1223</v>
      </c>
      <c r="C441" s="139" t="s">
        <v>1324</v>
      </c>
      <c r="D441" s="111" t="str">
        <f t="shared" si="6"/>
        <v>Endenergiebedarf</v>
      </c>
      <c r="E441" s="64" t="s">
        <v>1323</v>
      </c>
      <c r="F441" s="115" t="s">
        <v>1476</v>
      </c>
      <c r="G441" s="65" t="s">
        <v>1580</v>
      </c>
    </row>
    <row r="442" spans="1:7" ht="25.9" customHeight="1">
      <c r="A442" s="63">
        <v>439</v>
      </c>
      <c r="B442" s="139" t="s">
        <v>1223</v>
      </c>
      <c r="C442" s="139" t="s">
        <v>1325</v>
      </c>
      <c r="D442" s="111" t="str">
        <f t="shared" si="6"/>
        <v>MKZ berechneter Wert</v>
      </c>
      <c r="E442" s="64" t="s">
        <v>1777</v>
      </c>
      <c r="F442" s="115" t="s">
        <v>1581</v>
      </c>
      <c r="G442" s="65" t="s">
        <v>1581</v>
      </c>
    </row>
    <row r="443" spans="1:7" ht="25.9" customHeight="1">
      <c r="A443" s="63">
        <v>440</v>
      </c>
      <c r="B443" s="139" t="s">
        <v>1223</v>
      </c>
      <c r="C443" s="139" t="s">
        <v>1320</v>
      </c>
      <c r="D443" s="111" t="str">
        <f t="shared" si="6"/>
        <v>Wohnstrom</v>
      </c>
      <c r="E443" s="64" t="s">
        <v>1936</v>
      </c>
      <c r="F443" s="433" t="s">
        <v>1937</v>
      </c>
      <c r="G443" s="532" t="s">
        <v>1938</v>
      </c>
    </row>
    <row r="444" spans="1:7" ht="25.9" customHeight="1">
      <c r="A444" s="63">
        <v>441</v>
      </c>
      <c r="B444" s="139" t="s">
        <v>1223</v>
      </c>
      <c r="C444" s="139" t="s">
        <v>1327</v>
      </c>
      <c r="D444" s="111" t="str">
        <f t="shared" si="6"/>
        <v>PV Eigenverbrauch</v>
      </c>
      <c r="E444" s="64" t="s">
        <v>1336</v>
      </c>
      <c r="F444" s="115" t="s">
        <v>1700</v>
      </c>
      <c r="G444" s="65" t="s">
        <v>1582</v>
      </c>
    </row>
    <row r="445" spans="1:7" ht="25.9" customHeight="1">
      <c r="A445" s="63">
        <v>442</v>
      </c>
      <c r="B445" s="139" t="s">
        <v>1223</v>
      </c>
      <c r="C445" s="139" t="s">
        <v>1328</v>
      </c>
      <c r="D445" s="111" t="str">
        <f t="shared" si="6"/>
        <v>PV Anteil Einspeisung</v>
      </c>
      <c r="E445" s="64" t="s">
        <v>1337</v>
      </c>
      <c r="F445" s="115" t="s">
        <v>1701</v>
      </c>
      <c r="G445" s="65" t="s">
        <v>1583</v>
      </c>
    </row>
    <row r="446" spans="1:7" ht="25.9" customHeight="1">
      <c r="A446" s="63">
        <v>443</v>
      </c>
      <c r="B446" s="139" t="s">
        <v>1223</v>
      </c>
      <c r="C446" s="139" t="s">
        <v>1332</v>
      </c>
      <c r="D446" s="111" t="str">
        <f t="shared" si="6"/>
        <v>Bedarf</v>
      </c>
      <c r="E446" s="64" t="s">
        <v>1331</v>
      </c>
      <c r="F446" s="115" t="s">
        <v>1477</v>
      </c>
      <c r="G446" s="65" t="s">
        <v>1584</v>
      </c>
    </row>
    <row r="447" spans="1:7" ht="25.9" customHeight="1">
      <c r="A447" s="63">
        <v>444</v>
      </c>
      <c r="B447" s="139" t="s">
        <v>1223</v>
      </c>
      <c r="C447" s="139" t="s">
        <v>1329</v>
      </c>
      <c r="D447" s="111" t="str">
        <f t="shared" si="6"/>
        <v>Optimierungspotential</v>
      </c>
      <c r="E447" s="64" t="s">
        <v>1333</v>
      </c>
      <c r="F447" s="115" t="s">
        <v>1478</v>
      </c>
      <c r="G447" s="65" t="s">
        <v>1585</v>
      </c>
    </row>
    <row r="448" spans="1:7" ht="25.9" customHeight="1">
      <c r="A448" s="63">
        <v>445</v>
      </c>
      <c r="B448" s="139" t="s">
        <v>1223</v>
      </c>
      <c r="C448" s="139" t="s">
        <v>1330</v>
      </c>
      <c r="D448" s="111" t="str">
        <f t="shared" si="6"/>
        <v>Grenzwert Minergie</v>
      </c>
      <c r="E448" s="64" t="s">
        <v>1778</v>
      </c>
      <c r="F448" s="115" t="s">
        <v>1779</v>
      </c>
      <c r="G448" s="65" t="s">
        <v>1586</v>
      </c>
    </row>
    <row r="449" spans="1:7" ht="25.9" customHeight="1">
      <c r="A449" s="63">
        <v>446</v>
      </c>
      <c r="B449" s="139" t="s">
        <v>1223</v>
      </c>
      <c r="C449" s="139" t="s">
        <v>1334</v>
      </c>
      <c r="D449" s="111" t="str">
        <f t="shared" si="6"/>
        <v>Bedarf</v>
      </c>
      <c r="E449" s="64" t="s">
        <v>1331</v>
      </c>
      <c r="F449" s="115" t="s">
        <v>1477</v>
      </c>
      <c r="G449" s="65" t="s">
        <v>1584</v>
      </c>
    </row>
    <row r="450" spans="1:7" ht="25.9" customHeight="1">
      <c r="A450" s="63">
        <v>447</v>
      </c>
      <c r="B450" s="139" t="s">
        <v>1223</v>
      </c>
      <c r="C450" s="139" t="s">
        <v>1335</v>
      </c>
      <c r="D450" s="111" t="str">
        <f t="shared" si="6"/>
        <v>MKZ Anforderung</v>
      </c>
      <c r="E450" s="64" t="s">
        <v>1780</v>
      </c>
      <c r="F450" s="115" t="s">
        <v>1479</v>
      </c>
      <c r="G450" s="65" t="s">
        <v>1587</v>
      </c>
    </row>
    <row r="451" spans="1:7" ht="47.25" customHeight="1">
      <c r="A451" s="63">
        <v>448</v>
      </c>
      <c r="B451" s="139" t="s">
        <v>154</v>
      </c>
      <c r="C451" s="139" t="s">
        <v>502</v>
      </c>
      <c r="D451" s="111" t="str">
        <f t="shared" si="6"/>
        <v>Anforderung Minergie-A: 
Teilkennzahl Beleuchtung, Geräte und allg. Gebäudetechnik ist kleiner als die Eigenproduktion</v>
      </c>
      <c r="E451" s="64" t="s">
        <v>1384</v>
      </c>
      <c r="F451" s="115" t="s">
        <v>1618</v>
      </c>
      <c r="G451" s="65" t="s">
        <v>1611</v>
      </c>
    </row>
    <row r="452" spans="1:7" ht="25.9" customHeight="1">
      <c r="A452" s="63">
        <v>449</v>
      </c>
      <c r="B452" s="139" t="s">
        <v>154</v>
      </c>
      <c r="C452" s="139" t="s">
        <v>503</v>
      </c>
      <c r="D452" s="111" t="str">
        <f t="shared" si="6"/>
        <v>Minimale Grösse der Eigenstromerzeugung:</v>
      </c>
      <c r="E452" s="64" t="s">
        <v>1380</v>
      </c>
      <c r="F452" s="115" t="s">
        <v>1619</v>
      </c>
      <c r="G452" s="65" t="s">
        <v>1612</v>
      </c>
    </row>
    <row r="453" spans="1:7" ht="42.75" customHeight="1">
      <c r="A453" s="63">
        <v>450</v>
      </c>
      <c r="B453" s="139" t="s">
        <v>154</v>
      </c>
      <c r="C453" s="139" t="s">
        <v>1339</v>
      </c>
      <c r="D453" s="111" t="str">
        <f t="shared" ref="D453:D503" si="7">INDEX($E$4:$G$503,$A453,$A$1)</f>
        <v>Gilt für Kategorien ‚Restaurants’, ‚Sportbauten’ und ‚Hallenbäder’:
20% mit erneuerbarer Energie erbringen.</v>
      </c>
      <c r="E453" s="64" t="s">
        <v>1340</v>
      </c>
      <c r="F453" s="115" t="s">
        <v>1480</v>
      </c>
      <c r="G453" s="65" t="s">
        <v>1591</v>
      </c>
    </row>
    <row r="454" spans="1:7" ht="39.950000000000003" customHeight="1">
      <c r="A454" s="63">
        <v>451</v>
      </c>
      <c r="B454" s="139" t="s">
        <v>154</v>
      </c>
      <c r="C454" s="139" t="s">
        <v>1343</v>
      </c>
      <c r="D454" s="111" t="str">
        <f t="shared" si="7"/>
        <v>Gilt für Kategorie "Hallenbad"</v>
      </c>
      <c r="E454" s="64" t="s">
        <v>1342</v>
      </c>
      <c r="F454" s="115" t="s">
        <v>1481</v>
      </c>
      <c r="G454" s="65" t="s">
        <v>1588</v>
      </c>
    </row>
    <row r="455" spans="1:7" ht="26.1" customHeight="1">
      <c r="A455" s="63">
        <v>452</v>
      </c>
      <c r="B455" s="139" t="s">
        <v>154</v>
      </c>
      <c r="C455" s="139" t="s">
        <v>504</v>
      </c>
      <c r="D455" s="111" t="str">
        <f t="shared" si="7"/>
        <v>Stromproduktion deckt Bedarf:</v>
      </c>
      <c r="E455" s="64" t="s">
        <v>1385</v>
      </c>
      <c r="F455" s="115" t="s">
        <v>1620</v>
      </c>
      <c r="G455" s="65" t="s">
        <v>1621</v>
      </c>
    </row>
    <row r="456" spans="1:7" ht="25.9" customHeight="1">
      <c r="A456" s="63">
        <v>453</v>
      </c>
      <c r="B456" s="139" t="s">
        <v>154</v>
      </c>
      <c r="C456" s="139" t="s">
        <v>1366</v>
      </c>
      <c r="D456" s="111" t="str">
        <f t="shared" si="7"/>
        <v>Teilkennzahl
Bedarf</v>
      </c>
      <c r="E456" s="64" t="s">
        <v>1365</v>
      </c>
      <c r="F456" s="115" t="s">
        <v>1482</v>
      </c>
      <c r="G456" s="65" t="s">
        <v>1592</v>
      </c>
    </row>
    <row r="457" spans="1:7" ht="25.9" customHeight="1">
      <c r="A457" s="63">
        <v>454</v>
      </c>
      <c r="B457" s="139" t="s">
        <v>154</v>
      </c>
      <c r="C457" s="139" t="s">
        <v>1367</v>
      </c>
      <c r="D457" s="111" t="str">
        <f t="shared" si="7"/>
        <v>Produktion
(gewichtet)</v>
      </c>
      <c r="E457" s="64" t="s">
        <v>1383</v>
      </c>
      <c r="F457" s="115" t="s">
        <v>1483</v>
      </c>
      <c r="G457" s="65" t="s">
        <v>1593</v>
      </c>
    </row>
    <row r="458" spans="1:7" ht="25.9" customHeight="1">
      <c r="A458" s="63">
        <v>455</v>
      </c>
      <c r="B458" s="139" t="s">
        <v>1223</v>
      </c>
      <c r="C458" s="139" t="s">
        <v>1369</v>
      </c>
      <c r="D458" s="111" t="str">
        <f t="shared" si="7"/>
        <v>Anforderung PV (gewichtet)</v>
      </c>
      <c r="E458" s="64" t="s">
        <v>1368</v>
      </c>
      <c r="F458" s="115" t="s">
        <v>1484</v>
      </c>
      <c r="G458" s="65" t="s">
        <v>1589</v>
      </c>
    </row>
    <row r="459" spans="1:7" ht="25.9" customHeight="1">
      <c r="A459" s="63">
        <v>456</v>
      </c>
      <c r="B459" s="139" t="s">
        <v>1223</v>
      </c>
      <c r="C459" s="139" t="s">
        <v>1371</v>
      </c>
      <c r="D459" s="111" t="str">
        <f t="shared" si="7"/>
        <v>Produktion PV (gewichtet)</v>
      </c>
      <c r="E459" s="64" t="s">
        <v>1370</v>
      </c>
      <c r="F459" s="115" t="s">
        <v>1485</v>
      </c>
      <c r="G459" s="65" t="s">
        <v>1590</v>
      </c>
    </row>
    <row r="460" spans="1:7" ht="25.9" customHeight="1">
      <c r="A460" s="63">
        <v>457</v>
      </c>
      <c r="B460" s="139" t="s">
        <v>1223</v>
      </c>
      <c r="C460" s="139" t="s">
        <v>428</v>
      </c>
      <c r="D460" s="111" t="str">
        <f t="shared" si="7"/>
        <v>Teilkennzahl Minergie-A</v>
      </c>
      <c r="E460" s="64" t="s">
        <v>1781</v>
      </c>
      <c r="F460" s="115" t="s">
        <v>1782</v>
      </c>
      <c r="G460" s="65" t="s">
        <v>1783</v>
      </c>
    </row>
    <row r="461" spans="1:7" ht="25.9" customHeight="1">
      <c r="A461" s="63">
        <v>458</v>
      </c>
      <c r="B461" s="139" t="s">
        <v>1223</v>
      </c>
      <c r="C461" s="139" t="s">
        <v>245</v>
      </c>
      <c r="D461" s="111" t="str">
        <f t="shared" si="7"/>
        <v>Minergie-A: Bedarf MKZ (ohne PV)  durch PV gedeckt?</v>
      </c>
      <c r="E461" s="64" t="s">
        <v>1784</v>
      </c>
      <c r="F461" s="115" t="s">
        <v>1486</v>
      </c>
      <c r="G461" s="65" t="s">
        <v>1785</v>
      </c>
    </row>
    <row r="462" spans="1:7" ht="25.9" customHeight="1">
      <c r="A462" s="63">
        <v>459</v>
      </c>
      <c r="B462" s="139" t="s">
        <v>1223</v>
      </c>
      <c r="C462" s="139" t="s">
        <v>1375</v>
      </c>
      <c r="D462" s="111" t="str">
        <f t="shared" si="7"/>
        <v>Keine Anforderungen</v>
      </c>
      <c r="E462" s="64" t="s">
        <v>1374</v>
      </c>
      <c r="F462" s="115" t="s">
        <v>1622</v>
      </c>
      <c r="G462" s="65" t="s">
        <v>1609</v>
      </c>
    </row>
    <row r="463" spans="1:7" ht="25.9" customHeight="1">
      <c r="A463" s="63">
        <v>460</v>
      </c>
      <c r="B463" s="139" t="s">
        <v>154</v>
      </c>
      <c r="C463" s="139" t="s">
        <v>624</v>
      </c>
      <c r="D463" s="111" t="str">
        <f t="shared" si="7"/>
        <v>Eigenstromerzeugung</v>
      </c>
      <c r="E463" s="64" t="s">
        <v>1379</v>
      </c>
      <c r="F463" s="115" t="s">
        <v>1623</v>
      </c>
      <c r="G463" s="65" t="s">
        <v>1610</v>
      </c>
    </row>
    <row r="464" spans="1:7" ht="25.9" customHeight="1">
      <c r="A464" s="63">
        <v>461</v>
      </c>
      <c r="B464" s="139" t="s">
        <v>1223</v>
      </c>
      <c r="C464" s="139" t="s">
        <v>431</v>
      </c>
      <c r="D464" s="111" t="str">
        <f t="shared" si="7"/>
        <v>Höchstanteil fossiler Energie</v>
      </c>
      <c r="E464" s="64" t="s">
        <v>1638</v>
      </c>
      <c r="F464" s="115" t="s">
        <v>1648</v>
      </c>
      <c r="G464" s="65" t="s">
        <v>1649</v>
      </c>
    </row>
    <row r="465" spans="1:7" ht="25.9" customHeight="1">
      <c r="A465" s="63">
        <v>462</v>
      </c>
      <c r="B465" s="139" t="s">
        <v>1223</v>
      </c>
      <c r="C465" s="139" t="s">
        <v>438</v>
      </c>
      <c r="D465" s="111" t="str">
        <f t="shared" si="7"/>
        <v>Stromproduktion deckt Bedarf:</v>
      </c>
      <c r="E465" s="64" t="s">
        <v>1385</v>
      </c>
      <c r="F465" s="115" t="s">
        <v>1620</v>
      </c>
      <c r="G465" s="65" t="s">
        <v>1621</v>
      </c>
    </row>
    <row r="466" spans="1:7" ht="25.9" customHeight="1">
      <c r="A466" s="63">
        <v>463</v>
      </c>
      <c r="B466" s="139" t="s">
        <v>314</v>
      </c>
      <c r="C466" s="139" t="s">
        <v>1637</v>
      </c>
      <c r="D466" s="111" t="str">
        <f t="shared" si="7"/>
        <v>Begleitheizbänder</v>
      </c>
      <c r="E466" s="64" t="s">
        <v>1636</v>
      </c>
      <c r="F466" s="115" t="s">
        <v>1634</v>
      </c>
      <c r="G466" s="65" t="s">
        <v>1635</v>
      </c>
    </row>
    <row r="467" spans="1:7" ht="25.9" customHeight="1">
      <c r="A467" s="63">
        <v>464</v>
      </c>
      <c r="B467" s="139" t="s">
        <v>154</v>
      </c>
      <c r="C467" s="139" t="s">
        <v>414</v>
      </c>
      <c r="D467" s="111" t="str">
        <f t="shared" si="7"/>
        <v>Warmwasser, Rechenwert</v>
      </c>
      <c r="E467" s="64" t="s">
        <v>1642</v>
      </c>
      <c r="F467" s="115" t="s">
        <v>1643</v>
      </c>
      <c r="G467" s="65" t="s">
        <v>1644</v>
      </c>
    </row>
    <row r="468" spans="1:7" ht="25.9" customHeight="1">
      <c r="A468" s="63">
        <v>465</v>
      </c>
      <c r="B468" s="139" t="s">
        <v>154</v>
      </c>
      <c r="C468" s="139" t="s">
        <v>1192</v>
      </c>
      <c r="D468" s="111" t="str">
        <f t="shared" si="7"/>
        <v>Warmwasser, SIA 385</v>
      </c>
      <c r="E468" s="64" t="s">
        <v>1645</v>
      </c>
      <c r="F468" s="115" t="s">
        <v>1646</v>
      </c>
      <c r="G468" s="65" t="s">
        <v>1647</v>
      </c>
    </row>
    <row r="469" spans="1:7" ht="25.9" customHeight="1">
      <c r="A469" s="63">
        <v>466</v>
      </c>
      <c r="B469" s="139" t="s">
        <v>154</v>
      </c>
      <c r="C469" s="139" t="s">
        <v>413</v>
      </c>
      <c r="D469" s="111" t="str">
        <f t="shared" si="7"/>
        <v>unbekannter Mieterausbau</v>
      </c>
      <c r="E469" s="64" t="s">
        <v>1651</v>
      </c>
      <c r="F469" s="115" t="s">
        <v>1786</v>
      </c>
      <c r="G469" s="65" t="s">
        <v>1787</v>
      </c>
    </row>
    <row r="470" spans="1:7" ht="25.9" customHeight="1">
      <c r="A470" s="63">
        <v>467</v>
      </c>
      <c r="B470" s="139" t="s">
        <v>1223</v>
      </c>
      <c r="C470" s="139" t="s">
        <v>1321</v>
      </c>
      <c r="D470" s="111" t="str">
        <f t="shared" si="7"/>
        <v>Lüftung + Klima</v>
      </c>
      <c r="E470" s="64" t="s">
        <v>1682</v>
      </c>
      <c r="F470" s="115" t="s">
        <v>1702</v>
      </c>
      <c r="G470" s="65" t="s">
        <v>1788</v>
      </c>
    </row>
    <row r="471" spans="1:7" ht="36" customHeight="1">
      <c r="A471" s="63">
        <v>468</v>
      </c>
      <c r="B471" s="139" t="s">
        <v>1223</v>
      </c>
      <c r="C471" s="139" t="s">
        <v>1686</v>
      </c>
      <c r="D471" s="111" t="str">
        <f t="shared" si="7"/>
        <v xml:space="preserve">   Produktion PV</v>
      </c>
      <c r="E471" s="73" t="s">
        <v>1842</v>
      </c>
      <c r="F471" s="406" t="s">
        <v>1843</v>
      </c>
      <c r="G471" s="405" t="s">
        <v>1844</v>
      </c>
    </row>
    <row r="472" spans="1:7" ht="25.9" customHeight="1">
      <c r="A472" s="63">
        <v>469</v>
      </c>
      <c r="B472" s="139" t="s">
        <v>1223</v>
      </c>
      <c r="C472" s="139" t="s">
        <v>1687</v>
      </c>
      <c r="D472" s="111" t="str">
        <f t="shared" si="7"/>
        <v xml:space="preserve">           Objektwert
 </v>
      </c>
      <c r="E472" s="73" t="s">
        <v>1841</v>
      </c>
      <c r="F472" s="406" t="s">
        <v>1845</v>
      </c>
      <c r="G472" s="405" t="s">
        <v>1840</v>
      </c>
    </row>
    <row r="473" spans="1:7" ht="25.9" customHeight="1">
      <c r="A473" s="63">
        <v>470</v>
      </c>
      <c r="B473" s="139" t="s">
        <v>1223</v>
      </c>
      <c r="C473" s="139" t="s">
        <v>1688</v>
      </c>
      <c r="D473" s="111" t="str">
        <f t="shared" si="7"/>
        <v>PV nicht anrechenbar</v>
      </c>
      <c r="E473" s="64" t="s">
        <v>1683</v>
      </c>
      <c r="F473" s="115" t="s">
        <v>1792</v>
      </c>
      <c r="G473" s="65" t="s">
        <v>1789</v>
      </c>
    </row>
    <row r="474" spans="1:7" ht="25.9" customHeight="1">
      <c r="A474" s="63">
        <v>471</v>
      </c>
      <c r="B474" s="139" t="s">
        <v>314</v>
      </c>
      <c r="C474" s="139" t="s">
        <v>1233</v>
      </c>
      <c r="D474" s="111" t="str">
        <f t="shared" si="7"/>
        <v>Konzept Lufdichtheit und Messkonzept beigelegt?</v>
      </c>
      <c r="E474" s="64" t="s">
        <v>1852</v>
      </c>
      <c r="F474" s="115" t="s">
        <v>1853</v>
      </c>
      <c r="G474" s="65" t="s">
        <v>1854</v>
      </c>
    </row>
    <row r="475" spans="1:7" ht="25.9" customHeight="1">
      <c r="A475" s="63">
        <v>472</v>
      </c>
      <c r="B475" s="139" t="s">
        <v>154</v>
      </c>
      <c r="C475" s="139" t="s">
        <v>303</v>
      </c>
      <c r="D475" s="111" t="str">
        <f t="shared" si="7"/>
        <v>Grösse Batterie [kWh]</v>
      </c>
      <c r="E475" s="64" t="s">
        <v>1695</v>
      </c>
      <c r="F475" s="115" t="s">
        <v>1793</v>
      </c>
      <c r="G475" s="65" t="s">
        <v>1790</v>
      </c>
    </row>
    <row r="476" spans="1:7" ht="25.9" customHeight="1">
      <c r="A476" s="63">
        <v>473</v>
      </c>
      <c r="B476" s="139" t="s">
        <v>154</v>
      </c>
      <c r="C476" s="139" t="s">
        <v>626</v>
      </c>
      <c r="D476" s="111" t="str">
        <f t="shared" si="7"/>
        <v>Batterie-verluste [%]:</v>
      </c>
      <c r="E476" s="64" t="s">
        <v>1696</v>
      </c>
      <c r="F476" s="115" t="s">
        <v>1794</v>
      </c>
      <c r="G476" s="65" t="s">
        <v>1791</v>
      </c>
    </row>
    <row r="477" spans="1:7" ht="40.5" customHeight="1">
      <c r="A477" s="63">
        <v>474</v>
      </c>
      <c r="B477" s="139" t="s">
        <v>1223</v>
      </c>
      <c r="C477" s="139" t="s">
        <v>1703</v>
      </c>
      <c r="D477" s="111" t="str">
        <f t="shared" si="7"/>
        <v xml:space="preserve">                                          E HWLK,li  +
                             Standardbedarf Elektrizität
  </v>
      </c>
      <c r="E477" s="504" t="s">
        <v>1837</v>
      </c>
      <c r="F477" s="115" t="s">
        <v>1838</v>
      </c>
      <c r="G477" s="65" t="s">
        <v>1839</v>
      </c>
    </row>
    <row r="478" spans="1:7" ht="25.9" customHeight="1">
      <c r="A478" s="63">
        <v>475</v>
      </c>
      <c r="B478" s="139" t="s">
        <v>340</v>
      </c>
      <c r="C478" s="139" t="s">
        <v>637</v>
      </c>
      <c r="D478" s="111" t="str">
        <f t="shared" si="7"/>
        <v>Minergie-Kennzahl (MKZ)</v>
      </c>
      <c r="E478" s="64" t="s">
        <v>1133</v>
      </c>
      <c r="F478" s="115" t="s">
        <v>1795</v>
      </c>
      <c r="G478" s="65" t="s">
        <v>1704</v>
      </c>
    </row>
    <row r="479" spans="1:7" ht="25.9" customHeight="1">
      <c r="A479" s="63">
        <v>476</v>
      </c>
      <c r="B479" s="139" t="s">
        <v>1223</v>
      </c>
      <c r="C479" s="139" t="s">
        <v>1732</v>
      </c>
      <c r="D479" s="111" t="str">
        <f t="shared" si="7"/>
        <v>MKZ</v>
      </c>
      <c r="E479" s="64" t="s">
        <v>1705</v>
      </c>
      <c r="F479" s="115" t="s">
        <v>1705</v>
      </c>
      <c r="G479" s="65" t="s">
        <v>1706</v>
      </c>
    </row>
    <row r="480" spans="1:7" ht="25.9" customHeight="1">
      <c r="A480" s="63">
        <v>477</v>
      </c>
      <c r="B480" s="139" t="s">
        <v>1223</v>
      </c>
      <c r="C480" s="139" t="s">
        <v>1707</v>
      </c>
      <c r="D480" s="111" t="str">
        <f t="shared" si="7"/>
        <v>H</v>
      </c>
      <c r="E480" s="64" t="s">
        <v>1708</v>
      </c>
      <c r="F480" s="115" t="s">
        <v>1708</v>
      </c>
      <c r="G480" s="65" t="s">
        <v>1709</v>
      </c>
    </row>
    <row r="481" spans="1:7" ht="25.9" customHeight="1">
      <c r="A481" s="63">
        <v>478</v>
      </c>
      <c r="B481" s="139" t="s">
        <v>1223</v>
      </c>
      <c r="C481" s="139" t="s">
        <v>1710</v>
      </c>
      <c r="D481" s="111" t="str">
        <f t="shared" si="7"/>
        <v>ww</v>
      </c>
      <c r="E481" s="64" t="s">
        <v>252</v>
      </c>
      <c r="F481" s="115" t="s">
        <v>252</v>
      </c>
      <c r="G481" s="65" t="s">
        <v>1711</v>
      </c>
    </row>
    <row r="482" spans="1:7" ht="25.9" customHeight="1">
      <c r="A482" s="63">
        <v>479</v>
      </c>
      <c r="B482" s="139" t="s">
        <v>1223</v>
      </c>
      <c r="C482" s="139" t="s">
        <v>1713</v>
      </c>
      <c r="D482" s="111" t="str">
        <f t="shared" si="7"/>
        <v>LK</v>
      </c>
      <c r="E482" s="64" t="s">
        <v>1714</v>
      </c>
      <c r="F482" s="115" t="s">
        <v>1714</v>
      </c>
      <c r="G482" s="65" t="s">
        <v>1712</v>
      </c>
    </row>
    <row r="483" spans="1:7" ht="25.9" customHeight="1">
      <c r="A483" s="63">
        <v>480</v>
      </c>
      <c r="B483" s="139" t="s">
        <v>1223</v>
      </c>
      <c r="C483" s="139" t="s">
        <v>1717</v>
      </c>
      <c r="D483" s="111" t="str">
        <f t="shared" si="7"/>
        <v>el,wohn.</v>
      </c>
      <c r="E483" s="64" t="s">
        <v>1716</v>
      </c>
      <c r="F483" s="115" t="s">
        <v>1716</v>
      </c>
      <c r="G483" s="65" t="s">
        <v>1715</v>
      </c>
    </row>
    <row r="484" spans="1:7" ht="25.9" customHeight="1">
      <c r="A484" s="63">
        <v>481</v>
      </c>
      <c r="B484" s="139" t="s">
        <v>1223</v>
      </c>
      <c r="C484" s="139" t="s">
        <v>1718</v>
      </c>
      <c r="D484" s="111" t="str">
        <f t="shared" si="7"/>
        <v>Bel</v>
      </c>
      <c r="E484" s="64" t="s">
        <v>1719</v>
      </c>
      <c r="F484" s="115" t="s">
        <v>1719</v>
      </c>
      <c r="G484" s="65" t="s">
        <v>1720</v>
      </c>
    </row>
    <row r="485" spans="1:7" ht="25.9" customHeight="1">
      <c r="A485" s="63">
        <v>482</v>
      </c>
      <c r="B485" s="139" t="s">
        <v>1223</v>
      </c>
      <c r="C485" s="139" t="s">
        <v>1727</v>
      </c>
      <c r="D485" s="111" t="str">
        <f t="shared" si="7"/>
        <v>Geräte</v>
      </c>
      <c r="E485" s="64" t="s">
        <v>1277</v>
      </c>
      <c r="F485" s="115" t="s">
        <v>1277</v>
      </c>
      <c r="G485" s="65" t="s">
        <v>1721</v>
      </c>
    </row>
    <row r="486" spans="1:7" ht="25.9" customHeight="1">
      <c r="A486" s="63">
        <v>483</v>
      </c>
      <c r="B486" s="139" t="s">
        <v>1223</v>
      </c>
      <c r="C486" s="139" t="s">
        <v>1728</v>
      </c>
      <c r="D486" s="111" t="str">
        <f t="shared" si="7"/>
        <v>AGT</v>
      </c>
      <c r="E486" s="64" t="s">
        <v>1722</v>
      </c>
      <c r="F486" s="115" t="s">
        <v>1722</v>
      </c>
      <c r="G486" s="65" t="s">
        <v>1723</v>
      </c>
    </row>
    <row r="487" spans="1:7" ht="25.9" customHeight="1">
      <c r="A487" s="63">
        <v>484</v>
      </c>
      <c r="B487" s="139" t="s">
        <v>1223</v>
      </c>
      <c r="C487" s="139" t="s">
        <v>1726</v>
      </c>
      <c r="D487" s="111" t="str">
        <f t="shared" si="7"/>
        <v>EB</v>
      </c>
      <c r="E487" s="64" t="s">
        <v>1724</v>
      </c>
      <c r="F487" s="115" t="s">
        <v>1724</v>
      </c>
      <c r="G487" s="65" t="s">
        <v>1725</v>
      </c>
    </row>
    <row r="488" spans="1:7" ht="25.9" customHeight="1">
      <c r="A488" s="63">
        <v>485</v>
      </c>
      <c r="B488" s="139" t="s">
        <v>1223</v>
      </c>
      <c r="C488" s="139" t="s">
        <v>1731</v>
      </c>
      <c r="D488" s="111" t="str">
        <f t="shared" si="7"/>
        <v>Netz</v>
      </c>
      <c r="E488" s="64" t="s">
        <v>1729</v>
      </c>
      <c r="F488" s="115" t="s">
        <v>1729</v>
      </c>
      <c r="G488" s="65" t="s">
        <v>1730</v>
      </c>
    </row>
    <row r="489" spans="1:7" ht="25.9" customHeight="1">
      <c r="A489" s="63">
        <v>486</v>
      </c>
      <c r="B489" s="139" t="s">
        <v>1882</v>
      </c>
      <c r="C489" s="139" t="s">
        <v>1883</v>
      </c>
      <c r="D489" s="111" t="str">
        <f t="shared" si="7"/>
        <v>Übertrag in das Rechentool PVopti</v>
      </c>
      <c r="E489" s="64" t="s">
        <v>1881</v>
      </c>
      <c r="F489" s="433" t="s">
        <v>1881</v>
      </c>
      <c r="G489" s="532" t="s">
        <v>1881</v>
      </c>
    </row>
    <row r="490" spans="1:7" ht="25.9" customHeight="1">
      <c r="A490" s="63">
        <v>487</v>
      </c>
      <c r="B490" s="139" t="s">
        <v>1882</v>
      </c>
      <c r="C490" s="139" t="s">
        <v>1884</v>
      </c>
      <c r="D490" s="111" t="str">
        <f t="shared" si="7"/>
        <v>Bitte den gelben Bereich kopieren und als Inhalt in PVopti einfügen:</v>
      </c>
      <c r="E490" s="64" t="s">
        <v>1880</v>
      </c>
      <c r="F490" s="433" t="s">
        <v>1880</v>
      </c>
      <c r="G490" s="532" t="s">
        <v>1880</v>
      </c>
    </row>
    <row r="491" spans="1:7" ht="25.9" customHeight="1">
      <c r="A491" s="63">
        <v>488</v>
      </c>
      <c r="B491" s="139" t="s">
        <v>1882</v>
      </c>
      <c r="C491" s="139" t="s">
        <v>1885</v>
      </c>
      <c r="D491" s="111" t="str">
        <f t="shared" si="7"/>
        <v>MOP-Nr.: / Projektname: / Gebäudeadresse:</v>
      </c>
      <c r="E491" s="64" t="s">
        <v>1861</v>
      </c>
      <c r="F491" s="433" t="s">
        <v>1861</v>
      </c>
      <c r="G491" s="532" t="s">
        <v>1861</v>
      </c>
    </row>
    <row r="492" spans="1:7" ht="25.9" customHeight="1">
      <c r="A492" s="63">
        <v>489</v>
      </c>
      <c r="B492" s="139" t="s">
        <v>1882</v>
      </c>
      <c r="C492" s="139" t="s">
        <v>1886</v>
      </c>
      <c r="D492" s="111" t="str">
        <f t="shared" si="7"/>
        <v xml:space="preserve">Parz.-Nr.:   / Klimastation: / Gebäudestandort: </v>
      </c>
      <c r="E492" s="64" t="s">
        <v>1862</v>
      </c>
      <c r="F492" s="433" t="s">
        <v>1862</v>
      </c>
      <c r="G492" s="532" t="s">
        <v>1862</v>
      </c>
    </row>
    <row r="493" spans="1:7" ht="25.9" customHeight="1">
      <c r="A493" s="63">
        <v>490</v>
      </c>
      <c r="B493" s="139" t="s">
        <v>1882</v>
      </c>
      <c r="C493" s="139" t="s">
        <v>1887</v>
      </c>
      <c r="D493" s="111" t="str">
        <f t="shared" si="7"/>
        <v>Wärmeerzeuger</v>
      </c>
      <c r="E493" s="64" t="s">
        <v>1856</v>
      </c>
      <c r="F493" s="433" t="s">
        <v>1856</v>
      </c>
      <c r="G493" s="532" t="s">
        <v>1856</v>
      </c>
    </row>
    <row r="494" spans="1:7" ht="25.9" customHeight="1">
      <c r="A494" s="63">
        <v>491</v>
      </c>
      <c r="B494" s="139" t="s">
        <v>1882</v>
      </c>
      <c r="C494" s="139" t="s">
        <v>1888</v>
      </c>
      <c r="D494" s="111" t="str">
        <f t="shared" si="7"/>
        <v>Erz. A</v>
      </c>
      <c r="E494" s="64" t="s">
        <v>1857</v>
      </c>
      <c r="F494" s="433" t="s">
        <v>1857</v>
      </c>
      <c r="G494" s="532" t="s">
        <v>1857</v>
      </c>
    </row>
    <row r="495" spans="1:7" ht="25.9" customHeight="1">
      <c r="A495" s="63">
        <v>492</v>
      </c>
      <c r="B495" s="139" t="s">
        <v>1882</v>
      </c>
      <c r="C495" s="139" t="s">
        <v>1889</v>
      </c>
      <c r="D495" s="111" t="str">
        <f t="shared" si="7"/>
        <v>Erz. B</v>
      </c>
      <c r="E495" s="64" t="s">
        <v>1858</v>
      </c>
      <c r="F495" s="433" t="s">
        <v>1858</v>
      </c>
      <c r="G495" s="532" t="s">
        <v>1858</v>
      </c>
    </row>
    <row r="496" spans="1:7" ht="25.9" customHeight="1">
      <c r="A496" s="63">
        <v>493</v>
      </c>
      <c r="B496" s="139" t="s">
        <v>1882</v>
      </c>
      <c r="C496" s="139" t="s">
        <v>1890</v>
      </c>
      <c r="D496" s="111" t="str">
        <f t="shared" si="7"/>
        <v>Erz. C</v>
      </c>
      <c r="E496" s="64" t="s">
        <v>1859</v>
      </c>
      <c r="F496" s="433" t="s">
        <v>1859</v>
      </c>
      <c r="G496" s="532" t="s">
        <v>1859</v>
      </c>
    </row>
    <row r="497" spans="1:7" ht="25.9" customHeight="1">
      <c r="A497" s="63">
        <v>494</v>
      </c>
      <c r="B497" s="139" t="s">
        <v>1882</v>
      </c>
      <c r="C497" s="139" t="s">
        <v>1891</v>
      </c>
      <c r="D497" s="111" t="str">
        <f t="shared" si="7"/>
        <v>Erz. D</v>
      </c>
      <c r="E497" s="64" t="s">
        <v>1860</v>
      </c>
      <c r="F497" s="433" t="s">
        <v>1860</v>
      </c>
      <c r="G497" s="532" t="s">
        <v>1860</v>
      </c>
    </row>
    <row r="498" spans="1:7" ht="25.9" customHeight="1">
      <c r="A498" s="63">
        <v>495</v>
      </c>
      <c r="B498" s="139" t="s">
        <v>1882</v>
      </c>
      <c r="C498" s="139" t="s">
        <v>1892</v>
      </c>
      <c r="D498" s="111" t="str">
        <f t="shared" si="7"/>
        <v>Nutzbare Kapazität (kWh)</v>
      </c>
      <c r="E498" s="64" t="s">
        <v>1863</v>
      </c>
      <c r="F498" s="433" t="s">
        <v>1863</v>
      </c>
      <c r="G498" s="532" t="s">
        <v>1863</v>
      </c>
    </row>
    <row r="499" spans="1:7" ht="25.9" customHeight="1">
      <c r="A499" s="63">
        <v>496</v>
      </c>
      <c r="B499" s="139" t="s">
        <v>1882</v>
      </c>
      <c r="C499" s="139" t="s">
        <v>1893</v>
      </c>
      <c r="D499" s="111" t="str">
        <f t="shared" si="7"/>
        <v>Zone</v>
      </c>
      <c r="E499" s="64" t="s">
        <v>153</v>
      </c>
      <c r="F499" s="433" t="s">
        <v>153</v>
      </c>
      <c r="G499" s="532" t="s">
        <v>153</v>
      </c>
    </row>
    <row r="500" spans="1:7" ht="25.9" customHeight="1">
      <c r="A500" s="63">
        <v>497</v>
      </c>
      <c r="B500" s="139" t="s">
        <v>1882</v>
      </c>
      <c r="C500" s="139" t="s">
        <v>1894</v>
      </c>
      <c r="D500" s="111" t="str">
        <f t="shared" si="7"/>
        <v>Gebäudekategorie</v>
      </c>
      <c r="E500" s="64" t="s">
        <v>169</v>
      </c>
      <c r="F500" s="433" t="s">
        <v>169</v>
      </c>
      <c r="G500" s="532" t="s">
        <v>169</v>
      </c>
    </row>
    <row r="501" spans="1:7" ht="25.9" customHeight="1">
      <c r="A501" s="63">
        <v>498</v>
      </c>
      <c r="B501" s="139" t="s">
        <v>1882</v>
      </c>
      <c r="C501" s="139" t="s">
        <v>1895</v>
      </c>
      <c r="D501" s="111" t="str">
        <f t="shared" si="7"/>
        <v>Energiebezugsfläche EBF (m2)</v>
      </c>
      <c r="E501" s="64" t="s">
        <v>1864</v>
      </c>
      <c r="F501" s="433" t="s">
        <v>1864</v>
      </c>
      <c r="G501" s="532" t="s">
        <v>1864</v>
      </c>
    </row>
    <row r="502" spans="1:7" ht="25.9" customHeight="1">
      <c r="A502" s="63">
        <v>499</v>
      </c>
      <c r="B502" s="139" t="s">
        <v>1882</v>
      </c>
      <c r="C502" s="139" t="s">
        <v>1896</v>
      </c>
      <c r="D502" s="111" t="str">
        <f t="shared" si="7"/>
        <v>Neubau</v>
      </c>
      <c r="E502" s="64" t="s">
        <v>325</v>
      </c>
      <c r="F502" s="433" t="s">
        <v>325</v>
      </c>
      <c r="G502" s="532" t="s">
        <v>325</v>
      </c>
    </row>
    <row r="503" spans="1:7" ht="25.9" customHeight="1">
      <c r="A503" s="63">
        <v>500</v>
      </c>
      <c r="B503" s="139" t="s">
        <v>1882</v>
      </c>
      <c r="C503" s="139" t="s">
        <v>1897</v>
      </c>
      <c r="D503" s="111" t="str">
        <f t="shared" si="7"/>
        <v>Warmwasser Rechenwert</v>
      </c>
      <c r="E503" s="64" t="s">
        <v>1865</v>
      </c>
      <c r="F503" s="433" t="s">
        <v>1865</v>
      </c>
      <c r="G503" s="532" t="s">
        <v>1865</v>
      </c>
    </row>
    <row r="504" spans="1:7" ht="25.9" customHeight="1">
      <c r="A504" s="63">
        <v>501</v>
      </c>
      <c r="B504" s="139" t="s">
        <v>1882</v>
      </c>
      <c r="C504" s="139" t="s">
        <v>1898</v>
      </c>
      <c r="D504" s="111" t="str">
        <f>INDEX($E$4:$G$603,$A504,$A$1)</f>
        <v xml:space="preserve"> </v>
      </c>
      <c r="E504" s="73" t="s">
        <v>109</v>
      </c>
      <c r="F504" s="433" t="s">
        <v>109</v>
      </c>
      <c r="G504" s="532" t="s">
        <v>109</v>
      </c>
    </row>
    <row r="505" spans="1:7" ht="25.9" customHeight="1">
      <c r="A505" s="63">
        <v>502</v>
      </c>
      <c r="B505" s="139" t="s">
        <v>1882</v>
      </c>
      <c r="C505" s="139" t="s">
        <v>1899</v>
      </c>
      <c r="D505" s="111" t="str">
        <f t="shared" ref="D505:D568" si="8">INDEX($E$4:$G$603,$A505,$A$1)</f>
        <v>Klimakälte</v>
      </c>
      <c r="E505" s="64" t="s">
        <v>1866</v>
      </c>
      <c r="F505" s="433" t="s">
        <v>1866</v>
      </c>
      <c r="G505" s="532" t="s">
        <v>1866</v>
      </c>
    </row>
    <row r="506" spans="1:7" ht="25.9" customHeight="1">
      <c r="A506" s="63">
        <v>503</v>
      </c>
      <c r="B506" s="139" t="s">
        <v>1882</v>
      </c>
      <c r="C506" s="139" t="s">
        <v>1900</v>
      </c>
      <c r="D506" s="111" t="str">
        <f t="shared" si="8"/>
        <v>Lüftung</v>
      </c>
      <c r="E506" s="64" t="s">
        <v>320</v>
      </c>
      <c r="F506" s="433" t="s">
        <v>320</v>
      </c>
      <c r="G506" s="532" t="s">
        <v>320</v>
      </c>
    </row>
    <row r="507" spans="1:7" ht="25.9" customHeight="1">
      <c r="A507" s="63">
        <v>504</v>
      </c>
      <c r="B507" s="139" t="s">
        <v>1882</v>
      </c>
      <c r="C507" s="139" t="s">
        <v>1901</v>
      </c>
      <c r="D507" s="111" t="str">
        <f t="shared" si="8"/>
        <v>Anzahl Wohneinheiten</v>
      </c>
      <c r="E507" s="64" t="s">
        <v>1381</v>
      </c>
      <c r="F507" s="433" t="s">
        <v>1381</v>
      </c>
      <c r="G507" s="532" t="s">
        <v>1381</v>
      </c>
    </row>
    <row r="508" spans="1:7" ht="25.9" customHeight="1">
      <c r="A508" s="63">
        <v>505</v>
      </c>
      <c r="B508" s="139" t="s">
        <v>1882</v>
      </c>
      <c r="C508" s="139" t="s">
        <v>1902</v>
      </c>
      <c r="D508" s="111" t="str">
        <f t="shared" si="8"/>
        <v>Bedarf Lift</v>
      </c>
      <c r="E508" s="64" t="s">
        <v>1867</v>
      </c>
      <c r="F508" s="433" t="s">
        <v>1867</v>
      </c>
      <c r="G508" s="532" t="s">
        <v>1867</v>
      </c>
    </row>
    <row r="509" spans="1:7" ht="25.9" customHeight="1">
      <c r="A509" s="63">
        <v>506</v>
      </c>
      <c r="B509" s="139" t="s">
        <v>1882</v>
      </c>
      <c r="C509" s="139" t="s">
        <v>1903</v>
      </c>
      <c r="D509" s="111" t="str">
        <f t="shared" si="8"/>
        <v>Bedarf Heizbänder</v>
      </c>
      <c r="E509" s="64" t="s">
        <v>1868</v>
      </c>
      <c r="F509" s="433" t="s">
        <v>1868</v>
      </c>
      <c r="G509" s="532" t="s">
        <v>1868</v>
      </c>
    </row>
    <row r="510" spans="1:7" ht="25.9" customHeight="1">
      <c r="A510" s="63">
        <v>507</v>
      </c>
      <c r="B510" s="139" t="s">
        <v>1882</v>
      </c>
      <c r="C510" s="139" t="s">
        <v>1904</v>
      </c>
      <c r="D510" s="111" t="str">
        <f t="shared" si="8"/>
        <v>Reduktion Geschirrspüler</v>
      </c>
      <c r="E510" s="64" t="s">
        <v>1869</v>
      </c>
      <c r="F510" s="433" t="s">
        <v>1869</v>
      </c>
      <c r="G510" s="532" t="s">
        <v>1869</v>
      </c>
    </row>
    <row r="511" spans="1:7" ht="25.9" customHeight="1">
      <c r="A511" s="63">
        <v>508</v>
      </c>
      <c r="B511" s="139" t="s">
        <v>1882</v>
      </c>
      <c r="C511" s="139" t="s">
        <v>1905</v>
      </c>
      <c r="D511" s="111" t="str">
        <f t="shared" si="8"/>
        <v>Reduktion Kühl- und Gefrierschränke</v>
      </c>
      <c r="E511" s="64" t="s">
        <v>1870</v>
      </c>
      <c r="F511" s="433" t="s">
        <v>1870</v>
      </c>
      <c r="G511" s="532" t="s">
        <v>1870</v>
      </c>
    </row>
    <row r="512" spans="1:7" ht="25.9" customHeight="1">
      <c r="A512" s="63">
        <v>509</v>
      </c>
      <c r="B512" s="139" t="s">
        <v>1882</v>
      </c>
      <c r="C512" s="139" t="s">
        <v>1906</v>
      </c>
      <c r="D512" s="111" t="str">
        <f t="shared" si="8"/>
        <v>Reduktion Waschmaschine</v>
      </c>
      <c r="E512" s="64" t="s">
        <v>1871</v>
      </c>
      <c r="F512" s="433" t="s">
        <v>1871</v>
      </c>
      <c r="G512" s="532" t="s">
        <v>1871</v>
      </c>
    </row>
    <row r="513" spans="1:7" ht="25.9" customHeight="1">
      <c r="A513" s="63">
        <v>510</v>
      </c>
      <c r="B513" s="139" t="s">
        <v>1882</v>
      </c>
      <c r="C513" s="139" t="s">
        <v>1907</v>
      </c>
      <c r="D513" s="111" t="str">
        <f t="shared" si="8"/>
        <v>Reduktion Wäschetrockner</v>
      </c>
      <c r="E513" s="64" t="s">
        <v>1872</v>
      </c>
      <c r="F513" s="433" t="s">
        <v>1872</v>
      </c>
      <c r="G513" s="532" t="s">
        <v>1872</v>
      </c>
    </row>
    <row r="514" spans="1:7" ht="25.9" customHeight="1">
      <c r="A514" s="63">
        <v>511</v>
      </c>
      <c r="B514" s="139" t="s">
        <v>1882</v>
      </c>
      <c r="C514" s="139" t="s">
        <v>1908</v>
      </c>
      <c r="D514" s="111" t="str">
        <f t="shared" si="8"/>
        <v>Reduktion Induktionskochherde</v>
      </c>
      <c r="E514" s="64" t="s">
        <v>1873</v>
      </c>
      <c r="F514" s="433" t="s">
        <v>1873</v>
      </c>
      <c r="G514" s="532" t="s">
        <v>1873</v>
      </c>
    </row>
    <row r="515" spans="1:7" ht="25.9" customHeight="1">
      <c r="A515" s="63">
        <v>512</v>
      </c>
      <c r="B515" s="139" t="s">
        <v>1882</v>
      </c>
      <c r="C515" s="139" t="s">
        <v>1909</v>
      </c>
      <c r="D515" s="111" t="str">
        <f t="shared" si="8"/>
        <v>Reduktion Wohnungsbeleuchtung</v>
      </c>
      <c r="E515" s="64" t="s">
        <v>1874</v>
      </c>
      <c r="F515" s="433" t="s">
        <v>1874</v>
      </c>
      <c r="G515" s="532" t="s">
        <v>1874</v>
      </c>
    </row>
    <row r="516" spans="1:7" ht="25.9" customHeight="1">
      <c r="A516" s="63">
        <v>513</v>
      </c>
      <c r="B516" s="139" t="s">
        <v>1882</v>
      </c>
      <c r="C516" s="139" t="s">
        <v>1910</v>
      </c>
      <c r="D516" s="111" t="str">
        <f t="shared" si="8"/>
        <v>Reduktion allgemeine Beleuchtung</v>
      </c>
      <c r="E516" s="64" t="s">
        <v>1875</v>
      </c>
      <c r="F516" s="433" t="s">
        <v>1875</v>
      </c>
      <c r="G516" s="532" t="s">
        <v>1875</v>
      </c>
    </row>
    <row r="517" spans="1:7" ht="25.9" customHeight="1">
      <c r="A517" s="63">
        <v>514</v>
      </c>
      <c r="B517" s="139" t="s">
        <v>1882</v>
      </c>
      <c r="C517" s="139" t="s">
        <v>1911</v>
      </c>
      <c r="D517" s="111" t="str">
        <f t="shared" si="8"/>
        <v>Reduktion Geräte Gebäudebetrieb</v>
      </c>
      <c r="E517" s="64" t="s">
        <v>1876</v>
      </c>
      <c r="F517" s="433" t="s">
        <v>1876</v>
      </c>
      <c r="G517" s="532" t="s">
        <v>1876</v>
      </c>
    </row>
    <row r="518" spans="1:7" ht="25.9" customHeight="1">
      <c r="A518" s="63">
        <v>515</v>
      </c>
      <c r="B518" s="139" t="s">
        <v>1882</v>
      </c>
      <c r="C518" s="139" t="s">
        <v>1912</v>
      </c>
      <c r="D518" s="111" t="str">
        <f t="shared" si="8"/>
        <v>Bedarf Beleuchtung Zweckbau Rechenwert</v>
      </c>
      <c r="E518" s="64" t="s">
        <v>1877</v>
      </c>
      <c r="F518" s="433" t="s">
        <v>1877</v>
      </c>
      <c r="G518" s="532" t="s">
        <v>1877</v>
      </c>
    </row>
    <row r="519" spans="1:7" ht="25.9" customHeight="1">
      <c r="A519" s="63">
        <v>516</v>
      </c>
      <c r="B519" s="139" t="s">
        <v>1882</v>
      </c>
      <c r="C519" s="139" t="s">
        <v>1913</v>
      </c>
      <c r="D519" s="111" t="str">
        <f t="shared" si="8"/>
        <v>Bedarf Geräte Zweckbau Rechenwert</v>
      </c>
      <c r="E519" s="64" t="s">
        <v>1878</v>
      </c>
      <c r="F519" s="433" t="s">
        <v>1878</v>
      </c>
      <c r="G519" s="532" t="s">
        <v>1878</v>
      </c>
    </row>
    <row r="520" spans="1:7" ht="25.9" customHeight="1">
      <c r="A520" s="63">
        <v>517</v>
      </c>
      <c r="B520" s="139" t="s">
        <v>1882</v>
      </c>
      <c r="C520" s="139" t="s">
        <v>1914</v>
      </c>
      <c r="D520" s="111" t="str">
        <f t="shared" si="8"/>
        <v>Bedarf AGT Zweckbau Rechenwert</v>
      </c>
      <c r="E520" s="64" t="s">
        <v>1879</v>
      </c>
      <c r="F520" s="433" t="s">
        <v>1879</v>
      </c>
      <c r="G520" s="532" t="s">
        <v>1879</v>
      </c>
    </row>
    <row r="521" spans="1:7" ht="25.9" customHeight="1">
      <c r="A521" s="63">
        <v>518</v>
      </c>
      <c r="B521" s="139" t="s">
        <v>154</v>
      </c>
      <c r="C521" s="139" t="s">
        <v>268</v>
      </c>
      <c r="D521" s="111" t="str">
        <f t="shared" si="8"/>
        <v xml:space="preserve"> - Wärmerückgewinnung Abwasser in %</v>
      </c>
      <c r="E521" s="64" t="s">
        <v>1929</v>
      </c>
      <c r="F521" s="433" t="s">
        <v>1939</v>
      </c>
      <c r="G521" s="532" t="s">
        <v>1940</v>
      </c>
    </row>
    <row r="522" spans="1:7" ht="25.9" customHeight="1">
      <c r="A522" s="63">
        <v>519</v>
      </c>
      <c r="D522" s="111">
        <f t="shared" si="8"/>
        <v>0</v>
      </c>
    </row>
    <row r="523" spans="1:7" ht="25.9" customHeight="1">
      <c r="A523" s="63">
        <v>520</v>
      </c>
      <c r="D523" s="111">
        <f t="shared" si="8"/>
        <v>0</v>
      </c>
    </row>
    <row r="524" spans="1:7" ht="25.9" customHeight="1">
      <c r="A524" s="63">
        <v>521</v>
      </c>
      <c r="D524" s="111">
        <f t="shared" si="8"/>
        <v>0</v>
      </c>
    </row>
    <row r="525" spans="1:7" ht="25.9" customHeight="1">
      <c r="A525" s="63">
        <v>522</v>
      </c>
      <c r="D525" s="111">
        <f t="shared" si="8"/>
        <v>0</v>
      </c>
    </row>
    <row r="526" spans="1:7" ht="25.9" customHeight="1">
      <c r="A526" s="63">
        <v>523</v>
      </c>
      <c r="D526" s="111">
        <f t="shared" si="8"/>
        <v>0</v>
      </c>
    </row>
    <row r="527" spans="1:7" ht="25.9" customHeight="1">
      <c r="A527" s="63">
        <v>524</v>
      </c>
      <c r="D527" s="111">
        <f t="shared" si="8"/>
        <v>0</v>
      </c>
    </row>
    <row r="528" spans="1:7" ht="25.9" customHeight="1">
      <c r="A528" s="63">
        <v>525</v>
      </c>
      <c r="D528" s="111">
        <f t="shared" si="8"/>
        <v>0</v>
      </c>
    </row>
    <row r="529" spans="1:7" ht="25.9" customHeight="1">
      <c r="A529" s="63">
        <v>526</v>
      </c>
      <c r="D529" s="111">
        <f t="shared" si="8"/>
        <v>0</v>
      </c>
    </row>
    <row r="530" spans="1:7" ht="25.9" customHeight="1">
      <c r="A530" s="63">
        <v>527</v>
      </c>
      <c r="D530" s="111">
        <f t="shared" si="8"/>
        <v>0</v>
      </c>
    </row>
    <row r="531" spans="1:7" ht="25.9" customHeight="1">
      <c r="A531" s="63">
        <v>528</v>
      </c>
      <c r="D531" s="111">
        <f t="shared" si="8"/>
        <v>0</v>
      </c>
    </row>
    <row r="532" spans="1:7" ht="25.9" customHeight="1">
      <c r="A532" s="63">
        <v>529</v>
      </c>
      <c r="D532" s="111">
        <f t="shared" si="8"/>
        <v>0</v>
      </c>
    </row>
    <row r="533" spans="1:7" ht="25.9" customHeight="1">
      <c r="A533" s="63">
        <v>530</v>
      </c>
      <c r="D533" s="111">
        <f t="shared" si="8"/>
        <v>0</v>
      </c>
    </row>
    <row r="534" spans="1:7" ht="25.9" customHeight="1">
      <c r="A534" s="63">
        <v>531</v>
      </c>
      <c r="D534" s="111">
        <f t="shared" si="8"/>
        <v>0</v>
      </c>
    </row>
    <row r="535" spans="1:7" ht="25.9" customHeight="1">
      <c r="A535" s="63">
        <v>532</v>
      </c>
      <c r="D535" s="111">
        <f t="shared" si="8"/>
        <v>0</v>
      </c>
    </row>
    <row r="536" spans="1:7" ht="25.9" customHeight="1">
      <c r="A536" s="63">
        <v>533</v>
      </c>
      <c r="D536" s="111">
        <f t="shared" si="8"/>
        <v>0</v>
      </c>
    </row>
    <row r="537" spans="1:7" ht="25.9" customHeight="1">
      <c r="A537" s="63">
        <v>534</v>
      </c>
      <c r="D537" s="111">
        <f t="shared" si="8"/>
        <v>0</v>
      </c>
    </row>
    <row r="538" spans="1:7" ht="25.9" customHeight="1">
      <c r="A538" s="63">
        <v>535</v>
      </c>
      <c r="D538" s="111">
        <f t="shared" si="8"/>
        <v>0</v>
      </c>
    </row>
    <row r="539" spans="1:7" ht="25.9" customHeight="1" thickBot="1">
      <c r="A539" s="578">
        <v>536</v>
      </c>
      <c r="B539" s="579"/>
      <c r="C539" s="579"/>
      <c r="D539" s="580">
        <f t="shared" si="8"/>
        <v>0</v>
      </c>
      <c r="E539" s="581"/>
      <c r="F539" s="582"/>
      <c r="G539" s="583"/>
    </row>
    <row r="540" spans="1:7" ht="25.9" customHeight="1">
      <c r="A540" s="75">
        <v>537</v>
      </c>
      <c r="B540" s="113"/>
      <c r="C540" s="113"/>
      <c r="D540" s="112" t="str">
        <f t="shared" si="8"/>
        <v>MINERGIE - Systemerneuerung</v>
      </c>
      <c r="E540" s="76" t="s">
        <v>1947</v>
      </c>
      <c r="F540" s="117" t="s">
        <v>2194</v>
      </c>
      <c r="G540" s="77" t="s">
        <v>2195</v>
      </c>
    </row>
    <row r="541" spans="1:7" ht="25.9" customHeight="1">
      <c r="A541" s="63">
        <v>538</v>
      </c>
      <c r="D541" s="111" t="str">
        <f t="shared" si="8"/>
        <v>System 1</v>
      </c>
      <c r="E541" s="64" t="s">
        <v>1948</v>
      </c>
      <c r="F541" s="115" t="s">
        <v>2196</v>
      </c>
      <c r="G541" s="65" t="s">
        <v>2197</v>
      </c>
    </row>
    <row r="542" spans="1:7" ht="25.9" customHeight="1">
      <c r="A542" s="63">
        <v>539</v>
      </c>
      <c r="D542" s="111" t="str">
        <f t="shared" si="8"/>
        <v>System 2</v>
      </c>
      <c r="E542" s="64" t="s">
        <v>1949</v>
      </c>
      <c r="F542" s="115" t="s">
        <v>2198</v>
      </c>
      <c r="G542" s="65" t="s">
        <v>2199</v>
      </c>
    </row>
    <row r="543" spans="1:7" ht="25.9" customHeight="1">
      <c r="A543" s="63">
        <v>540</v>
      </c>
      <c r="D543" s="111" t="str">
        <f t="shared" si="8"/>
        <v>System 3</v>
      </c>
      <c r="E543" s="64" t="s">
        <v>1950</v>
      </c>
      <c r="F543" s="115" t="s">
        <v>2200</v>
      </c>
      <c r="G543" s="65" t="s">
        <v>2201</v>
      </c>
    </row>
    <row r="544" spans="1:7" ht="25.9" customHeight="1">
      <c r="A544" s="63">
        <v>541</v>
      </c>
      <c r="D544" s="111" t="str">
        <f t="shared" si="8"/>
        <v>System 4</v>
      </c>
      <c r="E544" s="64" t="s">
        <v>1951</v>
      </c>
      <c r="F544" s="115" t="s">
        <v>2202</v>
      </c>
      <c r="G544" s="65" t="s">
        <v>2203</v>
      </c>
    </row>
    <row r="545" spans="1:7" ht="25.9" customHeight="1">
      <c r="A545" s="63">
        <v>542</v>
      </c>
      <c r="D545" s="111" t="str">
        <f t="shared" si="8"/>
        <v>System 5</v>
      </c>
      <c r="E545" s="64" t="s">
        <v>1952</v>
      </c>
      <c r="F545" s="115" t="s">
        <v>2204</v>
      </c>
      <c r="G545" s="65" t="s">
        <v>2205</v>
      </c>
    </row>
    <row r="546" spans="1:7" ht="25.9" customHeight="1">
      <c r="A546" s="63">
        <v>543</v>
      </c>
      <c r="D546" s="111" t="str">
        <f t="shared" si="8"/>
        <v>Systemlösung</v>
      </c>
      <c r="E546" s="64" t="s">
        <v>1954</v>
      </c>
      <c r="F546" s="115" t="s">
        <v>2206</v>
      </c>
      <c r="G546" s="65" t="s">
        <v>2207</v>
      </c>
    </row>
    <row r="547" spans="1:7" ht="25.9" customHeight="1">
      <c r="A547" s="63">
        <v>544</v>
      </c>
      <c r="D547" s="111" t="str">
        <f t="shared" si="8"/>
        <v xml:space="preserve">Dach / Decke </v>
      </c>
      <c r="E547" s="64" t="s">
        <v>1955</v>
      </c>
      <c r="F547" s="115" t="s">
        <v>2208</v>
      </c>
      <c r="G547" s="65" t="s">
        <v>2209</v>
      </c>
    </row>
    <row r="548" spans="1:7" ht="25.9" customHeight="1">
      <c r="A548" s="63">
        <v>545</v>
      </c>
      <c r="D548" s="111" t="str">
        <f t="shared" si="8"/>
        <v>Wand</v>
      </c>
      <c r="E548" s="64" t="s">
        <v>1956</v>
      </c>
      <c r="F548" s="115" t="s">
        <v>2210</v>
      </c>
      <c r="G548" s="65" t="s">
        <v>2211</v>
      </c>
    </row>
    <row r="549" spans="1:7" ht="25.9" customHeight="1">
      <c r="A549" s="63">
        <v>546</v>
      </c>
      <c r="D549" s="111" t="str">
        <f t="shared" si="8"/>
        <v>Fenster</v>
      </c>
      <c r="E549" s="64" t="s">
        <v>1957</v>
      </c>
      <c r="F549" s="115" t="s">
        <v>2212</v>
      </c>
      <c r="G549" s="65" t="s">
        <v>2213</v>
      </c>
    </row>
    <row r="550" spans="1:7" ht="25.9" customHeight="1">
      <c r="A550" s="63">
        <v>547</v>
      </c>
      <c r="D550" s="111" t="str">
        <f t="shared" si="8"/>
        <v xml:space="preserve">Boden </v>
      </c>
      <c r="E550" s="64" t="s">
        <v>1958</v>
      </c>
      <c r="F550" s="115" t="s">
        <v>2214</v>
      </c>
      <c r="G550" s="65" t="s">
        <v>2215</v>
      </c>
    </row>
    <row r="551" spans="1:7" ht="25.9" customHeight="1">
      <c r="A551" s="63">
        <v>548</v>
      </c>
      <c r="D551" s="111" t="str">
        <f t="shared" si="8"/>
        <v>Wärme-Erzeugungssystem und Wärmeabgabe</v>
      </c>
      <c r="E551" s="64" t="s">
        <v>1968</v>
      </c>
      <c r="F551" s="115" t="s">
        <v>2216</v>
      </c>
      <c r="G551" s="65" t="s">
        <v>2217</v>
      </c>
    </row>
    <row r="552" spans="1:7" ht="25.9" customHeight="1">
      <c r="A552" s="63">
        <v>549</v>
      </c>
      <c r="D552" s="111" t="str">
        <f t="shared" si="8"/>
        <v>Fossil + Solar (2% EBF für Warmwasser)</v>
      </c>
      <c r="E552" s="64" t="s">
        <v>1970</v>
      </c>
      <c r="F552" s="115" t="s">
        <v>2218</v>
      </c>
      <c r="G552" s="65" t="s">
        <v>2219</v>
      </c>
    </row>
    <row r="553" spans="1:7" ht="25.9" customHeight="1">
      <c r="A553" s="63">
        <v>550</v>
      </c>
      <c r="D553" s="111" t="str">
        <f t="shared" si="8"/>
        <v xml:space="preserve">Wärmepumpe Sole/Wasser bis 50°C VL Temperatur  </v>
      </c>
      <c r="E553" s="64" t="s">
        <v>2103</v>
      </c>
      <c r="F553" s="115" t="s">
        <v>2220</v>
      </c>
      <c r="G553" s="65" t="s">
        <v>2221</v>
      </c>
    </row>
    <row r="554" spans="1:7" ht="25.9" customHeight="1">
      <c r="A554" s="63">
        <v>551</v>
      </c>
      <c r="D554" s="111" t="str">
        <f t="shared" si="8"/>
        <v>Fernwärme (min. 50% erneuerbare Energien, Abwärme, WKK)</v>
      </c>
      <c r="E554" s="64" t="s">
        <v>1971</v>
      </c>
      <c r="F554" s="115" t="s">
        <v>2222</v>
      </c>
      <c r="G554" s="65" t="s">
        <v>2223</v>
      </c>
    </row>
    <row r="555" spans="1:7" ht="25.9" customHeight="1">
      <c r="A555" s="63">
        <v>552</v>
      </c>
      <c r="D555" s="111" t="str">
        <f t="shared" si="8"/>
        <v>Holz + Solar (2% EBF)</v>
      </c>
      <c r="E555" s="64" t="s">
        <v>1972</v>
      </c>
      <c r="F555" s="115" t="s">
        <v>2224</v>
      </c>
      <c r="G555" s="65" t="s">
        <v>2225</v>
      </c>
    </row>
    <row r="556" spans="1:7" ht="25.9" customHeight="1">
      <c r="A556" s="63">
        <v>553</v>
      </c>
      <c r="D556" s="111" t="str">
        <f t="shared" si="8"/>
        <v>Aussenluft-Wärmepumpe bis 35°C VL Temperatur</v>
      </c>
      <c r="E556" s="64" t="s">
        <v>2102</v>
      </c>
      <c r="F556" s="115" t="s">
        <v>2226</v>
      </c>
      <c r="G556" s="65" t="s">
        <v>2227</v>
      </c>
    </row>
    <row r="557" spans="1:7" ht="25.9" customHeight="1">
      <c r="A557" s="63">
        <v>554</v>
      </c>
      <c r="D557" s="111" t="str">
        <f t="shared" si="8"/>
        <v xml:space="preserve">max. Vorlauftemperatur der Wärmeerzeugung:  </v>
      </c>
      <c r="E557" s="64" t="s">
        <v>2063</v>
      </c>
      <c r="F557" s="115" t="s">
        <v>2228</v>
      </c>
      <c r="G557" s="65" t="s">
        <v>2229</v>
      </c>
    </row>
    <row r="558" spans="1:7" ht="25.9" customHeight="1">
      <c r="A558" s="63">
        <v>555</v>
      </c>
      <c r="D558" s="111" t="str">
        <f t="shared" si="8"/>
        <v>GEAK - Kategorie</v>
      </c>
      <c r="E558" s="64" t="s">
        <v>1974</v>
      </c>
      <c r="F558" s="115" t="s">
        <v>2230</v>
      </c>
      <c r="G558" s="65" t="s">
        <v>2231</v>
      </c>
    </row>
    <row r="559" spans="1:7" ht="25.9" customHeight="1">
      <c r="A559" s="63">
        <v>556</v>
      </c>
      <c r="D559" s="111" t="str">
        <f t="shared" si="8"/>
        <v>Lüftungs-Typ</v>
      </c>
      <c r="E559" s="64" t="s">
        <v>1988</v>
      </c>
      <c r="F559" s="115" t="s">
        <v>2232</v>
      </c>
      <c r="G559" s="65" t="s">
        <v>2233</v>
      </c>
    </row>
    <row r="560" spans="1:7" ht="25.9" customHeight="1">
      <c r="A560" s="63">
        <v>557</v>
      </c>
      <c r="D560" s="111" t="str">
        <f t="shared" si="8"/>
        <v>mit Wärmerückgewinnung</v>
      </c>
      <c r="E560" s="64" t="s">
        <v>1989</v>
      </c>
      <c r="F560" s="115" t="s">
        <v>2234</v>
      </c>
      <c r="G560" s="65" t="s">
        <v>2235</v>
      </c>
    </row>
    <row r="561" spans="1:7" ht="25.9" customHeight="1">
      <c r="A561" s="63">
        <v>558</v>
      </c>
      <c r="D561" s="111" t="str">
        <f t="shared" si="8"/>
        <v>ohne Wärmerückgewinnung</v>
      </c>
      <c r="E561" s="64" t="s">
        <v>1990</v>
      </c>
      <c r="F561" s="115" t="s">
        <v>2236</v>
      </c>
      <c r="G561" s="65" t="s">
        <v>2237</v>
      </c>
    </row>
    <row r="562" spans="1:7" ht="25.9" customHeight="1">
      <c r="A562" s="63">
        <v>559</v>
      </c>
      <c r="D562" s="111" t="str">
        <f>INDEX($E$4:$G$603,$A562,$A$1)</f>
        <v>Geschirrspüler</v>
      </c>
      <c r="E562" s="64" t="s">
        <v>1993</v>
      </c>
      <c r="F562" s="115" t="s">
        <v>2238</v>
      </c>
      <c r="G562" s="65" t="s">
        <v>2239</v>
      </c>
    </row>
    <row r="563" spans="1:7" ht="25.9" customHeight="1">
      <c r="A563" s="63">
        <v>560</v>
      </c>
      <c r="D563" s="111" t="str">
        <f t="shared" si="8"/>
        <v>Kühl- und Gefrierschrank</v>
      </c>
      <c r="E563" s="64" t="s">
        <v>1994</v>
      </c>
      <c r="F563" s="115" t="s">
        <v>2240</v>
      </c>
      <c r="G563" s="65" t="s">
        <v>2241</v>
      </c>
    </row>
    <row r="564" spans="1:7" ht="25.9" customHeight="1">
      <c r="A564" s="63">
        <v>561</v>
      </c>
      <c r="D564" s="111" t="str">
        <f t="shared" si="8"/>
        <v>Waschmaschine</v>
      </c>
      <c r="E564" s="64" t="s">
        <v>1995</v>
      </c>
      <c r="F564" s="115" t="s">
        <v>2242</v>
      </c>
      <c r="G564" s="65" t="s">
        <v>2243</v>
      </c>
    </row>
    <row r="565" spans="1:7" ht="25.9" customHeight="1">
      <c r="A565" s="63">
        <v>562</v>
      </c>
      <c r="D565" s="111" t="str">
        <f t="shared" si="8"/>
        <v>Wäschetrockner</v>
      </c>
      <c r="E565" s="64" t="s">
        <v>1996</v>
      </c>
      <c r="F565" s="115" t="s">
        <v>2244</v>
      </c>
      <c r="G565" s="65" t="s">
        <v>2245</v>
      </c>
    </row>
    <row r="566" spans="1:7" ht="25.9" customHeight="1">
      <c r="A566" s="63">
        <v>563</v>
      </c>
      <c r="D566" s="111" t="str">
        <f t="shared" si="8"/>
        <v>Kochherd</v>
      </c>
      <c r="E566" s="64" t="s">
        <v>1997</v>
      </c>
      <c r="F566" s="115" t="s">
        <v>2246</v>
      </c>
      <c r="G566" s="65" t="s">
        <v>2247</v>
      </c>
    </row>
    <row r="567" spans="1:7" ht="25.9" customHeight="1">
      <c r="A567" s="63">
        <v>564</v>
      </c>
      <c r="D567" s="111" t="str">
        <f t="shared" si="8"/>
        <v>Wohnbeleuchtung [fest installiert]</v>
      </c>
      <c r="E567" s="64" t="s">
        <v>1999</v>
      </c>
      <c r="F567" s="115" t="s">
        <v>2248</v>
      </c>
      <c r="G567" s="65" t="s">
        <v>2249</v>
      </c>
    </row>
    <row r="568" spans="1:7" ht="25.9" customHeight="1">
      <c r="A568" s="63">
        <v>565</v>
      </c>
      <c r="D568" s="111" t="str">
        <f t="shared" si="8"/>
        <v>Allgemeine Beleuchtung [wie Korridor, Keller ausserhalb WEH]</v>
      </c>
      <c r="E568" s="64" t="s">
        <v>2000</v>
      </c>
      <c r="F568" s="115" t="s">
        <v>2250</v>
      </c>
      <c r="G568" s="65" t="s">
        <v>2251</v>
      </c>
    </row>
    <row r="569" spans="1:7" ht="25.9" customHeight="1">
      <c r="A569" s="63">
        <v>566</v>
      </c>
      <c r="D569" s="111" t="str">
        <f t="shared" ref="D569:D603" si="9">INDEX($E$4:$G$603,$A569,$A$1)</f>
        <v>Allgemeinstrom und Geräte [v.a. Umwälzpumpen etc. ausserhalb WEH]</v>
      </c>
      <c r="E569" s="64" t="s">
        <v>2001</v>
      </c>
      <c r="F569" s="115" t="s">
        <v>2252</v>
      </c>
      <c r="G569" s="65" t="s">
        <v>2253</v>
      </c>
    </row>
    <row r="570" spans="1:7" ht="25.9" customHeight="1">
      <c r="A570" s="63">
        <v>567</v>
      </c>
      <c r="D570" s="111" t="str">
        <f t="shared" si="9"/>
        <v>Effizienzklasse A+++ / A++</v>
      </c>
      <c r="E570" s="64" t="s">
        <v>2078</v>
      </c>
      <c r="F570" s="115" t="s">
        <v>2254</v>
      </c>
      <c r="G570" s="65" t="s">
        <v>2255</v>
      </c>
    </row>
    <row r="571" spans="1:7" ht="25.9" customHeight="1">
      <c r="A571" s="63">
        <v>568</v>
      </c>
      <c r="D571" s="111" t="str">
        <f t="shared" si="9"/>
        <v>Induktionsherd [heisst: Neue Küche]</v>
      </c>
      <c r="E571" s="64" t="s">
        <v>1998</v>
      </c>
      <c r="F571" s="115" t="s">
        <v>2256</v>
      </c>
      <c r="G571" s="65" t="s">
        <v>2257</v>
      </c>
    </row>
    <row r="572" spans="1:7" ht="25.9" customHeight="1">
      <c r="A572" s="63">
        <v>569</v>
      </c>
      <c r="D572" s="111" t="str">
        <f t="shared" si="9"/>
        <v>LED Effizienzklasse A++ / A+ [Leuchten austauschen]</v>
      </c>
      <c r="E572" s="64" t="s">
        <v>2079</v>
      </c>
      <c r="F572" s="115" t="s">
        <v>2258</v>
      </c>
      <c r="G572" s="65" t="s">
        <v>2259</v>
      </c>
    </row>
    <row r="573" spans="1:7" ht="25.9" customHeight="1">
      <c r="A573" s="63">
        <v>570</v>
      </c>
      <c r="D573" s="111" t="str">
        <f t="shared" si="9"/>
        <v>LED Effizienzklasse A++ / A+ und Regulierung [z.B. PIR, Minuterie]</v>
      </c>
      <c r="E573" s="64" t="s">
        <v>2080</v>
      </c>
      <c r="F573" s="115" t="s">
        <v>2260</v>
      </c>
      <c r="G573" s="65" t="s">
        <v>2261</v>
      </c>
    </row>
    <row r="574" spans="1:7" ht="25.9" customHeight="1">
      <c r="A574" s="63">
        <v>571</v>
      </c>
      <c r="D574" s="111" t="str">
        <f t="shared" si="9"/>
        <v>Effiziente Geräte für Gebäudebetrieb und Wohnnutzung</v>
      </c>
      <c r="E574" s="64" t="s">
        <v>2002</v>
      </c>
      <c r="F574" s="115" t="s">
        <v>2262</v>
      </c>
      <c r="G574" s="65" t="s">
        <v>2263</v>
      </c>
    </row>
    <row r="575" spans="1:7" ht="25.9" customHeight="1">
      <c r="A575" s="63">
        <v>572</v>
      </c>
      <c r="D575" s="111" t="str">
        <f t="shared" si="9"/>
        <v>Max</v>
      </c>
      <c r="E575" s="64" t="s">
        <v>2003</v>
      </c>
      <c r="F575" s="115" t="s">
        <v>2264</v>
      </c>
      <c r="G575" s="65" t="s">
        <v>2265</v>
      </c>
    </row>
    <row r="576" spans="1:7" ht="25.9" customHeight="1">
      <c r="A576" s="63">
        <v>573</v>
      </c>
      <c r="D576" s="111" t="str">
        <f t="shared" si="9"/>
        <v>Neubauten</v>
      </c>
      <c r="E576" s="64" t="s">
        <v>1991</v>
      </c>
      <c r="F576" s="115" t="s">
        <v>2266</v>
      </c>
      <c r="G576" s="65" t="s">
        <v>2267</v>
      </c>
    </row>
    <row r="577" spans="1:7" ht="25.9" customHeight="1">
      <c r="A577" s="63">
        <v>574</v>
      </c>
      <c r="D577" s="111" t="str">
        <f t="shared" si="9"/>
        <v>Erneuerungen</v>
      </c>
      <c r="E577" s="64" t="s">
        <v>1992</v>
      </c>
      <c r="F577" s="115" t="s">
        <v>2268</v>
      </c>
      <c r="G577" s="65" t="s">
        <v>2269</v>
      </c>
    </row>
    <row r="578" spans="1:7" ht="25.9" customHeight="1">
      <c r="A578" s="63">
        <v>575</v>
      </c>
      <c r="D578" s="111" t="str">
        <f t="shared" si="9"/>
        <v>Elektrizität</v>
      </c>
      <c r="E578" s="64" t="s">
        <v>1135</v>
      </c>
      <c r="F578" s="115" t="s">
        <v>1420</v>
      </c>
      <c r="G578" s="65" t="s">
        <v>2270</v>
      </c>
    </row>
    <row r="579" spans="1:7" ht="25.9" customHeight="1">
      <c r="A579" s="63">
        <v>576</v>
      </c>
      <c r="D579" s="111" t="str">
        <f t="shared" si="9"/>
        <v>Anzahl Vorhanden</v>
      </c>
      <c r="E579" s="64" t="s">
        <v>2051</v>
      </c>
      <c r="F579" s="115" t="s">
        <v>2271</v>
      </c>
      <c r="G579" s="65" t="s">
        <v>2272</v>
      </c>
    </row>
    <row r="580" spans="1:7" ht="25.9" customHeight="1">
      <c r="A580" s="63">
        <v>577</v>
      </c>
      <c r="D580" s="111" t="str">
        <f t="shared" si="9"/>
        <v>Anforderung</v>
      </c>
      <c r="E580" s="64" t="s">
        <v>239</v>
      </c>
      <c r="F580" s="115" t="s">
        <v>1439</v>
      </c>
      <c r="G580" s="65" t="s">
        <v>2273</v>
      </c>
    </row>
    <row r="581" spans="1:7" ht="25.9" customHeight="1">
      <c r="A581" s="63">
        <v>578</v>
      </c>
      <c r="D581" s="111" t="str">
        <f t="shared" si="9"/>
        <v>Davon Anforderung erfüllt</v>
      </c>
      <c r="E581" s="64" t="s">
        <v>2052</v>
      </c>
      <c r="F581" s="115" t="s">
        <v>2274</v>
      </c>
      <c r="G581" s="65" t="s">
        <v>2275</v>
      </c>
    </row>
    <row r="582" spans="1:7" ht="25.9" customHeight="1">
      <c r="A582" s="63">
        <v>579</v>
      </c>
      <c r="D582" s="111" t="str">
        <f t="shared" si="9"/>
        <v>Erfüllt</v>
      </c>
      <c r="E582" s="64" t="s">
        <v>2004</v>
      </c>
      <c r="F582" s="115" t="s">
        <v>2276</v>
      </c>
      <c r="G582" s="65" t="s">
        <v>2277</v>
      </c>
    </row>
    <row r="583" spans="1:7" ht="25.9" customHeight="1">
      <c r="A583" s="63">
        <v>580</v>
      </c>
      <c r="D583" s="111" t="str">
        <f t="shared" si="9"/>
        <v>Nicht erfüllt</v>
      </c>
      <c r="E583" s="64" t="s">
        <v>2005</v>
      </c>
      <c r="F583" s="115" t="s">
        <v>2278</v>
      </c>
      <c r="G583" s="65" t="s">
        <v>2279</v>
      </c>
    </row>
    <row r="584" spans="1:7" ht="25.9" customHeight="1">
      <c r="A584" s="63">
        <v>581</v>
      </c>
      <c r="D584" s="111" t="str">
        <f t="shared" si="9"/>
        <v>PV-Anlage</v>
      </c>
      <c r="E584" s="64" t="s">
        <v>2007</v>
      </c>
      <c r="F584" s="115" t="s">
        <v>2280</v>
      </c>
      <c r="G584" s="65" t="s">
        <v>2281</v>
      </c>
    </row>
    <row r="585" spans="1:7" ht="25.9" customHeight="1">
      <c r="A585" s="63">
        <v>582</v>
      </c>
      <c r="D585" s="111" t="str">
        <f t="shared" si="9"/>
        <v>Variante 1</v>
      </c>
      <c r="E585" s="64" t="s">
        <v>2008</v>
      </c>
      <c r="F585" s="115" t="s">
        <v>2282</v>
      </c>
      <c r="G585" s="65" t="s">
        <v>2008</v>
      </c>
    </row>
    <row r="586" spans="1:7" ht="25.9" customHeight="1">
      <c r="A586" s="63">
        <v>583</v>
      </c>
      <c r="D586" s="111" t="str">
        <f t="shared" si="9"/>
        <v>Globalbeurteilung von Standardfällen für die Nutzungen Wohnen, Einzelbüro, Gruppenbüro, Sitzungszimmer und Lager (ohne Kühlung)</v>
      </c>
      <c r="E586" s="64" t="s">
        <v>2011</v>
      </c>
      <c r="F586" s="115" t="s">
        <v>2283</v>
      </c>
      <c r="G586" s="65" t="s">
        <v>2284</v>
      </c>
    </row>
    <row r="587" spans="1:7" ht="25.9" customHeight="1">
      <c r="A587" s="63">
        <v>584</v>
      </c>
      <c r="D587" s="111" t="str">
        <f t="shared" si="9"/>
        <v>Variante 2</v>
      </c>
      <c r="E587" s="64" t="s">
        <v>2009</v>
      </c>
      <c r="F587" s="115" t="s">
        <v>2285</v>
      </c>
      <c r="G587" s="65" t="s">
        <v>2009</v>
      </c>
    </row>
    <row r="588" spans="1:7" ht="25.9" customHeight="1">
      <c r="A588" s="63">
        <v>585</v>
      </c>
      <c r="D588" s="111" t="str">
        <f t="shared" si="9"/>
        <v>Externer Nachweis der Kriterien gemäss SIA382/1 (ohne Kühlung)</v>
      </c>
      <c r="E588" s="64" t="s">
        <v>2012</v>
      </c>
      <c r="F588" s="115" t="s">
        <v>2286</v>
      </c>
      <c r="G588" s="65" t="s">
        <v>2287</v>
      </c>
    </row>
    <row r="589" spans="1:7" ht="25.9" customHeight="1">
      <c r="A589" s="63">
        <v>586</v>
      </c>
      <c r="D589" s="111" t="str">
        <f t="shared" si="9"/>
        <v>Variante 3</v>
      </c>
      <c r="E589" s="64" t="s">
        <v>2010</v>
      </c>
      <c r="F589" s="115" t="s">
        <v>2288</v>
      </c>
      <c r="G589" s="65" t="s">
        <v>2010</v>
      </c>
    </row>
    <row r="590" spans="1:7" ht="25.9" customHeight="1">
      <c r="A590" s="63">
        <v>587</v>
      </c>
      <c r="D590" s="111" t="str">
        <f t="shared" si="9"/>
        <v>Externer Nachweis der Kriterien gemäss SIA382/1 (mit Kühlung)</v>
      </c>
      <c r="E590" s="64" t="s">
        <v>2013</v>
      </c>
      <c r="F590" s="115" t="s">
        <v>2289</v>
      </c>
      <c r="G590" s="65" t="s">
        <v>2290</v>
      </c>
    </row>
    <row r="591" spans="1:7" ht="25.9" customHeight="1">
      <c r="A591" s="63">
        <v>588</v>
      </c>
      <c r="D591" s="111" t="str">
        <f t="shared" si="9"/>
        <v>Beilagen zu Zertifikat Antrag</v>
      </c>
      <c r="E591" s="611" t="s">
        <v>2016</v>
      </c>
      <c r="F591" s="115" t="s">
        <v>2291</v>
      </c>
      <c r="G591" s="65" t="s">
        <v>2292</v>
      </c>
    </row>
    <row r="592" spans="1:7" ht="25.9" customHeight="1">
      <c r="A592" s="63">
        <v>589</v>
      </c>
      <c r="D592" s="111" t="str">
        <f t="shared" si="9"/>
        <v>(sämtl. Beilagen sind einzureichen)</v>
      </c>
      <c r="E592" s="64" t="s">
        <v>2017</v>
      </c>
      <c r="F592" s="115" t="s">
        <v>2293</v>
      </c>
      <c r="G592" s="65" t="s">
        <v>2294</v>
      </c>
    </row>
    <row r="593" spans="1:7" ht="25.9" customHeight="1">
      <c r="A593" s="63">
        <v>590</v>
      </c>
      <c r="D593" s="111" t="str">
        <f t="shared" si="9"/>
        <v>U-Wert Dach, Aussenwand, Boden</v>
      </c>
      <c r="E593" s="64" t="s">
        <v>2018</v>
      </c>
      <c r="F593" s="115" t="s">
        <v>2295</v>
      </c>
      <c r="G593" s="65" t="s">
        <v>2296</v>
      </c>
    </row>
    <row r="594" spans="1:7" ht="25.9" customHeight="1">
      <c r="A594" s="63">
        <v>591</v>
      </c>
      <c r="D594" s="111" t="str">
        <f t="shared" si="9"/>
        <v>U-Wert Fenster (schriftl. Bestätigung Einhaltung 1.0)</v>
      </c>
      <c r="E594" s="64" t="s">
        <v>2019</v>
      </c>
      <c r="F594" s="115" t="s">
        <v>2297</v>
      </c>
      <c r="G594" s="65" t="s">
        <v>2298</v>
      </c>
    </row>
    <row r="595" spans="1:7" ht="25.9" customHeight="1">
      <c r="A595" s="63">
        <v>592</v>
      </c>
      <c r="D595" s="111" t="str">
        <f t="shared" si="9"/>
        <v>Pläne 1:50 mit Bezeichnung der Bauteile</v>
      </c>
      <c r="E595" s="64" t="s">
        <v>2020</v>
      </c>
      <c r="F595" s="115" t="s">
        <v>2299</v>
      </c>
      <c r="G595" s="65" t="s">
        <v>2300</v>
      </c>
    </row>
    <row r="596" spans="1:7" ht="25.9" customHeight="1">
      <c r="A596" s="63">
        <v>593</v>
      </c>
      <c r="D596" s="111" t="str">
        <f t="shared" si="9"/>
        <v>Situationsplan</v>
      </c>
      <c r="E596" s="64" t="s">
        <v>2021</v>
      </c>
      <c r="F596" s="115" t="s">
        <v>2301</v>
      </c>
      <c r="G596" s="65" t="s">
        <v>2302</v>
      </c>
    </row>
    <row r="597" spans="1:7" ht="25.9" customHeight="1">
      <c r="A597" s="63">
        <v>594</v>
      </c>
      <c r="D597" s="111" t="str">
        <f t="shared" si="9"/>
        <v>Unterzeichneter Ausdruck inkl. Register "Hülle &amp; Elektrizität" und "Sommer &amp; Unterlagen"</v>
      </c>
      <c r="E597" s="64" t="s">
        <v>2083</v>
      </c>
      <c r="F597" s="115" t="s">
        <v>2303</v>
      </c>
      <c r="G597" s="65" t="s">
        <v>2304</v>
      </c>
    </row>
    <row r="598" spans="1:7" ht="25.9" customHeight="1">
      <c r="A598" s="63">
        <v>595</v>
      </c>
      <c r="D598" s="111" t="str">
        <f t="shared" si="9"/>
        <v>Technische Daten Lüftungsgerät</v>
      </c>
      <c r="E598" s="64" t="s">
        <v>2022</v>
      </c>
      <c r="F598" s="115" t="s">
        <v>2305</v>
      </c>
      <c r="G598" s="65" t="s">
        <v>2306</v>
      </c>
    </row>
    <row r="599" spans="1:7" ht="25.9" customHeight="1">
      <c r="A599" s="63">
        <v>596</v>
      </c>
      <c r="D599" s="111" t="str">
        <f t="shared" si="9"/>
        <v>Technische Daten Wärmeerzeugung</v>
      </c>
      <c r="E599" s="64" t="s">
        <v>2023</v>
      </c>
      <c r="F599" s="115" t="s">
        <v>2307</v>
      </c>
      <c r="G599" s="65" t="s">
        <v>2308</v>
      </c>
    </row>
    <row r="600" spans="1:7" ht="25.9" customHeight="1">
      <c r="A600" s="63">
        <v>597</v>
      </c>
      <c r="D600" s="111" t="str">
        <f t="shared" si="9"/>
        <v>Fotografien Bestand / max. 10 Stück, total max 3 MB</v>
      </c>
      <c r="E600" s="64" t="s">
        <v>2024</v>
      </c>
      <c r="F600" s="115" t="s">
        <v>2309</v>
      </c>
      <c r="G600" s="65" t="s">
        <v>2310</v>
      </c>
    </row>
    <row r="601" spans="1:7" ht="25.9" customHeight="1">
      <c r="A601" s="63">
        <v>598</v>
      </c>
      <c r="D601" s="111" t="str">
        <f t="shared" si="9"/>
        <v>Ev. weitere Unterlagen:</v>
      </c>
      <c r="E601" s="64" t="s">
        <v>2025</v>
      </c>
      <c r="F601" s="115" t="s">
        <v>2311</v>
      </c>
      <c r="G601" s="65" t="s">
        <v>2312</v>
      </c>
    </row>
    <row r="602" spans="1:7" ht="25.9" customHeight="1">
      <c r="A602" s="63">
        <v>599</v>
      </c>
      <c r="D602" s="111" t="str">
        <f t="shared" si="9"/>
        <v>Dokumentationspflicht</v>
      </c>
      <c r="E602" s="64" t="s">
        <v>2026</v>
      </c>
      <c r="F602" s="115" t="s">
        <v>2313</v>
      </c>
      <c r="G602" s="65" t="s">
        <v>2314</v>
      </c>
    </row>
    <row r="603" spans="1:7" ht="25.9" customHeight="1">
      <c r="A603" s="63">
        <v>600</v>
      </c>
      <c r="D603" s="111" t="str">
        <f t="shared" si="9"/>
        <v>Für die Qualitätskontrolle mittels Stichprobe (20% der Gebäude) sind die Unterzeichnenden verpflichtet, den Fortschritt im Rahmen von Fotos, Rechnungskopien und technischen Dokumentationen (z.B. Produktdatenblätter) zu dokumentieren.</v>
      </c>
      <c r="E603" s="64" t="s">
        <v>2027</v>
      </c>
      <c r="F603" s="115" t="s">
        <v>2315</v>
      </c>
      <c r="G603" s="65" t="s">
        <v>2316</v>
      </c>
    </row>
    <row r="604" spans="1:7" ht="25.9" customHeight="1">
      <c r="A604" s="63">
        <v>601</v>
      </c>
      <c r="D604" s="111" t="str">
        <f>INDEX($E$4:$G$609,$A604,$A$1)</f>
        <v>Ort, Datum</v>
      </c>
      <c r="E604" s="64" t="s">
        <v>2028</v>
      </c>
      <c r="F604" s="115" t="s">
        <v>2317</v>
      </c>
      <c r="G604" s="65" t="s">
        <v>2318</v>
      </c>
    </row>
    <row r="605" spans="1:7" ht="25.9" customHeight="1">
      <c r="A605" s="63">
        <v>602</v>
      </c>
      <c r="D605" s="111" t="str">
        <f t="shared" ref="D605:D608" si="10">INDEX($E$4:$G$609,$A605,$A$1)</f>
        <v>Unterschrift</v>
      </c>
      <c r="E605" s="64" t="s">
        <v>2029</v>
      </c>
      <c r="F605" s="115" t="s">
        <v>997</v>
      </c>
      <c r="G605" s="65" t="s">
        <v>2319</v>
      </c>
    </row>
    <row r="606" spans="1:7" ht="25.9" customHeight="1">
      <c r="A606" s="63">
        <v>603</v>
      </c>
      <c r="D606" s="111" t="str">
        <f t="shared" si="10"/>
        <v>Antragstellende</v>
      </c>
      <c r="E606" s="64" t="s">
        <v>2031</v>
      </c>
      <c r="F606" s="115" t="s">
        <v>2320</v>
      </c>
      <c r="G606" s="65" t="s">
        <v>2321</v>
      </c>
    </row>
    <row r="607" spans="1:7" ht="25.9" customHeight="1">
      <c r="A607" s="63">
        <v>604</v>
      </c>
      <c r="D607" s="111" t="str">
        <f t="shared" si="10"/>
        <v>Fachplanende</v>
      </c>
      <c r="E607" s="64" t="s">
        <v>2032</v>
      </c>
      <c r="G607" s="65" t="s">
        <v>2322</v>
      </c>
    </row>
    <row r="608" spans="1:7" ht="25.9" customHeight="1">
      <c r="A608" s="63">
        <v>605</v>
      </c>
      <c r="D608" s="111" t="str">
        <f t="shared" si="10"/>
        <v>Bauherrschaft</v>
      </c>
      <c r="E608" s="64" t="s">
        <v>2030</v>
      </c>
      <c r="F608" s="115" t="s">
        <v>2323</v>
      </c>
      <c r="G608" s="65" t="s">
        <v>2324</v>
      </c>
    </row>
    <row r="609" spans="1:7" ht="25.9" customHeight="1">
      <c r="A609" s="63">
        <v>606</v>
      </c>
      <c r="D609" s="111" t="str">
        <f>INDEX($E$4:$G$625,$A609,$A$1)</f>
        <v>Die Unterzeichnenden</v>
      </c>
      <c r="E609" s="64" t="s">
        <v>2033</v>
      </c>
      <c r="F609" s="115" t="s">
        <v>2325</v>
      </c>
      <c r="G609" s="65" t="s">
        <v>2326</v>
      </c>
    </row>
    <row r="610" spans="1:7" ht="25.9" customHeight="1">
      <c r="A610" s="63">
        <v>607</v>
      </c>
      <c r="D610" s="111" t="str">
        <f t="shared" ref="D610:D622" si="11">INDEX($E$4:$G$625,$A610,$A$1)</f>
        <v>1. erklären, dass sie das aktuelle MINERGIE Nutzungsreglement zur Kenntnis genommen haben.</v>
      </c>
      <c r="E610" s="64" t="s">
        <v>2034</v>
      </c>
      <c r="F610" s="115" t="s">
        <v>2327</v>
      </c>
      <c r="G610" s="65" t="s">
        <v>2328</v>
      </c>
    </row>
    <row r="611" spans="1:7" ht="25.9" customHeight="1">
      <c r="A611" s="63">
        <v>608</v>
      </c>
      <c r="D611" s="111" t="str">
        <f t="shared" si="11"/>
        <v>2. anderkennen das MINERGIE-Reglement als integrale Bedingung jeder Nutzung der Marke MINERGIE.</v>
      </c>
      <c r="E611" s="64" t="s">
        <v>2035</v>
      </c>
      <c r="F611" s="115" t="s">
        <v>2329</v>
      </c>
      <c r="G611" s="65" t="s">
        <v>2330</v>
      </c>
    </row>
    <row r="612" spans="1:7" ht="25.9" customHeight="1">
      <c r="A612" s="63">
        <v>609</v>
      </c>
      <c r="D612" s="111" t="str">
        <f t="shared" si="11"/>
        <v>3. erklären, dass sie das aktuelle MINERGIE Gebührenreglement zur Kenntnis genommen haben.</v>
      </c>
      <c r="E612" s="64" t="s">
        <v>2036</v>
      </c>
      <c r="F612" s="115" t="s">
        <v>2331</v>
      </c>
      <c r="G612" s="65" t="s">
        <v>2332</v>
      </c>
    </row>
    <row r="613" spans="1:7" ht="25.9" customHeight="1">
      <c r="A613" s="63">
        <v>610</v>
      </c>
      <c r="D613" s="111" t="str">
        <f t="shared" si="11"/>
        <v>4. sind sich im klaren darüber, dass der Antragstellende für die bauliche Umsetzung der MINERGIE-Anforderungen gemäss Antrag verantwortlich ist und diese sicherzustellen hat, sofern erforderlich unter Beizug der notwendigen Fachleute.</v>
      </c>
      <c r="E613" s="64" t="s">
        <v>2037</v>
      </c>
      <c r="F613" s="115" t="s">
        <v>2333</v>
      </c>
      <c r="G613" s="65" t="s">
        <v>2334</v>
      </c>
    </row>
    <row r="614" spans="1:7" ht="25.9" customHeight="1">
      <c r="A614" s="63">
        <v>611</v>
      </c>
      <c r="D614" s="111" t="str">
        <f t="shared" si="11"/>
        <v>5. sind mit der Veröffentlichung der registrierten Daten (Architekt/in, Planer/in, Gebäudestandort, Bauherrschaft) einverstanden</v>
      </c>
      <c r="E614" s="64" t="s">
        <v>2038</v>
      </c>
      <c r="F614" s="115" t="s">
        <v>2335</v>
      </c>
      <c r="G614" s="65" t="s">
        <v>2336</v>
      </c>
    </row>
    <row r="615" spans="1:7" ht="25.9" customHeight="1">
      <c r="A615" s="63">
        <v>612</v>
      </c>
      <c r="D615" s="111" t="str">
        <f t="shared" si="11"/>
        <v>Systemlösung</v>
      </c>
      <c r="E615" s="64" t="s">
        <v>1954</v>
      </c>
      <c r="F615" s="115" t="s">
        <v>2206</v>
      </c>
      <c r="G615" s="65" t="s">
        <v>2207</v>
      </c>
    </row>
    <row r="616" spans="1:7" ht="25.9" customHeight="1">
      <c r="A616" s="63">
        <v>613</v>
      </c>
      <c r="D616" s="111" t="str">
        <f t="shared" si="11"/>
        <v>Wärmeschutz</v>
      </c>
      <c r="E616" s="64" t="s">
        <v>2039</v>
      </c>
      <c r="F616" s="115" t="s">
        <v>2337</v>
      </c>
      <c r="G616" s="65" t="s">
        <v>2338</v>
      </c>
    </row>
    <row r="617" spans="1:7" ht="25.9" customHeight="1">
      <c r="A617" s="63">
        <v>614</v>
      </c>
      <c r="D617" s="111" t="str">
        <f t="shared" si="11"/>
        <v>Anforderungen MINERGIE erfüllt</v>
      </c>
      <c r="E617" s="64" t="s">
        <v>2040</v>
      </c>
      <c r="F617" s="115" t="s">
        <v>2339</v>
      </c>
      <c r="G617" s="65" t="s">
        <v>2340</v>
      </c>
    </row>
    <row r="618" spans="1:7" ht="25.9" customHeight="1">
      <c r="A618" s="63">
        <v>615</v>
      </c>
      <c r="D618" s="111" t="str">
        <f t="shared" si="11"/>
        <v>Anforderungen MINERGIE nicht erfüllt</v>
      </c>
      <c r="E618" s="64" t="s">
        <v>2041</v>
      </c>
      <c r="F618" s="115" t="s">
        <v>2341</v>
      </c>
      <c r="G618" s="65" t="s">
        <v>2342</v>
      </c>
    </row>
    <row r="619" spans="1:7" ht="25.9" customHeight="1">
      <c r="A619" s="63">
        <v>616</v>
      </c>
      <c r="D619" s="111" t="str">
        <f t="shared" si="11"/>
        <v>Hülle &amp; Wärmeerzeugung</v>
      </c>
      <c r="E619" s="64" t="s">
        <v>2043</v>
      </c>
      <c r="G619" s="65" t="s">
        <v>2343</v>
      </c>
    </row>
    <row r="620" spans="1:7" ht="25.9" customHeight="1">
      <c r="A620" s="63">
        <v>617</v>
      </c>
      <c r="D620" s="111" t="str">
        <f t="shared" si="11"/>
        <v>Sommerlicher Wärmeschutz</v>
      </c>
      <c r="E620" s="64" t="s">
        <v>2042</v>
      </c>
      <c r="F620" s="115" t="s">
        <v>2344</v>
      </c>
      <c r="G620" s="65" t="s">
        <v>2345</v>
      </c>
    </row>
    <row r="621" spans="1:7" ht="25.9" customHeight="1">
      <c r="A621" s="63">
        <v>618</v>
      </c>
      <c r="D621" s="111" t="str">
        <f t="shared" si="11"/>
        <v>Abluft Wärmepumpe</v>
      </c>
      <c r="E621" s="64" t="s">
        <v>2044</v>
      </c>
      <c r="F621" s="115" t="s">
        <v>2346</v>
      </c>
      <c r="G621" s="65" t="s">
        <v>2347</v>
      </c>
    </row>
    <row r="622" spans="1:7" ht="25.9" customHeight="1">
      <c r="A622" s="63">
        <v>619</v>
      </c>
      <c r="D622" s="111" t="str">
        <f t="shared" si="11"/>
        <v>Auto. Fensterlüftung</v>
      </c>
      <c r="E622" s="64" t="s">
        <v>2048</v>
      </c>
      <c r="F622" s="115" t="s">
        <v>2348</v>
      </c>
      <c r="G622" s="65" t="s">
        <v>2349</v>
      </c>
    </row>
    <row r="623" spans="1:7" ht="25.9" customHeight="1">
      <c r="A623" s="63">
        <v>620</v>
      </c>
      <c r="D623" s="111" t="str">
        <f>INDEX($E$4:$G$1000,$A623,$A$1)</f>
        <v>Gebäudeenergieausweis der Kantone</v>
      </c>
      <c r="E623" s="64" t="s">
        <v>2045</v>
      </c>
      <c r="F623" s="115" t="s">
        <v>2350</v>
      </c>
      <c r="G623" s="65" t="s">
        <v>2351</v>
      </c>
    </row>
    <row r="624" spans="1:7" ht="25.9" customHeight="1">
      <c r="A624" s="63">
        <v>621</v>
      </c>
      <c r="D624" s="111" t="str">
        <f t="shared" ref="D624:D687" si="12">INDEX($E$4:$G$1000,$A624,$A$1)</f>
        <v>Abgabe System</v>
      </c>
      <c r="E624" s="64" t="s">
        <v>2062</v>
      </c>
      <c r="F624" s="115" t="s">
        <v>2352</v>
      </c>
      <c r="G624" s="65" t="s">
        <v>2353</v>
      </c>
    </row>
    <row r="625" spans="1:7" ht="25.9" customHeight="1">
      <c r="A625" s="63">
        <v>622</v>
      </c>
      <c r="D625" s="111" t="str">
        <f t="shared" si="12"/>
        <v>Fussbodenheizung</v>
      </c>
      <c r="E625" s="64" t="s">
        <v>2046</v>
      </c>
      <c r="F625" s="115" t="s">
        <v>2354</v>
      </c>
      <c r="G625" s="65" t="s">
        <v>2355</v>
      </c>
    </row>
    <row r="626" spans="1:7" ht="25.9" customHeight="1">
      <c r="A626" s="63">
        <v>623</v>
      </c>
      <c r="D626" s="111" t="str">
        <f t="shared" si="12"/>
        <v>Heizkörper</v>
      </c>
      <c r="E626" s="64" t="s">
        <v>2047</v>
      </c>
      <c r="F626" s="115" t="s">
        <v>2356</v>
      </c>
      <c r="G626" s="65" t="s">
        <v>2357</v>
      </c>
    </row>
    <row r="627" spans="1:7" ht="25.9" customHeight="1">
      <c r="A627" s="63">
        <v>624</v>
      </c>
      <c r="D627" s="111" t="str">
        <f t="shared" si="12"/>
        <v>Anzahl Zimmer mit Zuluft</v>
      </c>
      <c r="E627" s="64" t="s">
        <v>2049</v>
      </c>
      <c r="F627" s="115" t="s">
        <v>2358</v>
      </c>
      <c r="G627" s="65" t="s">
        <v>2359</v>
      </c>
    </row>
    <row r="628" spans="1:7" ht="25.9" customHeight="1">
      <c r="A628" s="63">
        <v>625</v>
      </c>
      <c r="D628" s="111" t="str">
        <f t="shared" si="12"/>
        <v>Elektrizitätsnachweis Option</v>
      </c>
      <c r="E628" s="64" t="s">
        <v>2053</v>
      </c>
      <c r="F628" s="115" t="s">
        <v>2360</v>
      </c>
      <c r="G628" s="65" t="s">
        <v>2361</v>
      </c>
    </row>
    <row r="629" spans="1:7" ht="25.9" customHeight="1">
      <c r="A629" s="63">
        <v>626</v>
      </c>
      <c r="D629" s="111" t="str">
        <f t="shared" si="12"/>
        <v>Elektrogeräte</v>
      </c>
      <c r="E629" s="64" t="s">
        <v>2054</v>
      </c>
      <c r="F629" s="115" t="s">
        <v>2362</v>
      </c>
      <c r="G629" s="65" t="s">
        <v>2363</v>
      </c>
    </row>
    <row r="630" spans="1:7" ht="25.9" customHeight="1">
      <c r="A630" s="63">
        <v>627</v>
      </c>
      <c r="D630" s="111" t="str">
        <f t="shared" si="12"/>
        <v>Absorberfläche Solarthermie</v>
      </c>
      <c r="E630" s="64" t="s">
        <v>2055</v>
      </c>
      <c r="F630" s="115" t="s">
        <v>2364</v>
      </c>
      <c r="G630" s="65" t="s">
        <v>2365</v>
      </c>
    </row>
    <row r="631" spans="1:7" ht="25.9" customHeight="1">
      <c r="A631" s="63">
        <v>628</v>
      </c>
      <c r="D631" s="111" t="str">
        <f t="shared" si="12"/>
        <v>Beilagen unvollständig</v>
      </c>
      <c r="E631" s="64" t="s">
        <v>2060</v>
      </c>
      <c r="F631" s="115" t="s">
        <v>2366</v>
      </c>
      <c r="G631" s="65" t="s">
        <v>2367</v>
      </c>
    </row>
    <row r="632" spans="1:7" ht="25.9" customHeight="1">
      <c r="A632" s="63">
        <v>629</v>
      </c>
      <c r="D632" s="111" t="str">
        <f t="shared" si="12"/>
        <v>Neubauteil</v>
      </c>
      <c r="E632" s="64" t="s">
        <v>2064</v>
      </c>
      <c r="F632" s="115" t="s">
        <v>2368</v>
      </c>
      <c r="G632" s="65" t="s">
        <v>2369</v>
      </c>
    </row>
    <row r="633" spans="1:7" ht="25.9" customHeight="1">
      <c r="A633" s="63">
        <v>630</v>
      </c>
      <c r="D633" s="111" t="str">
        <f t="shared" si="12"/>
        <v>Energiebezugsfläche EBF Neubauteil</v>
      </c>
      <c r="E633" s="64" t="s">
        <v>2065</v>
      </c>
      <c r="F633" s="115" t="s">
        <v>2370</v>
      </c>
      <c r="G633" s="65" t="s">
        <v>2371</v>
      </c>
    </row>
    <row r="634" spans="1:7" ht="25.9" customHeight="1">
      <c r="A634" s="63">
        <v>631</v>
      </c>
      <c r="D634" s="111" t="str">
        <f t="shared" si="12"/>
        <v>Nachweisoption Gebäudehülle</v>
      </c>
      <c r="E634" s="64" t="s">
        <v>2066</v>
      </c>
      <c r="F634" s="115" t="s">
        <v>2372</v>
      </c>
      <c r="G634" s="65" t="s">
        <v>2373</v>
      </c>
    </row>
    <row r="635" spans="1:7" ht="25.9" customHeight="1">
      <c r="A635" s="63">
        <v>632</v>
      </c>
      <c r="D635" s="111" t="str">
        <f t="shared" si="12"/>
        <v>U-Werte</v>
      </c>
      <c r="E635" s="64" t="s">
        <v>2068</v>
      </c>
      <c r="F635" s="115" t="s">
        <v>2374</v>
      </c>
      <c r="G635" s="65" t="s">
        <v>2375</v>
      </c>
    </row>
    <row r="636" spans="1:7" ht="25.9" customHeight="1">
      <c r="A636" s="63">
        <v>633</v>
      </c>
      <c r="D636" s="111" t="str">
        <f t="shared" si="12"/>
        <v>GEAK</v>
      </c>
      <c r="E636" s="64" t="s">
        <v>2067</v>
      </c>
      <c r="F636" s="115" t="s">
        <v>2376</v>
      </c>
      <c r="G636" s="65" t="s">
        <v>2377</v>
      </c>
    </row>
    <row r="637" spans="1:7" ht="25.9" customHeight="1">
      <c r="A637" s="63">
        <v>634</v>
      </c>
      <c r="D637" s="111" t="str">
        <f t="shared" si="12"/>
        <v>Umbau</v>
      </c>
      <c r="E637" s="64" t="s">
        <v>2071</v>
      </c>
      <c r="F637" s="115" t="s">
        <v>2378</v>
      </c>
      <c r="G637" s="65" t="s">
        <v>2379</v>
      </c>
    </row>
    <row r="638" spans="1:7" ht="25.9" customHeight="1">
      <c r="A638" s="63">
        <v>635</v>
      </c>
      <c r="D638" s="111" t="str">
        <f t="shared" si="12"/>
        <v>Neubau</v>
      </c>
      <c r="E638" s="64" t="s">
        <v>325</v>
      </c>
      <c r="F638" s="115" t="s">
        <v>943</v>
      </c>
      <c r="G638" s="65" t="s">
        <v>2380</v>
      </c>
    </row>
    <row r="639" spans="1:7" ht="25.9" customHeight="1">
      <c r="A639" s="63">
        <v>636</v>
      </c>
      <c r="D639" s="111" t="str">
        <f t="shared" si="12"/>
        <v>EBF Erweiterung</v>
      </c>
      <c r="E639" s="64" t="s">
        <v>2105</v>
      </c>
      <c r="F639" s="115" t="s">
        <v>2381</v>
      </c>
      <c r="G639" s="65" t="s">
        <v>2382</v>
      </c>
    </row>
    <row r="640" spans="1:7" ht="25.9" customHeight="1">
      <c r="A640" s="63">
        <v>637</v>
      </c>
      <c r="D640" s="111" t="str">
        <f t="shared" si="12"/>
        <v>Typ Wärmepumpe</v>
      </c>
      <c r="E640" s="64" t="s">
        <v>2072</v>
      </c>
      <c r="F640" s="115" t="s">
        <v>2383</v>
      </c>
      <c r="G640" s="65" t="s">
        <v>2384</v>
      </c>
    </row>
    <row r="641" spans="1:7" ht="25.9" customHeight="1">
      <c r="A641" s="63">
        <v>638</v>
      </c>
      <c r="D641" s="111" t="str">
        <f t="shared" si="12"/>
        <v>Flächenberechnung (in %) der gedämmten Anteile</v>
      </c>
      <c r="E641" s="64" t="s">
        <v>2073</v>
      </c>
      <c r="F641" s="115" t="s">
        <v>2385</v>
      </c>
      <c r="G641" s="65" t="s">
        <v>2386</v>
      </c>
    </row>
    <row r="642" spans="1:7" ht="25.9" customHeight="1">
      <c r="A642" s="63">
        <v>639</v>
      </c>
      <c r="D642" s="111" t="str">
        <f t="shared" si="12"/>
        <v>Systeme 2-4</v>
      </c>
      <c r="E642" s="64" t="s">
        <v>2074</v>
      </c>
      <c r="F642" s="115" t="s">
        <v>2387</v>
      </c>
      <c r="G642" s="65" t="s">
        <v>2388</v>
      </c>
    </row>
    <row r="643" spans="1:7" ht="25.9" customHeight="1">
      <c r="A643" s="63">
        <v>640</v>
      </c>
      <c r="D643" s="111" t="str">
        <f t="shared" si="12"/>
        <v>Ungültige Systemlösung !</v>
      </c>
      <c r="E643" s="64" t="s">
        <v>2075</v>
      </c>
      <c r="F643" s="115" t="s">
        <v>2389</v>
      </c>
      <c r="G643" s="65" t="s">
        <v>2390</v>
      </c>
    </row>
    <row r="644" spans="1:7" ht="25.9" customHeight="1">
      <c r="A644" s="63">
        <v>641</v>
      </c>
      <c r="D644" s="111" t="str">
        <f t="shared" si="12"/>
        <v>Ungültige Wärmeerzeugung !</v>
      </c>
      <c r="E644" s="64" t="s">
        <v>2076</v>
      </c>
      <c r="F644" s="115" t="s">
        <v>2391</v>
      </c>
      <c r="G644" s="65" t="s">
        <v>2392</v>
      </c>
    </row>
    <row r="645" spans="1:7" ht="25.9" customHeight="1">
      <c r="A645" s="63">
        <v>642</v>
      </c>
      <c r="D645" s="111" t="str">
        <f t="shared" si="12"/>
        <v>Formular Systemerneuerungen</v>
      </c>
      <c r="E645" s="64" t="s">
        <v>2077</v>
      </c>
      <c r="F645" s="115" t="s">
        <v>2393</v>
      </c>
      <c r="G645" s="65" t="s">
        <v>2394</v>
      </c>
    </row>
    <row r="646" spans="1:7" ht="25.9" customHeight="1">
      <c r="A646" s="63">
        <v>643</v>
      </c>
      <c r="D646" s="111" t="str">
        <f t="shared" si="12"/>
        <v>v 2019.1</v>
      </c>
      <c r="E646" s="64" t="s">
        <v>2441</v>
      </c>
      <c r="F646" s="115" t="s">
        <v>2441</v>
      </c>
      <c r="G646" s="65" t="s">
        <v>2441</v>
      </c>
    </row>
    <row r="647" spans="1:7" ht="25.9" customHeight="1">
      <c r="A647" s="63">
        <v>644</v>
      </c>
      <c r="D647" s="111" t="str">
        <f t="shared" si="12"/>
        <v>Umbau &amp; Neubau</v>
      </c>
      <c r="E647" s="64" t="s">
        <v>2081</v>
      </c>
      <c r="F647" s="115" t="s">
        <v>2395</v>
      </c>
      <c r="G647" s="65" t="s">
        <v>2396</v>
      </c>
    </row>
    <row r="648" spans="1:7" ht="25.9" customHeight="1">
      <c r="A648" s="63">
        <v>645</v>
      </c>
      <c r="D648" s="111" t="str">
        <f t="shared" si="12"/>
        <v>Neubau Anteil zu gross für Nachweis mit Systemerneuerung!</v>
      </c>
      <c r="E648" s="64" t="s">
        <v>2082</v>
      </c>
      <c r="F648" s="115" t="s">
        <v>2397</v>
      </c>
      <c r="G648" s="65" t="s">
        <v>2398</v>
      </c>
    </row>
    <row r="649" spans="1:7" ht="25.9" customHeight="1">
      <c r="A649" s="63">
        <v>646</v>
      </c>
      <c r="D649" s="111" t="str">
        <f t="shared" si="12"/>
        <v>5 Wp pro m2 EBF</v>
      </c>
      <c r="E649" s="64" t="s">
        <v>2084</v>
      </c>
      <c r="F649" s="115" t="s">
        <v>2399</v>
      </c>
      <c r="G649" s="65" t="s">
        <v>2400</v>
      </c>
    </row>
    <row r="650" spans="1:7" ht="25.9" customHeight="1">
      <c r="A650" s="63">
        <v>647</v>
      </c>
      <c r="D650" s="111" t="str">
        <f t="shared" si="12"/>
        <v>Vorhanden &lt; erfüllt</v>
      </c>
      <c r="E650" s="64" t="s">
        <v>2085</v>
      </c>
      <c r="F650" s="115" t="s">
        <v>2401</v>
      </c>
      <c r="G650" s="65" t="s">
        <v>2402</v>
      </c>
    </row>
    <row r="651" spans="1:7" ht="25.9" customHeight="1">
      <c r="A651" s="63">
        <v>648</v>
      </c>
      <c r="D651" s="111" t="str">
        <f t="shared" si="12"/>
        <v>Energiebezugsfläche EBF bestehend</v>
      </c>
      <c r="E651" s="64" t="s">
        <v>2104</v>
      </c>
      <c r="F651" s="115" t="s">
        <v>2403</v>
      </c>
      <c r="G651" s="65" t="s">
        <v>2404</v>
      </c>
    </row>
    <row r="652" spans="1:7" ht="25.9" customHeight="1">
      <c r="A652" s="63">
        <v>649</v>
      </c>
      <c r="D652" s="111" t="str">
        <f t="shared" si="12"/>
        <v>Neubauteile müssen den gesetzlichen Anforderungen entsprechen</v>
      </c>
      <c r="E652" s="64" t="s">
        <v>2107</v>
      </c>
      <c r="F652" s="115" t="s">
        <v>2405</v>
      </c>
      <c r="G652" s="65" t="s">
        <v>2406</v>
      </c>
    </row>
    <row r="653" spans="1:7" ht="25.9" customHeight="1">
      <c r="A653" s="63">
        <v>650</v>
      </c>
      <c r="D653" s="111" t="str">
        <f t="shared" si="12"/>
        <v>Zuluft-Volumenstrom &gt; 1000 m3/h Wärmerückgewinnung zwingend</v>
      </c>
      <c r="E653" s="64" t="s">
        <v>2108</v>
      </c>
      <c r="F653" s="115" t="s">
        <v>2407</v>
      </c>
      <c r="G653" s="65" t="s">
        <v>2408</v>
      </c>
    </row>
    <row r="654" spans="1:7" ht="25.9" customHeight="1">
      <c r="A654" s="63">
        <v>651</v>
      </c>
      <c r="D654" s="111" t="str">
        <f t="shared" si="12"/>
        <v>Vorlauftemperatur zu hoch</v>
      </c>
      <c r="E654" s="64" t="s">
        <v>2109</v>
      </c>
      <c r="F654" s="115" t="s">
        <v>2409</v>
      </c>
      <c r="G654" s="65" t="s">
        <v>2410</v>
      </c>
    </row>
    <row r="655" spans="1:7" ht="25.9" customHeight="1">
      <c r="A655" s="63">
        <v>652</v>
      </c>
      <c r="D655" s="111" t="str">
        <f t="shared" si="12"/>
        <v>Wärmerückgewinnung erforderlich</v>
      </c>
      <c r="E655" s="64" t="s">
        <v>2110</v>
      </c>
      <c r="F655" s="115" t="s">
        <v>2411</v>
      </c>
      <c r="G655" s="65" t="s">
        <v>2412</v>
      </c>
    </row>
    <row r="656" spans="1:7" ht="25.9" customHeight="1">
      <c r="A656" s="63">
        <v>653</v>
      </c>
      <c r="D656" s="111" t="str">
        <f t="shared" si="12"/>
        <v>Anforderunng:</v>
      </c>
      <c r="E656" s="64" t="s">
        <v>2111</v>
      </c>
      <c r="F656" s="115" t="s">
        <v>2413</v>
      </c>
      <c r="G656" s="65" t="s">
        <v>1536</v>
      </c>
    </row>
    <row r="657" spans="1:7" ht="25.9" customHeight="1">
      <c r="A657" s="63">
        <v>654</v>
      </c>
      <c r="D657" s="111" t="str">
        <f t="shared" si="12"/>
        <v>Absorberfläche zu klein</v>
      </c>
      <c r="E657" s="64" t="s">
        <v>2112</v>
      </c>
      <c r="F657" s="115" t="s">
        <v>2414</v>
      </c>
      <c r="G657" s="65" t="s">
        <v>2415</v>
      </c>
    </row>
    <row r="658" spans="1:7" ht="25.9" customHeight="1">
      <c r="A658" s="63">
        <v>655</v>
      </c>
      <c r="D658" s="111" t="str">
        <f t="shared" si="12"/>
        <v>Anforderungen an Komfortkriterien gemäss Nachweis Sommerlicher Wärmeschutz erfüllt?</v>
      </c>
      <c r="E658" s="64" t="s">
        <v>2434</v>
      </c>
      <c r="F658" s="115" t="s">
        <v>2442</v>
      </c>
      <c r="G658" s="65" t="s">
        <v>2443</v>
      </c>
    </row>
    <row r="659" spans="1:7" ht="25.9" customHeight="1">
      <c r="A659" s="63">
        <v>656</v>
      </c>
      <c r="D659" s="111" t="str">
        <f t="shared" si="12"/>
        <v>Bis auf weiteres zulässig</v>
      </c>
      <c r="E659" s="64" t="s">
        <v>2115</v>
      </c>
      <c r="F659" s="115" t="s">
        <v>2444</v>
      </c>
      <c r="G659" s="65" t="s">
        <v>2445</v>
      </c>
    </row>
    <row r="660" spans="1:7" ht="25.9" customHeight="1">
      <c r="A660" s="63">
        <v>657</v>
      </c>
      <c r="D660" s="111" t="str">
        <f t="shared" si="12"/>
        <v>Variante 1</v>
      </c>
      <c r="E660" s="64" t="s">
        <v>2008</v>
      </c>
      <c r="F660" s="115" t="s">
        <v>2008</v>
      </c>
      <c r="G660" s="65" t="s">
        <v>2008</v>
      </c>
    </row>
    <row r="661" spans="1:7" ht="25.9" customHeight="1">
      <c r="A661" s="63">
        <v>658</v>
      </c>
      <c r="D661" s="111" t="str">
        <f t="shared" si="12"/>
        <v>Variante 2</v>
      </c>
      <c r="E661" s="64" t="s">
        <v>2009</v>
      </c>
      <c r="F661" s="115" t="s">
        <v>2009</v>
      </c>
      <c r="G661" s="65" t="s">
        <v>2009</v>
      </c>
    </row>
    <row r="662" spans="1:7" ht="25.9" customHeight="1">
      <c r="A662" s="63">
        <v>659</v>
      </c>
      <c r="D662" s="111" t="str">
        <f t="shared" si="12"/>
        <v>Externer Nachweis der Kriterien gemäss SIA382/1 und SIA 180 (ohne Kühlung)</v>
      </c>
      <c r="E662" s="64" t="s">
        <v>2116</v>
      </c>
      <c r="F662" s="115" t="s">
        <v>2448</v>
      </c>
      <c r="G662" s="65" t="s">
        <v>2449</v>
      </c>
    </row>
    <row r="663" spans="1:7" ht="25.9" customHeight="1">
      <c r="A663" s="63">
        <v>660</v>
      </c>
      <c r="D663" s="111" t="str">
        <f t="shared" si="12"/>
        <v>Wohnen (EFH, MFH), Räume mit bis zu 2 Fassaden, Betondecke (&gt;80% frei)</v>
      </c>
      <c r="E663" s="64" t="s">
        <v>2117</v>
      </c>
      <c r="F663" s="115" t="s">
        <v>2450</v>
      </c>
      <c r="G663" s="65" t="s">
        <v>2451</v>
      </c>
    </row>
    <row r="664" spans="1:7" ht="25.9" customHeight="1">
      <c r="A664" s="63">
        <v>661</v>
      </c>
      <c r="D664" s="111" t="str">
        <f t="shared" si="12"/>
        <v>- Maximale Glasflächenzahl:</v>
      </c>
      <c r="E664" s="64" t="s">
        <v>2118</v>
      </c>
      <c r="F664" s="115" t="s">
        <v>2452</v>
      </c>
      <c r="G664" s="65" t="s">
        <v>2453</v>
      </c>
    </row>
    <row r="665" spans="1:7" ht="25.9" customHeight="1">
      <c r="A665" s="63">
        <v>662</v>
      </c>
      <c r="D665" s="111" t="str">
        <f t="shared" si="12"/>
        <v>Wohnen (EFH, MFH), Räume mit bis zu 2 Fassaden, Holzdecke und Zementunterlagsboden mit min. 6 cm oder Anhydrit min. 5 cm Stärke</v>
      </c>
      <c r="E665" s="64" t="s">
        <v>2119</v>
      </c>
      <c r="F665" s="115" t="s">
        <v>2454</v>
      </c>
      <c r="G665" s="65" t="s">
        <v>2455</v>
      </c>
    </row>
    <row r="666" spans="1:7" ht="25.9" customHeight="1">
      <c r="A666" s="63">
        <v>663</v>
      </c>
      <c r="D666" s="111" t="str">
        <f t="shared" si="12"/>
        <v>Wohnen (EFH, MFH), Räume mit 1 Fassade, Betondecke (&gt;80% frei) SSE-SSW-Orientierung und Verschattung durch Balkon mit 1 Meter Tiefe</v>
      </c>
      <c r="E666" s="64" t="s">
        <v>2120</v>
      </c>
      <c r="F666" s="115" t="s">
        <v>2456</v>
      </c>
      <c r="G666" s="65" t="s">
        <v>2457</v>
      </c>
    </row>
    <row r="667" spans="1:7" ht="25.9" customHeight="1">
      <c r="A667" s="63">
        <v>664</v>
      </c>
      <c r="D667" s="111" t="str">
        <f t="shared" si="12"/>
        <v>Einzelbüro, Gruppenbüro, Räume mit bis zu 2 Fassaden, Betondecke (&gt; 40% frei) und automat. Steuerung des Sonnenschutzes. G-Wert Glas ≤ 30%</v>
      </c>
      <c r="E667" s="64" t="s">
        <v>2121</v>
      </c>
      <c r="F667" s="115" t="s">
        <v>2458</v>
      </c>
      <c r="G667" s="65" t="s">
        <v>2459</v>
      </c>
    </row>
    <row r="668" spans="1:7" ht="25.9" customHeight="1">
      <c r="A668" s="63">
        <v>665</v>
      </c>
      <c r="D668" s="111" t="str">
        <f t="shared" si="12"/>
        <v>Kanton:</v>
      </c>
      <c r="E668" s="64" t="s">
        <v>311</v>
      </c>
      <c r="F668" s="115" t="s">
        <v>397</v>
      </c>
      <c r="G668" s="65" t="s">
        <v>668</v>
      </c>
    </row>
    <row r="669" spans="1:7" ht="25.9" customHeight="1">
      <c r="A669" s="63">
        <v>666</v>
      </c>
      <c r="D669" s="111" t="str">
        <f t="shared" si="12"/>
        <v>Klimastation:</v>
      </c>
      <c r="E669" s="64" t="s">
        <v>344</v>
      </c>
      <c r="F669" s="115" t="s">
        <v>938</v>
      </c>
      <c r="G669" s="65" t="s">
        <v>680</v>
      </c>
    </row>
    <row r="670" spans="1:7" ht="25.9" customHeight="1">
      <c r="A670" s="63">
        <v>667</v>
      </c>
      <c r="D670" s="111" t="str">
        <f t="shared" si="12"/>
        <v>Anforderungen an den baulichen sommerlichen Wärmeschutz gemäss Nachweis Sommerlicher Wärmeschutz Variante 2 erfüllt?</v>
      </c>
      <c r="E670" s="64" t="s">
        <v>2433</v>
      </c>
      <c r="F670" s="115" t="s">
        <v>2460</v>
      </c>
      <c r="G670" s="65" t="s">
        <v>2461</v>
      </c>
    </row>
    <row r="671" spans="1:7" ht="25.9" customHeight="1">
      <c r="A671" s="63">
        <v>668</v>
      </c>
      <c r="D671" s="111" t="str">
        <f t="shared" si="12"/>
        <v>- Keine Oblichter</v>
      </c>
      <c r="E671" s="73" t="s">
        <v>2436</v>
      </c>
      <c r="F671" s="115" t="s">
        <v>2462</v>
      </c>
      <c r="G671" s="65" t="s">
        <v>2463</v>
      </c>
    </row>
    <row r="672" spans="1:7" ht="25.9" customHeight="1">
      <c r="A672" s="63">
        <v>669</v>
      </c>
      <c r="D672" s="111" t="str">
        <f t="shared" si="12"/>
        <v>- Aussen liegender beweglicher Sonnenschutz mit Rolläden oder Rafflamellenstoren (g-Wert-total max 0.1)</v>
      </c>
      <c r="E672" s="73" t="s">
        <v>2437</v>
      </c>
      <c r="F672" s="115" t="s">
        <v>2464</v>
      </c>
      <c r="G672" s="65" t="s">
        <v>2465</v>
      </c>
    </row>
    <row r="673" spans="1:7" ht="25.9" customHeight="1">
      <c r="A673" s="63">
        <v>670</v>
      </c>
      <c r="D673" s="111" t="str">
        <f t="shared" si="12"/>
        <v>- Eine Nachtauskühlung mit Fensterlüftung ist möglich (Hinweis: Der Einbruchschutz wird im Rahmen der Minergie-Zertifizierung generell nicht gefrüft).</v>
      </c>
      <c r="E673" s="73" t="s">
        <v>2438</v>
      </c>
      <c r="F673" s="115" t="s">
        <v>2466</v>
      </c>
      <c r="G673" s="65" t="s">
        <v>2467</v>
      </c>
    </row>
    <row r="674" spans="1:7" ht="25.9" customHeight="1">
      <c r="A674" s="63">
        <v>671</v>
      </c>
      <c r="D674" s="111" t="str">
        <f t="shared" si="12"/>
        <v>- Interne Wärmelasten nicht höher als die Standardwerte im Merkblatt SIA 2024</v>
      </c>
      <c r="E674" s="73" t="s">
        <v>2439</v>
      </c>
      <c r="F674" s="115" t="s">
        <v>2468</v>
      </c>
      <c r="G674" s="65" t="s">
        <v>2469</v>
      </c>
    </row>
    <row r="675" spans="1:7" ht="25.9" customHeight="1">
      <c r="A675" s="63">
        <v>672</v>
      </c>
      <c r="D675" s="111" t="str">
        <f t="shared" si="12"/>
        <v>- Windfestigkeit des aussenliegenden beweglichen Sonnenschutzes mindestens Windwiderstandsklasse 5</v>
      </c>
      <c r="E675" s="73" t="s">
        <v>2440</v>
      </c>
      <c r="F675" s="115" t="s">
        <v>2446</v>
      </c>
      <c r="G675" s="65" t="s">
        <v>2447</v>
      </c>
    </row>
    <row r="676" spans="1:7" ht="25.9" customHeight="1">
      <c r="A676" s="63">
        <v>673</v>
      </c>
      <c r="D676" s="111">
        <f t="shared" si="12"/>
        <v>0</v>
      </c>
    </row>
    <row r="677" spans="1:7" ht="25.9" customHeight="1">
      <c r="A677" s="63">
        <v>674</v>
      </c>
      <c r="D677" s="111">
        <f t="shared" si="12"/>
        <v>0</v>
      </c>
    </row>
    <row r="678" spans="1:7" ht="25.9" customHeight="1">
      <c r="A678" s="63">
        <v>675</v>
      </c>
      <c r="D678" s="111">
        <f t="shared" si="12"/>
        <v>0</v>
      </c>
    </row>
    <row r="679" spans="1:7" ht="25.9" customHeight="1">
      <c r="A679" s="63">
        <v>676</v>
      </c>
      <c r="D679" s="111">
        <f t="shared" si="12"/>
        <v>0</v>
      </c>
    </row>
    <row r="680" spans="1:7" ht="25.9" customHeight="1">
      <c r="A680" s="63">
        <v>677</v>
      </c>
      <c r="D680" s="111">
        <f t="shared" si="12"/>
        <v>0</v>
      </c>
    </row>
    <row r="681" spans="1:7" ht="25.9" customHeight="1">
      <c r="A681" s="63">
        <v>678</v>
      </c>
      <c r="D681" s="111">
        <f t="shared" si="12"/>
        <v>0</v>
      </c>
    </row>
    <row r="682" spans="1:7" ht="25.9" customHeight="1">
      <c r="A682" s="63">
        <v>679</v>
      </c>
      <c r="D682" s="111">
        <f t="shared" si="12"/>
        <v>0</v>
      </c>
    </row>
    <row r="683" spans="1:7" ht="25.9" customHeight="1">
      <c r="A683" s="63">
        <v>680</v>
      </c>
      <c r="D683" s="111">
        <f t="shared" si="12"/>
        <v>0</v>
      </c>
    </row>
    <row r="684" spans="1:7" ht="25.9" customHeight="1">
      <c r="A684" s="63">
        <v>681</v>
      </c>
      <c r="D684" s="111">
        <f t="shared" si="12"/>
        <v>0</v>
      </c>
    </row>
    <row r="685" spans="1:7" ht="25.9" customHeight="1">
      <c r="A685" s="63">
        <v>682</v>
      </c>
      <c r="D685" s="111">
        <f t="shared" si="12"/>
        <v>0</v>
      </c>
    </row>
    <row r="686" spans="1:7" ht="25.9" customHeight="1">
      <c r="A686" s="63">
        <v>683</v>
      </c>
      <c r="D686" s="111">
        <f t="shared" si="12"/>
        <v>0</v>
      </c>
    </row>
    <row r="687" spans="1:7" ht="25.9" customHeight="1">
      <c r="A687" s="63">
        <v>684</v>
      </c>
      <c r="D687" s="111">
        <f t="shared" si="12"/>
        <v>0</v>
      </c>
    </row>
    <row r="688" spans="1:7" ht="25.9" customHeight="1">
      <c r="A688" s="63">
        <v>685</v>
      </c>
      <c r="D688" s="111">
        <f t="shared" ref="D688:D751" si="13">INDEX($E$4:$G$1000,$A688,$A$1)</f>
        <v>0</v>
      </c>
    </row>
    <row r="689" spans="1:4" ht="25.9" customHeight="1">
      <c r="A689" s="63">
        <v>686</v>
      </c>
      <c r="D689" s="111">
        <f t="shared" si="13"/>
        <v>0</v>
      </c>
    </row>
    <row r="690" spans="1:4" ht="25.9" customHeight="1">
      <c r="A690" s="63">
        <v>687</v>
      </c>
      <c r="D690" s="111">
        <f t="shared" si="13"/>
        <v>0</v>
      </c>
    </row>
    <row r="691" spans="1:4" ht="25.9" customHeight="1">
      <c r="A691" s="63">
        <v>688</v>
      </c>
      <c r="D691" s="111">
        <f t="shared" si="13"/>
        <v>0</v>
      </c>
    </row>
    <row r="692" spans="1:4" ht="25.9" customHeight="1">
      <c r="A692" s="63">
        <v>689</v>
      </c>
      <c r="D692" s="111">
        <f t="shared" si="13"/>
        <v>0</v>
      </c>
    </row>
    <row r="693" spans="1:4" ht="25.9" customHeight="1">
      <c r="A693" s="63">
        <v>690</v>
      </c>
      <c r="D693" s="111">
        <f t="shared" si="13"/>
        <v>0</v>
      </c>
    </row>
    <row r="694" spans="1:4" ht="25.9" customHeight="1">
      <c r="A694" s="63">
        <v>691</v>
      </c>
      <c r="D694" s="111">
        <f t="shared" si="13"/>
        <v>0</v>
      </c>
    </row>
    <row r="695" spans="1:4" ht="25.9" customHeight="1">
      <c r="A695" s="63">
        <v>692</v>
      </c>
      <c r="D695" s="111">
        <f t="shared" si="13"/>
        <v>0</v>
      </c>
    </row>
    <row r="696" spans="1:4" ht="25.9" customHeight="1">
      <c r="A696" s="63">
        <v>693</v>
      </c>
      <c r="D696" s="111">
        <f t="shared" si="13"/>
        <v>0</v>
      </c>
    </row>
    <row r="697" spans="1:4" ht="25.9" customHeight="1">
      <c r="A697" s="63">
        <v>694</v>
      </c>
      <c r="D697" s="111">
        <f t="shared" si="13"/>
        <v>0</v>
      </c>
    </row>
    <row r="698" spans="1:4" ht="25.9" customHeight="1">
      <c r="A698" s="63">
        <v>695</v>
      </c>
      <c r="D698" s="111">
        <f t="shared" si="13"/>
        <v>0</v>
      </c>
    </row>
    <row r="699" spans="1:4" ht="25.9" customHeight="1">
      <c r="A699" s="63">
        <v>696</v>
      </c>
      <c r="D699" s="111">
        <f t="shared" si="13"/>
        <v>0</v>
      </c>
    </row>
    <row r="700" spans="1:4" ht="25.9" customHeight="1">
      <c r="A700" s="63">
        <v>697</v>
      </c>
      <c r="D700" s="111">
        <f t="shared" si="13"/>
        <v>0</v>
      </c>
    </row>
    <row r="701" spans="1:4" ht="25.9" customHeight="1">
      <c r="A701" s="63">
        <v>698</v>
      </c>
      <c r="D701" s="111">
        <f t="shared" si="13"/>
        <v>0</v>
      </c>
    </row>
    <row r="702" spans="1:4" ht="25.9" customHeight="1">
      <c r="A702" s="63">
        <v>699</v>
      </c>
      <c r="D702" s="111">
        <f t="shared" si="13"/>
        <v>0</v>
      </c>
    </row>
    <row r="703" spans="1:4" ht="25.9" customHeight="1">
      <c r="A703" s="63">
        <v>700</v>
      </c>
      <c r="D703" s="111">
        <f t="shared" si="13"/>
        <v>0</v>
      </c>
    </row>
    <row r="704" spans="1:4" ht="25.9" customHeight="1">
      <c r="A704" s="63">
        <v>701</v>
      </c>
      <c r="D704" s="111">
        <f t="shared" si="13"/>
        <v>0</v>
      </c>
    </row>
    <row r="705" spans="1:4" ht="25.9" customHeight="1">
      <c r="A705" s="63">
        <v>702</v>
      </c>
      <c r="D705" s="111">
        <f t="shared" si="13"/>
        <v>0</v>
      </c>
    </row>
    <row r="706" spans="1:4" ht="25.9" customHeight="1">
      <c r="A706" s="63">
        <v>703</v>
      </c>
      <c r="D706" s="111">
        <f t="shared" si="13"/>
        <v>0</v>
      </c>
    </row>
    <row r="707" spans="1:4" ht="25.9" customHeight="1">
      <c r="A707" s="63">
        <v>704</v>
      </c>
      <c r="D707" s="111">
        <f t="shared" si="13"/>
        <v>0</v>
      </c>
    </row>
    <row r="708" spans="1:4" ht="25.9" customHeight="1">
      <c r="A708" s="63">
        <v>705</v>
      </c>
      <c r="D708" s="111">
        <f t="shared" si="13"/>
        <v>0</v>
      </c>
    </row>
    <row r="709" spans="1:4" ht="25.9" customHeight="1">
      <c r="A709" s="63">
        <v>706</v>
      </c>
      <c r="D709" s="111">
        <f t="shared" si="13"/>
        <v>0</v>
      </c>
    </row>
    <row r="710" spans="1:4" ht="25.9" customHeight="1">
      <c r="A710" s="63">
        <v>707</v>
      </c>
      <c r="D710" s="111">
        <f t="shared" si="13"/>
        <v>0</v>
      </c>
    </row>
    <row r="711" spans="1:4" ht="25.9" customHeight="1">
      <c r="A711" s="63">
        <v>708</v>
      </c>
      <c r="D711" s="111">
        <f t="shared" si="13"/>
        <v>0</v>
      </c>
    </row>
    <row r="712" spans="1:4" ht="25.9" customHeight="1">
      <c r="A712" s="63">
        <v>709</v>
      </c>
      <c r="D712" s="111">
        <f t="shared" si="13"/>
        <v>0</v>
      </c>
    </row>
    <row r="713" spans="1:4" ht="25.9" customHeight="1">
      <c r="A713" s="63">
        <v>710</v>
      </c>
      <c r="D713" s="111">
        <f t="shared" si="13"/>
        <v>0</v>
      </c>
    </row>
    <row r="714" spans="1:4" ht="25.9" customHeight="1">
      <c r="A714" s="63">
        <v>711</v>
      </c>
      <c r="D714" s="111">
        <f t="shared" si="13"/>
        <v>0</v>
      </c>
    </row>
    <row r="715" spans="1:4" ht="25.9" customHeight="1">
      <c r="A715" s="63">
        <v>712</v>
      </c>
      <c r="D715" s="111">
        <f t="shared" si="13"/>
        <v>0</v>
      </c>
    </row>
    <row r="716" spans="1:4" ht="25.9" customHeight="1">
      <c r="A716" s="63">
        <v>713</v>
      </c>
      <c r="D716" s="111">
        <f t="shared" si="13"/>
        <v>0</v>
      </c>
    </row>
    <row r="717" spans="1:4" ht="25.9" customHeight="1">
      <c r="A717" s="63">
        <v>714</v>
      </c>
      <c r="D717" s="111">
        <f t="shared" si="13"/>
        <v>0</v>
      </c>
    </row>
    <row r="718" spans="1:4" ht="25.9" customHeight="1">
      <c r="A718" s="63">
        <v>715</v>
      </c>
      <c r="D718" s="111">
        <f t="shared" si="13"/>
        <v>0</v>
      </c>
    </row>
    <row r="719" spans="1:4" ht="25.9" customHeight="1">
      <c r="A719" s="63">
        <v>716</v>
      </c>
      <c r="D719" s="111">
        <f t="shared" si="13"/>
        <v>0</v>
      </c>
    </row>
    <row r="720" spans="1:4" ht="25.9" customHeight="1">
      <c r="A720" s="63">
        <v>717</v>
      </c>
      <c r="D720" s="111">
        <f t="shared" si="13"/>
        <v>0</v>
      </c>
    </row>
    <row r="721" spans="1:4" ht="25.9" customHeight="1">
      <c r="A721" s="63">
        <v>718</v>
      </c>
      <c r="D721" s="111">
        <f t="shared" si="13"/>
        <v>0</v>
      </c>
    </row>
    <row r="722" spans="1:4" ht="25.9" customHeight="1">
      <c r="A722" s="63">
        <v>719</v>
      </c>
      <c r="D722" s="111">
        <f t="shared" si="13"/>
        <v>0</v>
      </c>
    </row>
    <row r="723" spans="1:4" ht="25.9" customHeight="1">
      <c r="A723" s="63">
        <v>720</v>
      </c>
      <c r="D723" s="111">
        <f t="shared" si="13"/>
        <v>0</v>
      </c>
    </row>
    <row r="724" spans="1:4" ht="25.9" customHeight="1">
      <c r="A724" s="63">
        <v>721</v>
      </c>
      <c r="D724" s="111">
        <f t="shared" si="13"/>
        <v>0</v>
      </c>
    </row>
    <row r="725" spans="1:4" ht="25.9" customHeight="1">
      <c r="A725" s="63">
        <v>722</v>
      </c>
      <c r="D725" s="111">
        <f t="shared" si="13"/>
        <v>0</v>
      </c>
    </row>
    <row r="726" spans="1:4" ht="25.9" customHeight="1">
      <c r="A726" s="63">
        <v>723</v>
      </c>
      <c r="D726" s="111">
        <f t="shared" si="13"/>
        <v>0</v>
      </c>
    </row>
    <row r="727" spans="1:4" ht="25.9" customHeight="1">
      <c r="A727" s="63">
        <v>724</v>
      </c>
      <c r="D727" s="111">
        <f t="shared" si="13"/>
        <v>0</v>
      </c>
    </row>
    <row r="728" spans="1:4" ht="25.9" customHeight="1">
      <c r="A728" s="63">
        <v>725</v>
      </c>
      <c r="D728" s="111">
        <f t="shared" si="13"/>
        <v>0</v>
      </c>
    </row>
    <row r="729" spans="1:4" ht="25.9" customHeight="1">
      <c r="A729" s="63">
        <v>726</v>
      </c>
      <c r="D729" s="111">
        <f t="shared" si="13"/>
        <v>0</v>
      </c>
    </row>
    <row r="730" spans="1:4" ht="25.9" customHeight="1">
      <c r="A730" s="63">
        <v>727</v>
      </c>
      <c r="D730" s="111">
        <f t="shared" si="13"/>
        <v>0</v>
      </c>
    </row>
    <row r="731" spans="1:4" ht="25.9" customHeight="1">
      <c r="A731" s="63">
        <v>728</v>
      </c>
      <c r="D731" s="111">
        <f t="shared" si="13"/>
        <v>0</v>
      </c>
    </row>
    <row r="732" spans="1:4" ht="25.9" customHeight="1">
      <c r="A732" s="63">
        <v>729</v>
      </c>
      <c r="D732" s="111">
        <f t="shared" si="13"/>
        <v>0</v>
      </c>
    </row>
    <row r="733" spans="1:4" ht="25.9" customHeight="1">
      <c r="A733" s="63">
        <v>730</v>
      </c>
      <c r="D733" s="111">
        <f t="shared" si="13"/>
        <v>0</v>
      </c>
    </row>
    <row r="734" spans="1:4" ht="25.9" customHeight="1">
      <c r="A734" s="63">
        <v>731</v>
      </c>
      <c r="D734" s="111">
        <f t="shared" si="13"/>
        <v>0</v>
      </c>
    </row>
    <row r="735" spans="1:4" ht="25.9" customHeight="1">
      <c r="A735" s="63">
        <v>732</v>
      </c>
      <c r="D735" s="111">
        <f t="shared" si="13"/>
        <v>0</v>
      </c>
    </row>
    <row r="736" spans="1:4" ht="25.9" customHeight="1">
      <c r="A736" s="63">
        <v>733</v>
      </c>
      <c r="D736" s="111">
        <f t="shared" si="13"/>
        <v>0</v>
      </c>
    </row>
    <row r="737" spans="1:4" ht="25.9" customHeight="1">
      <c r="A737" s="63">
        <v>734</v>
      </c>
      <c r="D737" s="111">
        <f t="shared" si="13"/>
        <v>0</v>
      </c>
    </row>
    <row r="738" spans="1:4" ht="25.9" customHeight="1">
      <c r="A738" s="63">
        <v>735</v>
      </c>
      <c r="D738" s="111">
        <f t="shared" si="13"/>
        <v>0</v>
      </c>
    </row>
    <row r="739" spans="1:4" ht="25.9" customHeight="1">
      <c r="A739" s="63">
        <v>736</v>
      </c>
      <c r="D739" s="111">
        <f t="shared" si="13"/>
        <v>0</v>
      </c>
    </row>
    <row r="740" spans="1:4" ht="25.9" customHeight="1">
      <c r="A740" s="63">
        <v>737</v>
      </c>
      <c r="D740" s="111">
        <f t="shared" si="13"/>
        <v>0</v>
      </c>
    </row>
    <row r="741" spans="1:4" ht="25.9" customHeight="1">
      <c r="A741" s="63">
        <v>738</v>
      </c>
      <c r="D741" s="111">
        <f t="shared" si="13"/>
        <v>0</v>
      </c>
    </row>
    <row r="742" spans="1:4" ht="25.9" customHeight="1">
      <c r="A742" s="63">
        <v>739</v>
      </c>
      <c r="D742" s="111">
        <f t="shared" si="13"/>
        <v>0</v>
      </c>
    </row>
    <row r="743" spans="1:4" ht="25.9" customHeight="1">
      <c r="A743" s="63">
        <v>740</v>
      </c>
      <c r="D743" s="111">
        <f t="shared" si="13"/>
        <v>0</v>
      </c>
    </row>
    <row r="744" spans="1:4" ht="25.9" customHeight="1">
      <c r="A744" s="63">
        <v>741</v>
      </c>
      <c r="D744" s="111">
        <f t="shared" si="13"/>
        <v>0</v>
      </c>
    </row>
    <row r="745" spans="1:4" ht="25.9" customHeight="1">
      <c r="A745" s="63">
        <v>742</v>
      </c>
      <c r="D745" s="111">
        <f t="shared" si="13"/>
        <v>0</v>
      </c>
    </row>
    <row r="746" spans="1:4" ht="25.9" customHeight="1">
      <c r="A746" s="63">
        <v>743</v>
      </c>
      <c r="D746" s="111">
        <f t="shared" si="13"/>
        <v>0</v>
      </c>
    </row>
    <row r="747" spans="1:4" ht="25.9" customHeight="1">
      <c r="A747" s="63">
        <v>744</v>
      </c>
      <c r="D747" s="111">
        <f t="shared" si="13"/>
        <v>0</v>
      </c>
    </row>
    <row r="748" spans="1:4" ht="25.9" customHeight="1">
      <c r="A748" s="63">
        <v>745</v>
      </c>
      <c r="D748" s="111">
        <f t="shared" si="13"/>
        <v>0</v>
      </c>
    </row>
    <row r="749" spans="1:4" ht="25.9" customHeight="1">
      <c r="A749" s="63">
        <v>746</v>
      </c>
      <c r="D749" s="111">
        <f t="shared" si="13"/>
        <v>0</v>
      </c>
    </row>
    <row r="750" spans="1:4" ht="25.9" customHeight="1">
      <c r="A750" s="63">
        <v>747</v>
      </c>
      <c r="D750" s="111">
        <f t="shared" si="13"/>
        <v>0</v>
      </c>
    </row>
    <row r="751" spans="1:4" ht="25.9" customHeight="1">
      <c r="A751" s="63">
        <v>748</v>
      </c>
      <c r="D751" s="111">
        <f t="shared" si="13"/>
        <v>0</v>
      </c>
    </row>
    <row r="752" spans="1:4" ht="25.9" customHeight="1">
      <c r="A752" s="63">
        <v>749</v>
      </c>
      <c r="D752" s="111">
        <f t="shared" ref="D752:D815" si="14">INDEX($E$4:$G$1000,$A752,$A$1)</f>
        <v>0</v>
      </c>
    </row>
    <row r="753" spans="1:4" ht="25.9" customHeight="1">
      <c r="A753" s="63">
        <v>750</v>
      </c>
      <c r="D753" s="111">
        <f t="shared" si="14"/>
        <v>0</v>
      </c>
    </row>
    <row r="754" spans="1:4" ht="25.9" customHeight="1">
      <c r="A754" s="63">
        <v>751</v>
      </c>
      <c r="D754" s="111">
        <f t="shared" si="14"/>
        <v>0</v>
      </c>
    </row>
    <row r="755" spans="1:4" ht="25.9" customHeight="1">
      <c r="A755" s="63">
        <v>752</v>
      </c>
      <c r="D755" s="111">
        <f t="shared" si="14"/>
        <v>0</v>
      </c>
    </row>
    <row r="756" spans="1:4" ht="25.9" customHeight="1">
      <c r="A756" s="63">
        <v>753</v>
      </c>
      <c r="D756" s="111">
        <f t="shared" si="14"/>
        <v>0</v>
      </c>
    </row>
    <row r="757" spans="1:4" ht="25.9" customHeight="1">
      <c r="A757" s="63">
        <v>754</v>
      </c>
      <c r="D757" s="111">
        <f t="shared" si="14"/>
        <v>0</v>
      </c>
    </row>
    <row r="758" spans="1:4" ht="25.9" customHeight="1">
      <c r="A758" s="63">
        <v>755</v>
      </c>
      <c r="D758" s="111">
        <f t="shared" si="14"/>
        <v>0</v>
      </c>
    </row>
    <row r="759" spans="1:4" ht="25.9" customHeight="1">
      <c r="A759" s="63">
        <v>756</v>
      </c>
      <c r="D759" s="111">
        <f t="shared" si="14"/>
        <v>0</v>
      </c>
    </row>
    <row r="760" spans="1:4" ht="25.9" customHeight="1">
      <c r="A760" s="63">
        <v>757</v>
      </c>
      <c r="D760" s="111">
        <f t="shared" si="14"/>
        <v>0</v>
      </c>
    </row>
    <row r="761" spans="1:4" ht="25.9" customHeight="1">
      <c r="A761" s="63">
        <v>758</v>
      </c>
      <c r="D761" s="111">
        <f t="shared" si="14"/>
        <v>0</v>
      </c>
    </row>
    <row r="762" spans="1:4" ht="25.9" customHeight="1">
      <c r="A762" s="63">
        <v>759</v>
      </c>
      <c r="D762" s="111">
        <f t="shared" si="14"/>
        <v>0</v>
      </c>
    </row>
    <row r="763" spans="1:4" ht="25.9" customHeight="1">
      <c r="A763" s="63">
        <v>760</v>
      </c>
      <c r="D763" s="111">
        <f t="shared" si="14"/>
        <v>0</v>
      </c>
    </row>
    <row r="764" spans="1:4" ht="25.9" customHeight="1">
      <c r="A764" s="63">
        <v>761</v>
      </c>
      <c r="D764" s="111">
        <f t="shared" si="14"/>
        <v>0</v>
      </c>
    </row>
    <row r="765" spans="1:4" ht="25.9" customHeight="1">
      <c r="A765" s="63">
        <v>762</v>
      </c>
      <c r="D765" s="111">
        <f t="shared" si="14"/>
        <v>0</v>
      </c>
    </row>
    <row r="766" spans="1:4" ht="25.9" customHeight="1">
      <c r="A766" s="63">
        <v>763</v>
      </c>
      <c r="D766" s="111">
        <f t="shared" si="14"/>
        <v>0</v>
      </c>
    </row>
    <row r="767" spans="1:4" ht="25.9" customHeight="1">
      <c r="A767" s="63">
        <v>764</v>
      </c>
      <c r="D767" s="111">
        <f t="shared" si="14"/>
        <v>0</v>
      </c>
    </row>
    <row r="768" spans="1:4" ht="25.9" customHeight="1">
      <c r="A768" s="63">
        <v>765</v>
      </c>
      <c r="D768" s="111">
        <f t="shared" si="14"/>
        <v>0</v>
      </c>
    </row>
    <row r="769" spans="1:4" ht="25.9" customHeight="1">
      <c r="A769" s="63">
        <v>766</v>
      </c>
      <c r="D769" s="111">
        <f t="shared" si="14"/>
        <v>0</v>
      </c>
    </row>
    <row r="770" spans="1:4" ht="25.9" customHeight="1">
      <c r="A770" s="63">
        <v>767</v>
      </c>
      <c r="D770" s="111">
        <f t="shared" si="14"/>
        <v>0</v>
      </c>
    </row>
    <row r="771" spans="1:4" ht="25.9" customHeight="1">
      <c r="A771" s="63">
        <v>768</v>
      </c>
      <c r="D771" s="111">
        <f t="shared" si="14"/>
        <v>0</v>
      </c>
    </row>
    <row r="772" spans="1:4" ht="25.9" customHeight="1">
      <c r="A772" s="63">
        <v>769</v>
      </c>
      <c r="D772" s="111">
        <f t="shared" si="14"/>
        <v>0</v>
      </c>
    </row>
    <row r="773" spans="1:4" ht="25.9" customHeight="1">
      <c r="A773" s="63">
        <v>770</v>
      </c>
      <c r="D773" s="111">
        <f t="shared" si="14"/>
        <v>0</v>
      </c>
    </row>
    <row r="774" spans="1:4" ht="25.9" customHeight="1">
      <c r="A774" s="63">
        <v>771</v>
      </c>
      <c r="D774" s="111">
        <f t="shared" si="14"/>
        <v>0</v>
      </c>
    </row>
    <row r="775" spans="1:4" ht="25.9" customHeight="1">
      <c r="A775" s="63">
        <v>772</v>
      </c>
      <c r="D775" s="111">
        <f t="shared" si="14"/>
        <v>0</v>
      </c>
    </row>
    <row r="776" spans="1:4" ht="25.9" customHeight="1">
      <c r="A776" s="63">
        <v>773</v>
      </c>
      <c r="D776" s="111">
        <f t="shared" si="14"/>
        <v>0</v>
      </c>
    </row>
    <row r="777" spans="1:4" ht="25.9" customHeight="1">
      <c r="A777" s="63">
        <v>774</v>
      </c>
      <c r="D777" s="111">
        <f t="shared" si="14"/>
        <v>0</v>
      </c>
    </row>
    <row r="778" spans="1:4" ht="25.9" customHeight="1">
      <c r="A778" s="63">
        <v>775</v>
      </c>
      <c r="D778" s="111">
        <f t="shared" si="14"/>
        <v>0</v>
      </c>
    </row>
    <row r="779" spans="1:4" ht="25.9" customHeight="1">
      <c r="A779" s="63">
        <v>776</v>
      </c>
      <c r="D779" s="111">
        <f t="shared" si="14"/>
        <v>0</v>
      </c>
    </row>
    <row r="780" spans="1:4" ht="25.9" customHeight="1">
      <c r="A780" s="63">
        <v>777</v>
      </c>
      <c r="D780" s="111">
        <f t="shared" si="14"/>
        <v>0</v>
      </c>
    </row>
    <row r="781" spans="1:4" ht="25.9" customHeight="1">
      <c r="A781" s="63">
        <v>778</v>
      </c>
      <c r="D781" s="111">
        <f t="shared" si="14"/>
        <v>0</v>
      </c>
    </row>
    <row r="782" spans="1:4" ht="25.9" customHeight="1">
      <c r="A782" s="63">
        <v>779</v>
      </c>
      <c r="D782" s="111">
        <f t="shared" si="14"/>
        <v>0</v>
      </c>
    </row>
    <row r="783" spans="1:4" ht="25.9" customHeight="1">
      <c r="A783" s="63">
        <v>780</v>
      </c>
      <c r="D783" s="111">
        <f t="shared" si="14"/>
        <v>0</v>
      </c>
    </row>
    <row r="784" spans="1:4" ht="25.9" customHeight="1">
      <c r="A784" s="63">
        <v>781</v>
      </c>
      <c r="D784" s="111">
        <f t="shared" si="14"/>
        <v>0</v>
      </c>
    </row>
    <row r="785" spans="1:4" ht="25.9" customHeight="1">
      <c r="A785" s="63">
        <v>782</v>
      </c>
      <c r="D785" s="111">
        <f t="shared" si="14"/>
        <v>0</v>
      </c>
    </row>
    <row r="786" spans="1:4" ht="25.9" customHeight="1">
      <c r="A786" s="63">
        <v>783</v>
      </c>
      <c r="D786" s="111">
        <f t="shared" si="14"/>
        <v>0</v>
      </c>
    </row>
    <row r="787" spans="1:4" ht="25.9" customHeight="1">
      <c r="A787" s="63">
        <v>784</v>
      </c>
      <c r="D787" s="111">
        <f t="shared" si="14"/>
        <v>0</v>
      </c>
    </row>
    <row r="788" spans="1:4" ht="25.9" customHeight="1">
      <c r="A788" s="63">
        <v>785</v>
      </c>
      <c r="D788" s="111">
        <f t="shared" si="14"/>
        <v>0</v>
      </c>
    </row>
    <row r="789" spans="1:4" ht="25.9" customHeight="1">
      <c r="A789" s="63">
        <v>786</v>
      </c>
      <c r="D789" s="111">
        <f t="shared" si="14"/>
        <v>0</v>
      </c>
    </row>
    <row r="790" spans="1:4" ht="25.9" customHeight="1">
      <c r="A790" s="63">
        <v>787</v>
      </c>
      <c r="D790" s="111">
        <f t="shared" si="14"/>
        <v>0</v>
      </c>
    </row>
    <row r="791" spans="1:4" ht="25.9" customHeight="1">
      <c r="A791" s="63">
        <v>788</v>
      </c>
      <c r="D791" s="111">
        <f t="shared" si="14"/>
        <v>0</v>
      </c>
    </row>
    <row r="792" spans="1:4" ht="25.9" customHeight="1">
      <c r="A792" s="63">
        <v>789</v>
      </c>
      <c r="D792" s="111">
        <f t="shared" si="14"/>
        <v>0</v>
      </c>
    </row>
    <row r="793" spans="1:4" ht="25.9" customHeight="1">
      <c r="A793" s="63">
        <v>790</v>
      </c>
      <c r="D793" s="111">
        <f t="shared" si="14"/>
        <v>0</v>
      </c>
    </row>
    <row r="794" spans="1:4" ht="25.9" customHeight="1">
      <c r="A794" s="63">
        <v>791</v>
      </c>
      <c r="D794" s="111">
        <f t="shared" si="14"/>
        <v>0</v>
      </c>
    </row>
    <row r="795" spans="1:4" ht="25.9" customHeight="1">
      <c r="A795" s="63">
        <v>792</v>
      </c>
      <c r="D795" s="111">
        <f t="shared" si="14"/>
        <v>0</v>
      </c>
    </row>
    <row r="796" spans="1:4" ht="25.9" customHeight="1">
      <c r="A796" s="63">
        <v>793</v>
      </c>
      <c r="D796" s="111">
        <f t="shared" si="14"/>
        <v>0</v>
      </c>
    </row>
    <row r="797" spans="1:4" ht="25.9" customHeight="1">
      <c r="A797" s="63">
        <v>794</v>
      </c>
      <c r="D797" s="111">
        <f t="shared" si="14"/>
        <v>0</v>
      </c>
    </row>
    <row r="798" spans="1:4" ht="25.9" customHeight="1">
      <c r="A798" s="63">
        <v>795</v>
      </c>
      <c r="D798" s="111">
        <f t="shared" si="14"/>
        <v>0</v>
      </c>
    </row>
    <row r="799" spans="1:4" ht="25.9" customHeight="1">
      <c r="A799" s="63">
        <v>796</v>
      </c>
      <c r="D799" s="111">
        <f t="shared" si="14"/>
        <v>0</v>
      </c>
    </row>
    <row r="800" spans="1:4" ht="25.9" customHeight="1">
      <c r="A800" s="63">
        <v>797</v>
      </c>
      <c r="D800" s="111">
        <f t="shared" si="14"/>
        <v>0</v>
      </c>
    </row>
    <row r="801" spans="1:4" ht="25.9" customHeight="1">
      <c r="A801" s="63">
        <v>798</v>
      </c>
      <c r="D801" s="111">
        <f t="shared" si="14"/>
        <v>0</v>
      </c>
    </row>
    <row r="802" spans="1:4" ht="25.9" customHeight="1">
      <c r="A802" s="63">
        <v>799</v>
      </c>
      <c r="D802" s="111">
        <f t="shared" si="14"/>
        <v>0</v>
      </c>
    </row>
    <row r="803" spans="1:4" ht="25.9" customHeight="1">
      <c r="A803" s="63">
        <v>800</v>
      </c>
      <c r="D803" s="111">
        <f t="shared" si="14"/>
        <v>0</v>
      </c>
    </row>
    <row r="804" spans="1:4" ht="25.9" customHeight="1">
      <c r="A804" s="63">
        <v>801</v>
      </c>
      <c r="D804" s="111">
        <f t="shared" si="14"/>
        <v>0</v>
      </c>
    </row>
    <row r="805" spans="1:4" ht="25.9" customHeight="1">
      <c r="A805" s="63">
        <v>802</v>
      </c>
      <c r="D805" s="111">
        <f t="shared" si="14"/>
        <v>0</v>
      </c>
    </row>
    <row r="806" spans="1:4" ht="25.9" customHeight="1">
      <c r="A806" s="63">
        <v>803</v>
      </c>
      <c r="D806" s="111">
        <f t="shared" si="14"/>
        <v>0</v>
      </c>
    </row>
    <row r="807" spans="1:4" ht="25.9" customHeight="1">
      <c r="A807" s="63">
        <v>804</v>
      </c>
      <c r="D807" s="111">
        <f t="shared" si="14"/>
        <v>0</v>
      </c>
    </row>
    <row r="808" spans="1:4" ht="25.9" customHeight="1">
      <c r="A808" s="63">
        <v>805</v>
      </c>
      <c r="D808" s="111">
        <f t="shared" si="14"/>
        <v>0</v>
      </c>
    </row>
    <row r="809" spans="1:4" ht="25.9" customHeight="1">
      <c r="A809" s="63">
        <v>806</v>
      </c>
      <c r="D809" s="111">
        <f t="shared" si="14"/>
        <v>0</v>
      </c>
    </row>
    <row r="810" spans="1:4" ht="25.9" customHeight="1">
      <c r="A810" s="63">
        <v>807</v>
      </c>
      <c r="D810" s="111">
        <f t="shared" si="14"/>
        <v>0</v>
      </c>
    </row>
    <row r="811" spans="1:4" ht="25.9" customHeight="1">
      <c r="A811" s="63">
        <v>808</v>
      </c>
      <c r="D811" s="111">
        <f t="shared" si="14"/>
        <v>0</v>
      </c>
    </row>
    <row r="812" spans="1:4" ht="25.9" customHeight="1">
      <c r="A812" s="63">
        <v>809</v>
      </c>
      <c r="D812" s="111">
        <f t="shared" si="14"/>
        <v>0</v>
      </c>
    </row>
    <row r="813" spans="1:4" ht="25.9" customHeight="1">
      <c r="A813" s="63">
        <v>810</v>
      </c>
      <c r="D813" s="111">
        <f t="shared" si="14"/>
        <v>0</v>
      </c>
    </row>
    <row r="814" spans="1:4" ht="25.9" customHeight="1">
      <c r="A814" s="63">
        <v>811</v>
      </c>
      <c r="D814" s="111">
        <f t="shared" si="14"/>
        <v>0</v>
      </c>
    </row>
    <row r="815" spans="1:4" ht="25.9" customHeight="1">
      <c r="A815" s="63">
        <v>812</v>
      </c>
      <c r="D815" s="111">
        <f t="shared" si="14"/>
        <v>0</v>
      </c>
    </row>
    <row r="816" spans="1:4" ht="25.9" customHeight="1">
      <c r="A816" s="63">
        <v>813</v>
      </c>
      <c r="D816" s="111">
        <f t="shared" ref="D816:D879" si="15">INDEX($E$4:$G$1000,$A816,$A$1)</f>
        <v>0</v>
      </c>
    </row>
    <row r="817" spans="1:4" ht="25.9" customHeight="1">
      <c r="A817" s="63">
        <v>814</v>
      </c>
      <c r="D817" s="111">
        <f t="shared" si="15"/>
        <v>0</v>
      </c>
    </row>
    <row r="818" spans="1:4" ht="25.9" customHeight="1">
      <c r="A818" s="63">
        <v>815</v>
      </c>
      <c r="D818" s="111">
        <f t="shared" si="15"/>
        <v>0</v>
      </c>
    </row>
    <row r="819" spans="1:4" ht="25.9" customHeight="1">
      <c r="A819" s="63">
        <v>816</v>
      </c>
      <c r="D819" s="111">
        <f t="shared" si="15"/>
        <v>0</v>
      </c>
    </row>
    <row r="820" spans="1:4" ht="25.9" customHeight="1">
      <c r="A820" s="63">
        <v>817</v>
      </c>
      <c r="D820" s="111">
        <f t="shared" si="15"/>
        <v>0</v>
      </c>
    </row>
    <row r="821" spans="1:4" ht="25.9" customHeight="1">
      <c r="A821" s="63">
        <v>818</v>
      </c>
      <c r="D821" s="111">
        <f t="shared" si="15"/>
        <v>0</v>
      </c>
    </row>
    <row r="822" spans="1:4" ht="25.9" customHeight="1">
      <c r="A822" s="63">
        <v>819</v>
      </c>
      <c r="D822" s="111">
        <f t="shared" si="15"/>
        <v>0</v>
      </c>
    </row>
    <row r="823" spans="1:4" ht="25.9" customHeight="1">
      <c r="A823" s="63">
        <v>820</v>
      </c>
      <c r="D823" s="111">
        <f t="shared" si="15"/>
        <v>0</v>
      </c>
    </row>
    <row r="824" spans="1:4" ht="25.9" customHeight="1">
      <c r="A824" s="63">
        <v>821</v>
      </c>
      <c r="D824" s="111">
        <f t="shared" si="15"/>
        <v>0</v>
      </c>
    </row>
    <row r="825" spans="1:4" ht="25.9" customHeight="1">
      <c r="A825" s="63">
        <v>822</v>
      </c>
      <c r="D825" s="111">
        <f t="shared" si="15"/>
        <v>0</v>
      </c>
    </row>
    <row r="826" spans="1:4" ht="25.9" customHeight="1">
      <c r="A826" s="63">
        <v>823</v>
      </c>
      <c r="D826" s="111">
        <f t="shared" si="15"/>
        <v>0</v>
      </c>
    </row>
    <row r="827" spans="1:4" ht="25.9" customHeight="1">
      <c r="A827" s="63">
        <v>824</v>
      </c>
      <c r="D827" s="111">
        <f t="shared" si="15"/>
        <v>0</v>
      </c>
    </row>
    <row r="828" spans="1:4" ht="25.9" customHeight="1">
      <c r="A828" s="63">
        <v>825</v>
      </c>
      <c r="D828" s="111">
        <f t="shared" si="15"/>
        <v>0</v>
      </c>
    </row>
    <row r="829" spans="1:4" ht="25.9" customHeight="1">
      <c r="A829" s="63">
        <v>826</v>
      </c>
      <c r="D829" s="111">
        <f t="shared" si="15"/>
        <v>0</v>
      </c>
    </row>
    <row r="830" spans="1:4" ht="25.9" customHeight="1">
      <c r="A830" s="63">
        <v>827</v>
      </c>
      <c r="D830" s="111">
        <f t="shared" si="15"/>
        <v>0</v>
      </c>
    </row>
    <row r="831" spans="1:4" ht="25.9" customHeight="1">
      <c r="A831" s="63">
        <v>828</v>
      </c>
      <c r="D831" s="111">
        <f t="shared" si="15"/>
        <v>0</v>
      </c>
    </row>
    <row r="832" spans="1:4" ht="25.9" customHeight="1">
      <c r="A832" s="63">
        <v>829</v>
      </c>
      <c r="D832" s="111">
        <f t="shared" si="15"/>
        <v>0</v>
      </c>
    </row>
    <row r="833" spans="1:4" ht="25.9" customHeight="1">
      <c r="A833" s="63">
        <v>830</v>
      </c>
      <c r="D833" s="111">
        <f t="shared" si="15"/>
        <v>0</v>
      </c>
    </row>
    <row r="834" spans="1:4" ht="25.9" customHeight="1">
      <c r="A834" s="63">
        <v>831</v>
      </c>
      <c r="D834" s="111">
        <f t="shared" si="15"/>
        <v>0</v>
      </c>
    </row>
    <row r="835" spans="1:4" ht="25.9" customHeight="1">
      <c r="A835" s="63">
        <v>832</v>
      </c>
      <c r="D835" s="111">
        <f t="shared" si="15"/>
        <v>0</v>
      </c>
    </row>
    <row r="836" spans="1:4" ht="25.9" customHeight="1">
      <c r="A836" s="63">
        <v>833</v>
      </c>
      <c r="D836" s="111">
        <f t="shared" si="15"/>
        <v>0</v>
      </c>
    </row>
    <row r="837" spans="1:4" ht="25.9" customHeight="1">
      <c r="A837" s="63">
        <v>834</v>
      </c>
      <c r="D837" s="111">
        <f t="shared" si="15"/>
        <v>0</v>
      </c>
    </row>
    <row r="838" spans="1:4" ht="25.9" customHeight="1">
      <c r="A838" s="63">
        <v>835</v>
      </c>
      <c r="D838" s="111">
        <f t="shared" si="15"/>
        <v>0</v>
      </c>
    </row>
    <row r="839" spans="1:4" ht="25.9" customHeight="1">
      <c r="A839" s="63">
        <v>836</v>
      </c>
      <c r="D839" s="111">
        <f t="shared" si="15"/>
        <v>0</v>
      </c>
    </row>
    <row r="840" spans="1:4" ht="25.9" customHeight="1">
      <c r="A840" s="63">
        <v>837</v>
      </c>
      <c r="D840" s="111">
        <f t="shared" si="15"/>
        <v>0</v>
      </c>
    </row>
    <row r="841" spans="1:4" ht="25.9" customHeight="1">
      <c r="A841" s="63">
        <v>838</v>
      </c>
      <c r="D841" s="111">
        <f t="shared" si="15"/>
        <v>0</v>
      </c>
    </row>
    <row r="842" spans="1:4" ht="25.9" customHeight="1">
      <c r="A842" s="63">
        <v>839</v>
      </c>
      <c r="D842" s="111">
        <f t="shared" si="15"/>
        <v>0</v>
      </c>
    </row>
    <row r="843" spans="1:4" ht="25.9" customHeight="1">
      <c r="A843" s="63">
        <v>840</v>
      </c>
      <c r="D843" s="111">
        <f t="shared" si="15"/>
        <v>0</v>
      </c>
    </row>
    <row r="844" spans="1:4" ht="25.9" customHeight="1">
      <c r="A844" s="63">
        <v>841</v>
      </c>
      <c r="D844" s="111">
        <f t="shared" si="15"/>
        <v>0</v>
      </c>
    </row>
    <row r="845" spans="1:4" ht="25.9" customHeight="1">
      <c r="A845" s="63">
        <v>842</v>
      </c>
      <c r="D845" s="111">
        <f t="shared" si="15"/>
        <v>0</v>
      </c>
    </row>
    <row r="846" spans="1:4" ht="25.9" customHeight="1">
      <c r="A846" s="63">
        <v>843</v>
      </c>
      <c r="D846" s="111">
        <f t="shared" si="15"/>
        <v>0</v>
      </c>
    </row>
    <row r="847" spans="1:4" ht="25.9" customHeight="1">
      <c r="A847" s="63">
        <v>844</v>
      </c>
      <c r="D847" s="111">
        <f t="shared" si="15"/>
        <v>0</v>
      </c>
    </row>
    <row r="848" spans="1:4" ht="25.9" customHeight="1">
      <c r="A848" s="63">
        <v>845</v>
      </c>
      <c r="D848" s="111">
        <f t="shared" si="15"/>
        <v>0</v>
      </c>
    </row>
    <row r="849" spans="1:4" ht="25.9" customHeight="1">
      <c r="A849" s="63">
        <v>846</v>
      </c>
      <c r="D849" s="111">
        <f t="shared" si="15"/>
        <v>0</v>
      </c>
    </row>
    <row r="850" spans="1:4" ht="25.9" customHeight="1">
      <c r="A850" s="63">
        <v>847</v>
      </c>
      <c r="D850" s="111">
        <f t="shared" si="15"/>
        <v>0</v>
      </c>
    </row>
    <row r="851" spans="1:4" ht="25.9" customHeight="1">
      <c r="A851" s="63">
        <v>848</v>
      </c>
      <c r="D851" s="111">
        <f t="shared" si="15"/>
        <v>0</v>
      </c>
    </row>
    <row r="852" spans="1:4" ht="25.9" customHeight="1">
      <c r="A852" s="63">
        <v>849</v>
      </c>
      <c r="D852" s="111">
        <f t="shared" si="15"/>
        <v>0</v>
      </c>
    </row>
    <row r="853" spans="1:4" ht="25.9" customHeight="1">
      <c r="A853" s="63">
        <v>850</v>
      </c>
      <c r="D853" s="111">
        <f t="shared" si="15"/>
        <v>0</v>
      </c>
    </row>
    <row r="854" spans="1:4" ht="25.9" customHeight="1">
      <c r="A854" s="63">
        <v>851</v>
      </c>
      <c r="D854" s="111">
        <f t="shared" si="15"/>
        <v>0</v>
      </c>
    </row>
    <row r="855" spans="1:4" ht="25.9" customHeight="1">
      <c r="A855" s="63">
        <v>852</v>
      </c>
      <c r="D855" s="111">
        <f t="shared" si="15"/>
        <v>0</v>
      </c>
    </row>
    <row r="856" spans="1:4" ht="25.9" customHeight="1">
      <c r="A856" s="63">
        <v>853</v>
      </c>
      <c r="D856" s="111">
        <f t="shared" si="15"/>
        <v>0</v>
      </c>
    </row>
    <row r="857" spans="1:4" ht="25.9" customHeight="1">
      <c r="A857" s="63">
        <v>854</v>
      </c>
      <c r="D857" s="111">
        <f t="shared" si="15"/>
        <v>0</v>
      </c>
    </row>
    <row r="858" spans="1:4" ht="25.9" customHeight="1">
      <c r="A858" s="63">
        <v>855</v>
      </c>
      <c r="D858" s="111">
        <f t="shared" si="15"/>
        <v>0</v>
      </c>
    </row>
    <row r="859" spans="1:4" ht="25.9" customHeight="1">
      <c r="A859" s="63">
        <v>856</v>
      </c>
      <c r="D859" s="111">
        <f t="shared" si="15"/>
        <v>0</v>
      </c>
    </row>
    <row r="860" spans="1:4" ht="25.9" customHeight="1">
      <c r="A860" s="63">
        <v>857</v>
      </c>
      <c r="D860" s="111">
        <f t="shared" si="15"/>
        <v>0</v>
      </c>
    </row>
    <row r="861" spans="1:4" ht="25.9" customHeight="1">
      <c r="A861" s="63">
        <v>858</v>
      </c>
      <c r="D861" s="111">
        <f t="shared" si="15"/>
        <v>0</v>
      </c>
    </row>
    <row r="862" spans="1:4" ht="25.9" customHeight="1">
      <c r="A862" s="63">
        <v>859</v>
      </c>
      <c r="D862" s="111">
        <f t="shared" si="15"/>
        <v>0</v>
      </c>
    </row>
    <row r="863" spans="1:4" ht="25.9" customHeight="1">
      <c r="A863" s="63">
        <v>860</v>
      </c>
      <c r="D863" s="111">
        <f t="shared" si="15"/>
        <v>0</v>
      </c>
    </row>
    <row r="864" spans="1:4" ht="25.9" customHeight="1">
      <c r="A864" s="63">
        <v>861</v>
      </c>
      <c r="D864" s="111">
        <f t="shared" si="15"/>
        <v>0</v>
      </c>
    </row>
    <row r="865" spans="1:4" ht="25.9" customHeight="1">
      <c r="A865" s="63">
        <v>862</v>
      </c>
      <c r="D865" s="111">
        <f t="shared" si="15"/>
        <v>0</v>
      </c>
    </row>
    <row r="866" spans="1:4" ht="25.9" customHeight="1">
      <c r="A866" s="63">
        <v>863</v>
      </c>
      <c r="D866" s="111">
        <f t="shared" si="15"/>
        <v>0</v>
      </c>
    </row>
    <row r="867" spans="1:4" ht="25.9" customHeight="1">
      <c r="A867" s="63">
        <v>864</v>
      </c>
      <c r="D867" s="111">
        <f t="shared" si="15"/>
        <v>0</v>
      </c>
    </row>
    <row r="868" spans="1:4" ht="25.9" customHeight="1">
      <c r="A868" s="63">
        <v>865</v>
      </c>
      <c r="D868" s="111">
        <f t="shared" si="15"/>
        <v>0</v>
      </c>
    </row>
    <row r="869" spans="1:4" ht="25.9" customHeight="1">
      <c r="A869" s="63">
        <v>866</v>
      </c>
      <c r="D869" s="111">
        <f t="shared" si="15"/>
        <v>0</v>
      </c>
    </row>
    <row r="870" spans="1:4" ht="25.9" customHeight="1">
      <c r="A870" s="63">
        <v>867</v>
      </c>
      <c r="D870" s="111">
        <f t="shared" si="15"/>
        <v>0</v>
      </c>
    </row>
    <row r="871" spans="1:4" ht="25.9" customHeight="1">
      <c r="A871" s="63">
        <v>868</v>
      </c>
      <c r="D871" s="111">
        <f t="shared" si="15"/>
        <v>0</v>
      </c>
    </row>
    <row r="872" spans="1:4" ht="25.9" customHeight="1">
      <c r="A872" s="63">
        <v>869</v>
      </c>
      <c r="D872" s="111">
        <f t="shared" si="15"/>
        <v>0</v>
      </c>
    </row>
    <row r="873" spans="1:4" ht="25.9" customHeight="1">
      <c r="A873" s="63">
        <v>870</v>
      </c>
      <c r="D873" s="111">
        <f t="shared" si="15"/>
        <v>0</v>
      </c>
    </row>
    <row r="874" spans="1:4" ht="25.9" customHeight="1">
      <c r="A874" s="63">
        <v>871</v>
      </c>
      <c r="D874" s="111">
        <f t="shared" si="15"/>
        <v>0</v>
      </c>
    </row>
    <row r="875" spans="1:4" ht="25.9" customHeight="1">
      <c r="A875" s="63">
        <v>872</v>
      </c>
      <c r="D875" s="111">
        <f t="shared" si="15"/>
        <v>0</v>
      </c>
    </row>
    <row r="876" spans="1:4" ht="25.9" customHeight="1">
      <c r="A876" s="63">
        <v>873</v>
      </c>
      <c r="D876" s="111">
        <f t="shared" si="15"/>
        <v>0</v>
      </c>
    </row>
    <row r="877" spans="1:4" ht="25.9" customHeight="1">
      <c r="A877" s="63">
        <v>874</v>
      </c>
      <c r="D877" s="111">
        <f t="shared" si="15"/>
        <v>0</v>
      </c>
    </row>
    <row r="878" spans="1:4" ht="25.9" customHeight="1">
      <c r="A878" s="63">
        <v>875</v>
      </c>
      <c r="D878" s="111">
        <f t="shared" si="15"/>
        <v>0</v>
      </c>
    </row>
    <row r="879" spans="1:4" ht="25.9" customHeight="1">
      <c r="A879" s="63">
        <v>876</v>
      </c>
      <c r="D879" s="111">
        <f t="shared" si="15"/>
        <v>0</v>
      </c>
    </row>
    <row r="880" spans="1:4" ht="25.9" customHeight="1">
      <c r="A880" s="63">
        <v>877</v>
      </c>
      <c r="D880" s="111">
        <f t="shared" ref="D880:D943" si="16">INDEX($E$4:$G$1000,$A880,$A$1)</f>
        <v>0</v>
      </c>
    </row>
    <row r="881" spans="1:4" ht="25.9" customHeight="1">
      <c r="A881" s="63">
        <v>878</v>
      </c>
      <c r="D881" s="111">
        <f t="shared" si="16"/>
        <v>0</v>
      </c>
    </row>
    <row r="882" spans="1:4" ht="25.9" customHeight="1">
      <c r="A882" s="63">
        <v>879</v>
      </c>
      <c r="D882" s="111">
        <f t="shared" si="16"/>
        <v>0</v>
      </c>
    </row>
    <row r="883" spans="1:4" ht="25.9" customHeight="1">
      <c r="A883" s="63">
        <v>880</v>
      </c>
      <c r="D883" s="111">
        <f t="shared" si="16"/>
        <v>0</v>
      </c>
    </row>
    <row r="884" spans="1:4" ht="25.9" customHeight="1">
      <c r="A884" s="63">
        <v>881</v>
      </c>
      <c r="D884" s="111">
        <f t="shared" si="16"/>
        <v>0</v>
      </c>
    </row>
    <row r="885" spans="1:4" ht="25.9" customHeight="1">
      <c r="A885" s="63">
        <v>882</v>
      </c>
      <c r="D885" s="111">
        <f t="shared" si="16"/>
        <v>0</v>
      </c>
    </row>
    <row r="886" spans="1:4" ht="25.9" customHeight="1">
      <c r="A886" s="63">
        <v>883</v>
      </c>
      <c r="D886" s="111">
        <f t="shared" si="16"/>
        <v>0</v>
      </c>
    </row>
    <row r="887" spans="1:4" ht="25.9" customHeight="1">
      <c r="A887" s="63">
        <v>884</v>
      </c>
      <c r="D887" s="111">
        <f t="shared" si="16"/>
        <v>0</v>
      </c>
    </row>
    <row r="888" spans="1:4" ht="25.9" customHeight="1">
      <c r="A888" s="63">
        <v>885</v>
      </c>
      <c r="D888" s="111">
        <f t="shared" si="16"/>
        <v>0</v>
      </c>
    </row>
    <row r="889" spans="1:4" ht="25.9" customHeight="1">
      <c r="A889" s="63">
        <v>886</v>
      </c>
      <c r="D889" s="111">
        <f t="shared" si="16"/>
        <v>0</v>
      </c>
    </row>
    <row r="890" spans="1:4" ht="25.9" customHeight="1">
      <c r="A890" s="63">
        <v>887</v>
      </c>
      <c r="D890" s="111">
        <f t="shared" si="16"/>
        <v>0</v>
      </c>
    </row>
    <row r="891" spans="1:4" ht="25.9" customHeight="1">
      <c r="A891" s="63">
        <v>888</v>
      </c>
      <c r="D891" s="111">
        <f t="shared" si="16"/>
        <v>0</v>
      </c>
    </row>
    <row r="892" spans="1:4" ht="25.9" customHeight="1">
      <c r="A892" s="63">
        <v>889</v>
      </c>
      <c r="D892" s="111">
        <f t="shared" si="16"/>
        <v>0</v>
      </c>
    </row>
    <row r="893" spans="1:4" ht="25.9" customHeight="1">
      <c r="A893" s="63">
        <v>890</v>
      </c>
      <c r="D893" s="111">
        <f t="shared" si="16"/>
        <v>0</v>
      </c>
    </row>
    <row r="894" spans="1:4" ht="25.9" customHeight="1">
      <c r="A894" s="63">
        <v>891</v>
      </c>
      <c r="D894" s="111">
        <f t="shared" si="16"/>
        <v>0</v>
      </c>
    </row>
    <row r="895" spans="1:4" ht="25.9" customHeight="1">
      <c r="A895" s="63">
        <v>892</v>
      </c>
      <c r="D895" s="111">
        <f t="shared" si="16"/>
        <v>0</v>
      </c>
    </row>
    <row r="896" spans="1:4" ht="25.9" customHeight="1">
      <c r="A896" s="63">
        <v>893</v>
      </c>
      <c r="D896" s="111">
        <f t="shared" si="16"/>
        <v>0</v>
      </c>
    </row>
    <row r="897" spans="1:4" ht="25.9" customHeight="1">
      <c r="A897" s="63">
        <v>894</v>
      </c>
      <c r="D897" s="111">
        <f t="shared" si="16"/>
        <v>0</v>
      </c>
    </row>
    <row r="898" spans="1:4" ht="25.9" customHeight="1">
      <c r="A898" s="63">
        <v>895</v>
      </c>
      <c r="D898" s="111">
        <f t="shared" si="16"/>
        <v>0</v>
      </c>
    </row>
    <row r="899" spans="1:4" ht="25.9" customHeight="1">
      <c r="A899" s="63">
        <v>896</v>
      </c>
      <c r="D899" s="111">
        <f t="shared" si="16"/>
        <v>0</v>
      </c>
    </row>
    <row r="900" spans="1:4" ht="25.9" customHeight="1">
      <c r="A900" s="63">
        <v>897</v>
      </c>
      <c r="D900" s="111">
        <f t="shared" si="16"/>
        <v>0</v>
      </c>
    </row>
    <row r="901" spans="1:4" ht="25.9" customHeight="1">
      <c r="A901" s="63">
        <v>898</v>
      </c>
      <c r="D901" s="111">
        <f t="shared" si="16"/>
        <v>0</v>
      </c>
    </row>
    <row r="902" spans="1:4" ht="25.9" customHeight="1">
      <c r="A902" s="63">
        <v>899</v>
      </c>
      <c r="D902" s="111">
        <f t="shared" si="16"/>
        <v>0</v>
      </c>
    </row>
    <row r="903" spans="1:4" ht="25.9" customHeight="1">
      <c r="A903" s="63">
        <v>900</v>
      </c>
      <c r="D903" s="111">
        <f t="shared" si="16"/>
        <v>0</v>
      </c>
    </row>
    <row r="904" spans="1:4" ht="25.9" customHeight="1">
      <c r="A904" s="63">
        <v>901</v>
      </c>
      <c r="D904" s="111">
        <f t="shared" si="16"/>
        <v>0</v>
      </c>
    </row>
    <row r="905" spans="1:4" ht="25.9" customHeight="1">
      <c r="A905" s="63">
        <v>902</v>
      </c>
      <c r="D905" s="111">
        <f t="shared" si="16"/>
        <v>0</v>
      </c>
    </row>
    <row r="906" spans="1:4" ht="25.9" customHeight="1">
      <c r="A906" s="63">
        <v>903</v>
      </c>
      <c r="D906" s="111">
        <f t="shared" si="16"/>
        <v>0</v>
      </c>
    </row>
    <row r="907" spans="1:4" ht="25.9" customHeight="1">
      <c r="A907" s="63">
        <v>904</v>
      </c>
      <c r="D907" s="111">
        <f t="shared" si="16"/>
        <v>0</v>
      </c>
    </row>
    <row r="908" spans="1:4" ht="25.9" customHeight="1">
      <c r="A908" s="63">
        <v>905</v>
      </c>
      <c r="D908" s="111">
        <f t="shared" si="16"/>
        <v>0</v>
      </c>
    </row>
    <row r="909" spans="1:4" ht="25.9" customHeight="1">
      <c r="A909" s="63">
        <v>906</v>
      </c>
      <c r="D909" s="111">
        <f t="shared" si="16"/>
        <v>0</v>
      </c>
    </row>
    <row r="910" spans="1:4" ht="25.9" customHeight="1">
      <c r="A910" s="63">
        <v>907</v>
      </c>
      <c r="D910" s="111">
        <f t="shared" si="16"/>
        <v>0</v>
      </c>
    </row>
    <row r="911" spans="1:4" ht="25.9" customHeight="1">
      <c r="A911" s="63">
        <v>908</v>
      </c>
      <c r="D911" s="111">
        <f t="shared" si="16"/>
        <v>0</v>
      </c>
    </row>
    <row r="912" spans="1:4" ht="25.9" customHeight="1">
      <c r="A912" s="63">
        <v>909</v>
      </c>
      <c r="D912" s="111">
        <f t="shared" si="16"/>
        <v>0</v>
      </c>
    </row>
    <row r="913" spans="1:4" ht="25.9" customHeight="1">
      <c r="A913" s="63">
        <v>910</v>
      </c>
      <c r="D913" s="111">
        <f t="shared" si="16"/>
        <v>0</v>
      </c>
    </row>
    <row r="914" spans="1:4" ht="25.9" customHeight="1">
      <c r="A914" s="63">
        <v>911</v>
      </c>
      <c r="D914" s="111">
        <f t="shared" si="16"/>
        <v>0</v>
      </c>
    </row>
    <row r="915" spans="1:4" ht="25.9" customHeight="1">
      <c r="A915" s="63">
        <v>912</v>
      </c>
      <c r="D915" s="111">
        <f t="shared" si="16"/>
        <v>0</v>
      </c>
    </row>
    <row r="916" spans="1:4" ht="25.9" customHeight="1">
      <c r="A916" s="63">
        <v>913</v>
      </c>
      <c r="D916" s="111">
        <f t="shared" si="16"/>
        <v>0</v>
      </c>
    </row>
    <row r="917" spans="1:4" ht="25.9" customHeight="1">
      <c r="A917" s="63">
        <v>914</v>
      </c>
      <c r="D917" s="111">
        <f t="shared" si="16"/>
        <v>0</v>
      </c>
    </row>
    <row r="918" spans="1:4" ht="25.9" customHeight="1">
      <c r="A918" s="63">
        <v>915</v>
      </c>
      <c r="D918" s="111">
        <f t="shared" si="16"/>
        <v>0</v>
      </c>
    </row>
    <row r="919" spans="1:4" ht="25.9" customHeight="1">
      <c r="A919" s="63">
        <v>916</v>
      </c>
      <c r="D919" s="111">
        <f t="shared" si="16"/>
        <v>0</v>
      </c>
    </row>
    <row r="920" spans="1:4" ht="25.9" customHeight="1">
      <c r="A920" s="63">
        <v>917</v>
      </c>
      <c r="D920" s="111">
        <f t="shared" si="16"/>
        <v>0</v>
      </c>
    </row>
    <row r="921" spans="1:4" ht="25.9" customHeight="1">
      <c r="A921" s="63">
        <v>918</v>
      </c>
      <c r="D921" s="111">
        <f t="shared" si="16"/>
        <v>0</v>
      </c>
    </row>
    <row r="922" spans="1:4" ht="25.9" customHeight="1">
      <c r="A922" s="63">
        <v>919</v>
      </c>
      <c r="D922" s="111">
        <f t="shared" si="16"/>
        <v>0</v>
      </c>
    </row>
    <row r="923" spans="1:4" ht="25.9" customHeight="1">
      <c r="A923" s="63">
        <v>920</v>
      </c>
      <c r="D923" s="111">
        <f t="shared" si="16"/>
        <v>0</v>
      </c>
    </row>
    <row r="924" spans="1:4" ht="25.9" customHeight="1">
      <c r="A924" s="63">
        <v>921</v>
      </c>
      <c r="D924" s="111">
        <f t="shared" si="16"/>
        <v>0</v>
      </c>
    </row>
    <row r="925" spans="1:4" ht="25.9" customHeight="1">
      <c r="A925" s="63">
        <v>922</v>
      </c>
      <c r="D925" s="111">
        <f t="shared" si="16"/>
        <v>0</v>
      </c>
    </row>
    <row r="926" spans="1:4" ht="25.9" customHeight="1">
      <c r="A926" s="63">
        <v>923</v>
      </c>
      <c r="D926" s="111">
        <f t="shared" si="16"/>
        <v>0</v>
      </c>
    </row>
    <row r="927" spans="1:4" ht="25.9" customHeight="1">
      <c r="A927" s="63">
        <v>924</v>
      </c>
      <c r="D927" s="111">
        <f t="shared" si="16"/>
        <v>0</v>
      </c>
    </row>
    <row r="928" spans="1:4" ht="25.9" customHeight="1">
      <c r="A928" s="63">
        <v>925</v>
      </c>
      <c r="D928" s="111">
        <f t="shared" si="16"/>
        <v>0</v>
      </c>
    </row>
    <row r="929" spans="1:4" ht="25.9" customHeight="1">
      <c r="A929" s="63">
        <v>926</v>
      </c>
      <c r="D929" s="111">
        <f t="shared" si="16"/>
        <v>0</v>
      </c>
    </row>
    <row r="930" spans="1:4" ht="25.9" customHeight="1">
      <c r="A930" s="63">
        <v>927</v>
      </c>
      <c r="D930" s="111">
        <f t="shared" si="16"/>
        <v>0</v>
      </c>
    </row>
    <row r="931" spans="1:4" ht="25.9" customHeight="1">
      <c r="A931" s="63">
        <v>928</v>
      </c>
      <c r="D931" s="111">
        <f t="shared" si="16"/>
        <v>0</v>
      </c>
    </row>
    <row r="932" spans="1:4" ht="25.9" customHeight="1">
      <c r="A932" s="63">
        <v>929</v>
      </c>
      <c r="D932" s="111">
        <f t="shared" si="16"/>
        <v>0</v>
      </c>
    </row>
    <row r="933" spans="1:4" ht="25.9" customHeight="1">
      <c r="A933" s="63">
        <v>930</v>
      </c>
      <c r="D933" s="111">
        <f t="shared" si="16"/>
        <v>0</v>
      </c>
    </row>
    <row r="934" spans="1:4" ht="25.9" customHeight="1">
      <c r="A934" s="63">
        <v>931</v>
      </c>
      <c r="D934" s="111">
        <f t="shared" si="16"/>
        <v>0</v>
      </c>
    </row>
    <row r="935" spans="1:4" ht="25.9" customHeight="1">
      <c r="A935" s="63">
        <v>932</v>
      </c>
      <c r="D935" s="111">
        <f t="shared" si="16"/>
        <v>0</v>
      </c>
    </row>
    <row r="936" spans="1:4" ht="25.9" customHeight="1">
      <c r="A936" s="63">
        <v>933</v>
      </c>
      <c r="D936" s="111">
        <f t="shared" si="16"/>
        <v>0</v>
      </c>
    </row>
    <row r="937" spans="1:4" ht="25.9" customHeight="1">
      <c r="A937" s="63">
        <v>934</v>
      </c>
      <c r="D937" s="111">
        <f t="shared" si="16"/>
        <v>0</v>
      </c>
    </row>
    <row r="938" spans="1:4" ht="25.9" customHeight="1">
      <c r="A938" s="63">
        <v>935</v>
      </c>
      <c r="D938" s="111">
        <f t="shared" si="16"/>
        <v>0</v>
      </c>
    </row>
    <row r="939" spans="1:4" ht="25.9" customHeight="1">
      <c r="A939" s="63">
        <v>936</v>
      </c>
      <c r="D939" s="111">
        <f t="shared" si="16"/>
        <v>0</v>
      </c>
    </row>
    <row r="940" spans="1:4" ht="25.9" customHeight="1">
      <c r="A940" s="63">
        <v>937</v>
      </c>
      <c r="D940" s="111">
        <f t="shared" si="16"/>
        <v>0</v>
      </c>
    </row>
    <row r="941" spans="1:4" ht="25.9" customHeight="1">
      <c r="A941" s="63">
        <v>938</v>
      </c>
      <c r="D941" s="111">
        <f t="shared" si="16"/>
        <v>0</v>
      </c>
    </row>
    <row r="942" spans="1:4" ht="25.9" customHeight="1">
      <c r="A942" s="63">
        <v>939</v>
      </c>
      <c r="D942" s="111">
        <f t="shared" si="16"/>
        <v>0</v>
      </c>
    </row>
    <row r="943" spans="1:4" ht="25.9" customHeight="1">
      <c r="A943" s="63">
        <v>940</v>
      </c>
      <c r="D943" s="111">
        <f t="shared" si="16"/>
        <v>0</v>
      </c>
    </row>
    <row r="944" spans="1:4" ht="25.9" customHeight="1">
      <c r="A944" s="63">
        <v>941</v>
      </c>
      <c r="D944" s="111">
        <f t="shared" ref="D944:D1000" si="17">INDEX($E$4:$G$1000,$A944,$A$1)</f>
        <v>0</v>
      </c>
    </row>
    <row r="945" spans="1:4" ht="25.9" customHeight="1">
      <c r="A945" s="63">
        <v>942</v>
      </c>
      <c r="D945" s="111">
        <f t="shared" si="17"/>
        <v>0</v>
      </c>
    </row>
    <row r="946" spans="1:4" ht="25.9" customHeight="1">
      <c r="A946" s="63">
        <v>943</v>
      </c>
      <c r="D946" s="111">
        <f t="shared" si="17"/>
        <v>0</v>
      </c>
    </row>
    <row r="947" spans="1:4" ht="25.9" customHeight="1">
      <c r="A947" s="63">
        <v>944</v>
      </c>
      <c r="D947" s="111">
        <f t="shared" si="17"/>
        <v>0</v>
      </c>
    </row>
    <row r="948" spans="1:4" ht="25.9" customHeight="1">
      <c r="A948" s="63">
        <v>945</v>
      </c>
      <c r="D948" s="111">
        <f t="shared" si="17"/>
        <v>0</v>
      </c>
    </row>
    <row r="949" spans="1:4" ht="25.9" customHeight="1">
      <c r="A949" s="63">
        <v>946</v>
      </c>
      <c r="D949" s="111">
        <f t="shared" si="17"/>
        <v>0</v>
      </c>
    </row>
    <row r="950" spans="1:4" ht="25.9" customHeight="1">
      <c r="A950" s="63">
        <v>947</v>
      </c>
      <c r="D950" s="111">
        <f t="shared" si="17"/>
        <v>0</v>
      </c>
    </row>
    <row r="951" spans="1:4" ht="25.9" customHeight="1">
      <c r="A951" s="63">
        <v>948</v>
      </c>
      <c r="D951" s="111">
        <f t="shared" si="17"/>
        <v>0</v>
      </c>
    </row>
    <row r="952" spans="1:4" ht="25.9" customHeight="1">
      <c r="A952" s="63">
        <v>949</v>
      </c>
      <c r="D952" s="111">
        <f t="shared" si="17"/>
        <v>0</v>
      </c>
    </row>
    <row r="953" spans="1:4" ht="25.9" customHeight="1">
      <c r="A953" s="63">
        <v>950</v>
      </c>
      <c r="D953" s="111">
        <f t="shared" si="17"/>
        <v>0</v>
      </c>
    </row>
    <row r="954" spans="1:4" ht="25.9" customHeight="1">
      <c r="A954" s="63">
        <v>951</v>
      </c>
      <c r="D954" s="111">
        <f t="shared" si="17"/>
        <v>0</v>
      </c>
    </row>
    <row r="955" spans="1:4" ht="25.9" customHeight="1">
      <c r="A955" s="63">
        <v>952</v>
      </c>
      <c r="D955" s="111">
        <f t="shared" si="17"/>
        <v>0</v>
      </c>
    </row>
    <row r="956" spans="1:4" ht="25.9" customHeight="1">
      <c r="A956" s="63">
        <v>953</v>
      </c>
      <c r="D956" s="111">
        <f t="shared" si="17"/>
        <v>0</v>
      </c>
    </row>
    <row r="957" spans="1:4" ht="25.9" customHeight="1">
      <c r="A957" s="63">
        <v>954</v>
      </c>
      <c r="D957" s="111">
        <f t="shared" si="17"/>
        <v>0</v>
      </c>
    </row>
    <row r="958" spans="1:4" ht="25.9" customHeight="1">
      <c r="A958" s="63">
        <v>955</v>
      </c>
      <c r="D958" s="111">
        <f t="shared" si="17"/>
        <v>0</v>
      </c>
    </row>
    <row r="959" spans="1:4" ht="25.9" customHeight="1">
      <c r="A959" s="63">
        <v>956</v>
      </c>
      <c r="D959" s="111">
        <f t="shared" si="17"/>
        <v>0</v>
      </c>
    </row>
    <row r="960" spans="1:4" ht="25.9" customHeight="1">
      <c r="A960" s="63">
        <v>957</v>
      </c>
      <c r="D960" s="111">
        <f t="shared" si="17"/>
        <v>0</v>
      </c>
    </row>
    <row r="961" spans="1:4" ht="25.9" customHeight="1">
      <c r="A961" s="63">
        <v>958</v>
      </c>
      <c r="D961" s="111">
        <f t="shared" si="17"/>
        <v>0</v>
      </c>
    </row>
    <row r="962" spans="1:4" ht="25.9" customHeight="1">
      <c r="A962" s="63">
        <v>959</v>
      </c>
      <c r="D962" s="111">
        <f t="shared" si="17"/>
        <v>0</v>
      </c>
    </row>
    <row r="963" spans="1:4" ht="25.9" customHeight="1">
      <c r="A963" s="63">
        <v>960</v>
      </c>
      <c r="D963" s="111">
        <f t="shared" si="17"/>
        <v>0</v>
      </c>
    </row>
    <row r="964" spans="1:4" ht="25.9" customHeight="1">
      <c r="A964" s="63">
        <v>961</v>
      </c>
      <c r="D964" s="111">
        <f t="shared" si="17"/>
        <v>0</v>
      </c>
    </row>
    <row r="965" spans="1:4" ht="25.9" customHeight="1">
      <c r="A965" s="63">
        <v>962</v>
      </c>
      <c r="D965" s="111">
        <f t="shared" si="17"/>
        <v>0</v>
      </c>
    </row>
    <row r="966" spans="1:4" ht="25.9" customHeight="1">
      <c r="A966" s="63">
        <v>963</v>
      </c>
      <c r="D966" s="111">
        <f t="shared" si="17"/>
        <v>0</v>
      </c>
    </row>
    <row r="967" spans="1:4" ht="25.9" customHeight="1">
      <c r="A967" s="63">
        <v>964</v>
      </c>
      <c r="D967" s="111">
        <f t="shared" si="17"/>
        <v>0</v>
      </c>
    </row>
    <row r="968" spans="1:4" ht="25.9" customHeight="1">
      <c r="A968" s="63">
        <v>965</v>
      </c>
      <c r="D968" s="111">
        <f t="shared" si="17"/>
        <v>0</v>
      </c>
    </row>
    <row r="969" spans="1:4" ht="25.9" customHeight="1">
      <c r="A969" s="63">
        <v>966</v>
      </c>
      <c r="D969" s="111">
        <f t="shared" si="17"/>
        <v>0</v>
      </c>
    </row>
    <row r="970" spans="1:4" ht="25.9" customHeight="1">
      <c r="A970" s="63">
        <v>967</v>
      </c>
      <c r="D970" s="111">
        <f t="shared" si="17"/>
        <v>0</v>
      </c>
    </row>
    <row r="971" spans="1:4" ht="25.9" customHeight="1">
      <c r="A971" s="63">
        <v>968</v>
      </c>
      <c r="D971" s="111">
        <f t="shared" si="17"/>
        <v>0</v>
      </c>
    </row>
    <row r="972" spans="1:4" ht="25.9" customHeight="1">
      <c r="A972" s="63">
        <v>969</v>
      </c>
      <c r="D972" s="111">
        <f t="shared" si="17"/>
        <v>0</v>
      </c>
    </row>
    <row r="973" spans="1:4" ht="25.9" customHeight="1">
      <c r="A973" s="63">
        <v>970</v>
      </c>
      <c r="D973" s="111">
        <f t="shared" si="17"/>
        <v>0</v>
      </c>
    </row>
    <row r="974" spans="1:4" ht="25.9" customHeight="1">
      <c r="A974" s="63">
        <v>971</v>
      </c>
      <c r="D974" s="111">
        <f t="shared" si="17"/>
        <v>0</v>
      </c>
    </row>
    <row r="975" spans="1:4" ht="25.9" customHeight="1">
      <c r="A975" s="63">
        <v>972</v>
      </c>
      <c r="D975" s="111">
        <f t="shared" si="17"/>
        <v>0</v>
      </c>
    </row>
    <row r="976" spans="1:4" ht="25.9" customHeight="1">
      <c r="A976" s="63">
        <v>973</v>
      </c>
      <c r="D976" s="111">
        <f t="shared" si="17"/>
        <v>0</v>
      </c>
    </row>
    <row r="977" spans="1:4" ht="25.9" customHeight="1">
      <c r="A977" s="63">
        <v>974</v>
      </c>
      <c r="D977" s="111">
        <f t="shared" si="17"/>
        <v>0</v>
      </c>
    </row>
    <row r="978" spans="1:4" ht="25.9" customHeight="1">
      <c r="A978" s="63">
        <v>975</v>
      </c>
      <c r="D978" s="111">
        <f t="shared" si="17"/>
        <v>0</v>
      </c>
    </row>
    <row r="979" spans="1:4" ht="25.9" customHeight="1">
      <c r="A979" s="63">
        <v>976</v>
      </c>
      <c r="D979" s="111">
        <f t="shared" si="17"/>
        <v>0</v>
      </c>
    </row>
    <row r="980" spans="1:4" ht="25.9" customHeight="1">
      <c r="A980" s="63">
        <v>977</v>
      </c>
      <c r="D980" s="111">
        <f t="shared" si="17"/>
        <v>0</v>
      </c>
    </row>
    <row r="981" spans="1:4" ht="25.9" customHeight="1">
      <c r="A981" s="63">
        <v>978</v>
      </c>
      <c r="D981" s="111">
        <f t="shared" si="17"/>
        <v>0</v>
      </c>
    </row>
    <row r="982" spans="1:4" ht="25.9" customHeight="1">
      <c r="A982" s="63">
        <v>979</v>
      </c>
      <c r="D982" s="111">
        <f t="shared" si="17"/>
        <v>0</v>
      </c>
    </row>
    <row r="983" spans="1:4" ht="25.9" customHeight="1">
      <c r="A983" s="63">
        <v>980</v>
      </c>
      <c r="D983" s="111">
        <f t="shared" si="17"/>
        <v>0</v>
      </c>
    </row>
    <row r="984" spans="1:4" ht="25.9" customHeight="1">
      <c r="A984" s="63">
        <v>981</v>
      </c>
      <c r="D984" s="111">
        <f t="shared" si="17"/>
        <v>0</v>
      </c>
    </row>
    <row r="985" spans="1:4" ht="25.9" customHeight="1">
      <c r="A985" s="63">
        <v>982</v>
      </c>
      <c r="D985" s="111">
        <f t="shared" si="17"/>
        <v>0</v>
      </c>
    </row>
    <row r="986" spans="1:4" ht="25.9" customHeight="1">
      <c r="A986" s="63">
        <v>983</v>
      </c>
      <c r="D986" s="111">
        <f t="shared" si="17"/>
        <v>0</v>
      </c>
    </row>
    <row r="987" spans="1:4" ht="25.9" customHeight="1">
      <c r="A987" s="63">
        <v>984</v>
      </c>
      <c r="D987" s="111">
        <f t="shared" si="17"/>
        <v>0</v>
      </c>
    </row>
    <row r="988" spans="1:4" ht="25.9" customHeight="1">
      <c r="A988" s="63">
        <v>985</v>
      </c>
      <c r="D988" s="111">
        <f t="shared" si="17"/>
        <v>0</v>
      </c>
    </row>
    <row r="989" spans="1:4" ht="25.9" customHeight="1">
      <c r="A989" s="63">
        <v>986</v>
      </c>
      <c r="D989" s="111">
        <f t="shared" si="17"/>
        <v>0</v>
      </c>
    </row>
    <row r="990" spans="1:4" ht="25.9" customHeight="1">
      <c r="A990" s="63">
        <v>987</v>
      </c>
      <c r="D990" s="111">
        <f t="shared" si="17"/>
        <v>0</v>
      </c>
    </row>
    <row r="991" spans="1:4" ht="25.9" customHeight="1">
      <c r="A991" s="63">
        <v>988</v>
      </c>
      <c r="D991" s="111">
        <f t="shared" si="17"/>
        <v>0</v>
      </c>
    </row>
    <row r="992" spans="1:4" ht="25.9" customHeight="1">
      <c r="A992" s="63">
        <v>989</v>
      </c>
      <c r="D992" s="111">
        <f t="shared" si="17"/>
        <v>0</v>
      </c>
    </row>
    <row r="993" spans="1:4" ht="25.9" customHeight="1">
      <c r="A993" s="63">
        <v>990</v>
      </c>
      <c r="D993" s="111">
        <f t="shared" si="17"/>
        <v>0</v>
      </c>
    </row>
    <row r="994" spans="1:4" ht="25.9" customHeight="1">
      <c r="A994" s="63">
        <v>991</v>
      </c>
      <c r="D994" s="111">
        <f t="shared" si="17"/>
        <v>0</v>
      </c>
    </row>
    <row r="995" spans="1:4" ht="25.9" customHeight="1">
      <c r="A995" s="63">
        <v>992</v>
      </c>
      <c r="D995" s="111">
        <f t="shared" si="17"/>
        <v>0</v>
      </c>
    </row>
    <row r="996" spans="1:4" ht="25.9" customHeight="1">
      <c r="A996" s="63">
        <v>993</v>
      </c>
      <c r="D996" s="111">
        <f t="shared" si="17"/>
        <v>0</v>
      </c>
    </row>
    <row r="997" spans="1:4" ht="25.9" customHeight="1">
      <c r="A997" s="63">
        <v>994</v>
      </c>
      <c r="D997" s="111">
        <f t="shared" si="17"/>
        <v>0</v>
      </c>
    </row>
    <row r="998" spans="1:4" ht="25.9" customHeight="1">
      <c r="A998" s="63">
        <v>995</v>
      </c>
      <c r="D998" s="111">
        <f t="shared" si="17"/>
        <v>0</v>
      </c>
    </row>
    <row r="999" spans="1:4" ht="25.9" customHeight="1">
      <c r="A999" s="63">
        <v>996</v>
      </c>
      <c r="D999" s="111">
        <f t="shared" si="17"/>
        <v>0</v>
      </c>
    </row>
    <row r="1000" spans="1:4" ht="25.9" customHeight="1">
      <c r="A1000" s="63">
        <v>997</v>
      </c>
      <c r="D1000" s="111">
        <f t="shared" si="17"/>
        <v>0</v>
      </c>
    </row>
  </sheetData>
  <sheetProtection algorithmName="SHA-512" hashValue="J5FVj5LNaqByiexhWDBiuZmAUSuQsRSgjH5ZviasZJYo41P1bnTz+504UhGLYxdtKuhEA80BGF7syVTHeZRIfw==" saltValue="6LDBG9oSZzs0dsQsR4kIgQ==" spinCount="100000" sheet="1" objects="1" scenarios="1"/>
  <phoneticPr fontId="6" type="noConversion"/>
  <dataValidations count="1">
    <dataValidation type="list" allowBlank="1" showInputMessage="1" showErrorMessage="1" sqref="C1" xr:uid="{00000000-0002-0000-0200-000000000000}">
      <formula1>$H$1:$H$3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B1:F419"/>
  <sheetViews>
    <sheetView topLeftCell="B1" zoomScaleNormal="100" workbookViewId="0">
      <selection activeCell="C14" sqref="C14"/>
    </sheetView>
  </sheetViews>
  <sheetFormatPr baseColWidth="10" defaultColWidth="11.5703125" defaultRowHeight="26.1" customHeight="1"/>
  <cols>
    <col min="1" max="1" width="2.140625" style="51" customWidth="1"/>
    <col min="2" max="2" width="11.5703125" style="51"/>
    <col min="3" max="3" width="89.28515625" style="51" customWidth="1"/>
    <col min="4" max="4" width="77.42578125" style="51" customWidth="1"/>
    <col min="5" max="5" width="11.5703125" style="53"/>
    <col min="6" max="6" width="11.42578125" style="53" customWidth="1"/>
    <col min="7" max="16384" width="11.5703125" style="51"/>
  </cols>
  <sheetData>
    <row r="1" spans="2:6" ht="26.1" customHeight="1">
      <c r="B1" s="151" t="s">
        <v>2435</v>
      </c>
    </row>
    <row r="3" spans="2:6" s="152" customFormat="1" ht="26.1" customHeight="1">
      <c r="B3" s="152" t="s">
        <v>254</v>
      </c>
      <c r="C3" s="156" t="s">
        <v>640</v>
      </c>
      <c r="D3" s="152" t="s">
        <v>174</v>
      </c>
      <c r="E3" s="153" t="s">
        <v>255</v>
      </c>
      <c r="F3" s="153" t="s">
        <v>180</v>
      </c>
    </row>
    <row r="4" spans="2:6" ht="26.1" customHeight="1">
      <c r="B4" s="52">
        <v>43445</v>
      </c>
      <c r="C4" s="81" t="s">
        <v>2427</v>
      </c>
      <c r="E4" s="155" t="s">
        <v>2428</v>
      </c>
      <c r="F4" s="53">
        <v>2</v>
      </c>
    </row>
    <row r="5" spans="2:6" s="2" customFormat="1" ht="26.1" customHeight="1">
      <c r="B5" s="144">
        <v>43445</v>
      </c>
      <c r="C5" s="545" t="s">
        <v>2429</v>
      </c>
      <c r="D5" s="545" t="s">
        <v>2430</v>
      </c>
      <c r="E5" s="155" t="s">
        <v>2428</v>
      </c>
      <c r="F5" s="53">
        <v>2</v>
      </c>
    </row>
    <row r="6" spans="2:6" s="2" customFormat="1" ht="26.1" customHeight="1">
      <c r="B6" s="144">
        <v>43445</v>
      </c>
      <c r="C6" s="545" t="s">
        <v>2431</v>
      </c>
      <c r="D6" s="545" t="s">
        <v>2432</v>
      </c>
      <c r="E6" s="155" t="s">
        <v>2428</v>
      </c>
      <c r="F6" s="53">
        <v>2</v>
      </c>
    </row>
    <row r="7" spans="2:6" s="2" customFormat="1" ht="26.1" customHeight="1">
      <c r="B7" s="144"/>
      <c r="E7" s="155"/>
      <c r="F7" s="53"/>
    </row>
    <row r="8" spans="2:6" s="2" customFormat="1" ht="26.1" customHeight="1">
      <c r="B8" s="144"/>
      <c r="E8" s="155"/>
      <c r="F8" s="53"/>
    </row>
    <row r="9" spans="2:6" s="2" customFormat="1" ht="26.1" customHeight="1">
      <c r="B9" s="144"/>
      <c r="C9" s="149"/>
      <c r="D9" s="148"/>
      <c r="E9" s="155"/>
      <c r="F9" s="53"/>
    </row>
    <row r="10" spans="2:6" s="2" customFormat="1" ht="26.1" customHeight="1">
      <c r="B10" s="144"/>
      <c r="C10" s="149"/>
      <c r="D10" s="148"/>
      <c r="E10" s="155"/>
      <c r="F10" s="145"/>
    </row>
    <row r="11" spans="2:6" s="2" customFormat="1" ht="26.1" customHeight="1">
      <c r="B11" s="144"/>
      <c r="C11" s="149"/>
      <c r="D11" s="149"/>
      <c r="E11" s="155"/>
      <c r="F11" s="145"/>
    </row>
    <row r="12" spans="2:6" s="2" customFormat="1" ht="26.1" customHeight="1">
      <c r="B12" s="144"/>
      <c r="C12" s="149"/>
      <c r="E12" s="155"/>
      <c r="F12" s="163"/>
    </row>
    <row r="13" spans="2:6" s="2" customFormat="1" ht="26.1" customHeight="1">
      <c r="B13" s="144"/>
      <c r="C13" s="149"/>
      <c r="D13" s="148"/>
      <c r="E13" s="155"/>
      <c r="F13" s="169"/>
    </row>
    <row r="14" spans="2:6" s="2" customFormat="1" ht="26.1" customHeight="1">
      <c r="B14" s="144"/>
      <c r="C14" s="149"/>
      <c r="D14" s="148"/>
      <c r="E14" s="145"/>
      <c r="F14" s="145"/>
    </row>
    <row r="15" spans="2:6" s="2" customFormat="1" ht="26.1" customHeight="1">
      <c r="B15" s="144"/>
      <c r="C15" s="149"/>
      <c r="E15" s="145"/>
      <c r="F15" s="145"/>
    </row>
    <row r="16" spans="2:6" s="2" customFormat="1" ht="26.1" customHeight="1">
      <c r="B16" s="144"/>
      <c r="C16" s="149"/>
      <c r="D16" s="148"/>
      <c r="E16" s="342"/>
      <c r="F16" s="145"/>
    </row>
    <row r="17" spans="2:6" s="2" customFormat="1" ht="26.1" customHeight="1">
      <c r="B17" s="144"/>
      <c r="C17" s="149"/>
      <c r="D17" s="148"/>
      <c r="E17" s="145"/>
      <c r="F17" s="145"/>
    </row>
    <row r="18" spans="2:6" s="2" customFormat="1" ht="26.1" customHeight="1">
      <c r="B18" s="144"/>
      <c r="C18" s="149"/>
      <c r="D18" s="149"/>
      <c r="E18" s="145"/>
      <c r="F18" s="145"/>
    </row>
    <row r="19" spans="2:6" s="2" customFormat="1" ht="26.1" customHeight="1">
      <c r="B19" s="144"/>
      <c r="C19" s="149"/>
      <c r="D19" s="149"/>
      <c r="E19" s="145"/>
      <c r="F19" s="145"/>
    </row>
    <row r="20" spans="2:6" s="2" customFormat="1" ht="26.1" customHeight="1">
      <c r="B20" s="144"/>
      <c r="C20" s="149"/>
      <c r="D20" s="149"/>
      <c r="E20" s="145"/>
      <c r="F20" s="145"/>
    </row>
    <row r="21" spans="2:6" s="2" customFormat="1" ht="26.1" customHeight="1">
      <c r="B21" s="144"/>
      <c r="C21" s="149"/>
      <c r="D21" s="149"/>
      <c r="E21" s="145"/>
      <c r="F21" s="145"/>
    </row>
    <row r="22" spans="2:6" s="2" customFormat="1" ht="26.1" customHeight="1">
      <c r="B22" s="144"/>
      <c r="C22" s="149"/>
      <c r="D22" s="149"/>
      <c r="E22" s="145"/>
      <c r="F22" s="145"/>
    </row>
    <row r="23" spans="2:6" s="2" customFormat="1" ht="26.1" customHeight="1">
      <c r="B23" s="144"/>
      <c r="C23" s="149"/>
      <c r="D23" s="149"/>
      <c r="E23" s="145"/>
      <c r="F23" s="145"/>
    </row>
    <row r="24" spans="2:6" s="2" customFormat="1" ht="26.1" customHeight="1">
      <c r="B24" s="144"/>
      <c r="C24" s="149"/>
      <c r="D24" s="149"/>
      <c r="E24" s="145"/>
      <c r="F24" s="145"/>
    </row>
    <row r="25" spans="2:6" s="2" customFormat="1" ht="26.1" customHeight="1">
      <c r="B25" s="144"/>
      <c r="C25" s="149"/>
      <c r="D25" s="149"/>
      <c r="E25" s="145"/>
      <c r="F25" s="145"/>
    </row>
    <row r="26" spans="2:6" s="2" customFormat="1" ht="26.1" customHeight="1">
      <c r="B26" s="144"/>
      <c r="C26" s="149"/>
      <c r="D26" s="149"/>
      <c r="E26" s="145"/>
      <c r="F26" s="145"/>
    </row>
    <row r="27" spans="2:6" s="2" customFormat="1" ht="26.1" customHeight="1">
      <c r="B27" s="144"/>
      <c r="C27" s="149"/>
      <c r="D27" s="149"/>
      <c r="E27" s="145"/>
      <c r="F27" s="145"/>
    </row>
    <row r="28" spans="2:6" s="2" customFormat="1" ht="26.1" customHeight="1">
      <c r="B28" s="144"/>
      <c r="C28" s="149"/>
      <c r="D28" s="149"/>
      <c r="E28" s="145"/>
      <c r="F28" s="145"/>
    </row>
    <row r="29" spans="2:6" s="2" customFormat="1" ht="26.1" customHeight="1">
      <c r="B29" s="144"/>
      <c r="C29" s="149"/>
      <c r="D29" s="149"/>
      <c r="E29" s="145"/>
      <c r="F29" s="145"/>
    </row>
    <row r="30" spans="2:6" s="2" customFormat="1" ht="26.1" customHeight="1">
      <c r="B30" s="144"/>
      <c r="C30" s="149"/>
      <c r="D30" s="149"/>
      <c r="E30" s="145"/>
      <c r="F30" s="145"/>
    </row>
    <row r="31" spans="2:6" s="2" customFormat="1" ht="26.1" customHeight="1">
      <c r="B31" s="144"/>
      <c r="C31" s="149"/>
      <c r="D31" s="149"/>
      <c r="E31" s="145"/>
      <c r="F31" s="145"/>
    </row>
    <row r="32" spans="2:6" s="2" customFormat="1" ht="26.1" customHeight="1">
      <c r="B32" s="144"/>
      <c r="C32" s="149"/>
      <c r="D32" s="149"/>
      <c r="E32" s="145"/>
      <c r="F32" s="145"/>
    </row>
    <row r="33" spans="2:6" s="2" customFormat="1" ht="26.1" customHeight="1">
      <c r="B33" s="144"/>
      <c r="C33" s="149"/>
      <c r="D33" s="149"/>
      <c r="E33" s="145"/>
      <c r="F33" s="145"/>
    </row>
    <row r="34" spans="2:6" s="2" customFormat="1" ht="26.1" customHeight="1">
      <c r="B34" s="144"/>
      <c r="C34" s="149"/>
      <c r="D34" s="149"/>
      <c r="E34" s="145"/>
      <c r="F34" s="145"/>
    </row>
    <row r="35" spans="2:6" s="2" customFormat="1" ht="26.1" customHeight="1">
      <c r="B35" s="144"/>
      <c r="C35" s="149"/>
      <c r="D35" s="149"/>
      <c r="E35" s="145"/>
      <c r="F35" s="145"/>
    </row>
    <row r="36" spans="2:6" s="2" customFormat="1" ht="26.1" customHeight="1">
      <c r="B36" s="144"/>
      <c r="C36" s="149"/>
      <c r="D36" s="149"/>
      <c r="E36" s="145"/>
      <c r="F36" s="145"/>
    </row>
    <row r="37" spans="2:6" s="2" customFormat="1" ht="26.1" customHeight="1">
      <c r="B37" s="144"/>
      <c r="C37" s="149"/>
      <c r="D37" s="149"/>
      <c r="E37" s="145"/>
      <c r="F37" s="145"/>
    </row>
    <row r="38" spans="2:6" s="2" customFormat="1" ht="26.1" customHeight="1">
      <c r="B38" s="144"/>
      <c r="C38" s="149"/>
      <c r="D38" s="149"/>
      <c r="E38" s="145"/>
      <c r="F38" s="145"/>
    </row>
    <row r="39" spans="2:6" s="2" customFormat="1" ht="26.1" customHeight="1">
      <c r="B39" s="144"/>
      <c r="C39" s="149"/>
      <c r="D39" s="149"/>
      <c r="E39" s="145"/>
      <c r="F39" s="145"/>
    </row>
    <row r="40" spans="2:6" s="2" customFormat="1" ht="26.1" customHeight="1">
      <c r="B40" s="144"/>
      <c r="C40" s="149"/>
      <c r="D40" s="149"/>
      <c r="E40" s="145"/>
      <c r="F40" s="145"/>
    </row>
    <row r="41" spans="2:6" s="2" customFormat="1" ht="26.1" customHeight="1">
      <c r="B41" s="144"/>
      <c r="C41" s="149"/>
      <c r="D41" s="149"/>
      <c r="E41" s="145"/>
      <c r="F41" s="145"/>
    </row>
    <row r="42" spans="2:6" s="2" customFormat="1" ht="26.1" customHeight="1">
      <c r="B42" s="144"/>
      <c r="C42" s="149"/>
      <c r="D42" s="149"/>
      <c r="E42" s="145"/>
      <c r="F42" s="145"/>
    </row>
    <row r="43" spans="2:6" s="2" customFormat="1" ht="26.1" customHeight="1">
      <c r="B43" s="144"/>
      <c r="C43" s="149"/>
      <c r="D43" s="149"/>
      <c r="E43" s="145"/>
      <c r="F43" s="145"/>
    </row>
    <row r="44" spans="2:6" s="2" customFormat="1" ht="26.1" customHeight="1">
      <c r="B44" s="144"/>
      <c r="C44" s="149"/>
      <c r="D44" s="149"/>
      <c r="E44" s="145"/>
      <c r="F44" s="145"/>
    </row>
    <row r="45" spans="2:6" s="2" customFormat="1" ht="26.1" customHeight="1">
      <c r="B45" s="144"/>
      <c r="C45" s="149"/>
      <c r="D45" s="149"/>
      <c r="E45" s="145"/>
      <c r="F45" s="145"/>
    </row>
    <row r="46" spans="2:6" s="2" customFormat="1" ht="26.1" customHeight="1">
      <c r="B46" s="144"/>
      <c r="C46" s="149"/>
      <c r="D46" s="149"/>
      <c r="E46" s="145"/>
      <c r="F46" s="145"/>
    </row>
    <row r="47" spans="2:6" s="2" customFormat="1" ht="26.1" customHeight="1">
      <c r="B47" s="144"/>
      <c r="C47" s="149"/>
      <c r="D47" s="149"/>
      <c r="E47" s="145"/>
      <c r="F47" s="145"/>
    </row>
    <row r="48" spans="2:6" s="2" customFormat="1" ht="26.1" customHeight="1">
      <c r="B48" s="144"/>
      <c r="C48" s="149"/>
      <c r="D48" s="149"/>
      <c r="E48" s="145"/>
      <c r="F48" s="145"/>
    </row>
    <row r="49" spans="2:6" s="2" customFormat="1" ht="26.1" customHeight="1">
      <c r="B49" s="144"/>
      <c r="C49" s="149"/>
      <c r="D49" s="149"/>
      <c r="E49" s="145"/>
      <c r="F49" s="145"/>
    </row>
    <row r="50" spans="2:6" s="2" customFormat="1" ht="26.1" customHeight="1">
      <c r="B50" s="144"/>
      <c r="C50" s="149"/>
      <c r="E50" s="145"/>
      <c r="F50" s="145"/>
    </row>
    <row r="51" spans="2:6" s="2" customFormat="1" ht="26.1" customHeight="1">
      <c r="B51" s="144"/>
      <c r="C51" s="149"/>
      <c r="D51" s="148"/>
      <c r="E51" s="145"/>
      <c r="F51" s="145"/>
    </row>
    <row r="52" spans="2:6" s="2" customFormat="1" ht="26.1" customHeight="1">
      <c r="B52" s="144"/>
      <c r="C52" s="149"/>
      <c r="D52" s="148"/>
      <c r="E52" s="145"/>
      <c r="F52" s="145"/>
    </row>
    <row r="53" spans="2:6" s="2" customFormat="1" ht="26.1" customHeight="1">
      <c r="B53" s="144"/>
      <c r="C53" s="149"/>
      <c r="D53" s="148"/>
      <c r="E53" s="145"/>
      <c r="F53" s="145"/>
    </row>
    <row r="54" spans="2:6" s="2" customFormat="1" ht="26.1" customHeight="1">
      <c r="B54" s="144"/>
      <c r="C54" s="149"/>
      <c r="D54" s="148"/>
      <c r="E54" s="145"/>
      <c r="F54" s="145"/>
    </row>
    <row r="55" spans="2:6" s="2" customFormat="1" ht="26.1" customHeight="1">
      <c r="B55" s="144"/>
      <c r="C55" s="149"/>
      <c r="D55" s="149"/>
      <c r="E55" s="145"/>
      <c r="F55" s="145"/>
    </row>
    <row r="56" spans="2:6" s="2" customFormat="1" ht="26.1" customHeight="1">
      <c r="B56" s="144"/>
      <c r="C56" s="149"/>
      <c r="D56" s="149"/>
      <c r="E56" s="145"/>
      <c r="F56" s="145"/>
    </row>
    <row r="57" spans="2:6" s="2" customFormat="1" ht="26.1" customHeight="1">
      <c r="B57" s="144"/>
      <c r="C57" s="149"/>
      <c r="D57" s="149"/>
      <c r="E57" s="145"/>
      <c r="F57" s="145"/>
    </row>
    <row r="58" spans="2:6" s="2" customFormat="1" ht="26.1" customHeight="1">
      <c r="B58" s="144"/>
      <c r="C58" s="149"/>
      <c r="D58" s="149"/>
      <c r="E58" s="145"/>
      <c r="F58" s="145"/>
    </row>
    <row r="59" spans="2:6" s="2" customFormat="1" ht="26.1" customHeight="1">
      <c r="B59" s="144"/>
      <c r="C59" s="149"/>
      <c r="D59" s="149"/>
      <c r="E59" s="145"/>
      <c r="F59" s="145"/>
    </row>
    <row r="60" spans="2:6" s="2" customFormat="1" ht="26.1" customHeight="1">
      <c r="B60" s="144"/>
      <c r="C60" s="149"/>
      <c r="E60" s="145"/>
      <c r="F60" s="145"/>
    </row>
    <row r="61" spans="2:6" s="2" customFormat="1" ht="26.1" customHeight="1">
      <c r="B61" s="144"/>
      <c r="C61" s="149"/>
      <c r="E61" s="145"/>
      <c r="F61" s="145"/>
    </row>
    <row r="62" spans="2:6" s="2" customFormat="1" ht="26.1" customHeight="1">
      <c r="B62" s="144"/>
      <c r="C62" s="149"/>
      <c r="D62" s="148"/>
      <c r="E62" s="145"/>
      <c r="F62" s="145"/>
    </row>
    <row r="63" spans="2:6" s="2" customFormat="1" ht="26.1" customHeight="1">
      <c r="B63" s="144"/>
      <c r="C63" s="149"/>
      <c r="D63" s="148"/>
      <c r="E63" s="145"/>
      <c r="F63" s="145"/>
    </row>
    <row r="64" spans="2:6" s="2" customFormat="1" ht="26.1" customHeight="1">
      <c r="B64" s="144"/>
      <c r="C64" s="149"/>
      <c r="D64" s="149"/>
      <c r="E64" s="145"/>
      <c r="F64" s="145"/>
    </row>
    <row r="65" spans="2:6" s="2" customFormat="1" ht="26.1" customHeight="1">
      <c r="B65" s="144"/>
      <c r="C65" s="149"/>
      <c r="D65" s="148"/>
      <c r="E65" s="145"/>
      <c r="F65" s="145"/>
    </row>
    <row r="66" spans="2:6" s="2" customFormat="1" ht="26.1" customHeight="1">
      <c r="B66" s="144"/>
      <c r="C66" s="149"/>
      <c r="D66" s="148"/>
      <c r="E66" s="145"/>
      <c r="F66" s="145"/>
    </row>
    <row r="67" spans="2:6" s="2" customFormat="1" ht="26.1" customHeight="1">
      <c r="B67" s="144"/>
      <c r="C67" s="149"/>
      <c r="D67" s="148"/>
      <c r="E67" s="145"/>
      <c r="F67" s="145"/>
    </row>
    <row r="68" spans="2:6" s="2" customFormat="1" ht="26.1" customHeight="1">
      <c r="B68" s="144"/>
      <c r="C68" s="149"/>
      <c r="D68" s="149"/>
      <c r="E68" s="145"/>
      <c r="F68" s="145"/>
    </row>
    <row r="69" spans="2:6" s="2" customFormat="1" ht="26.1" customHeight="1">
      <c r="B69" s="144"/>
      <c r="C69" s="149"/>
      <c r="D69" s="149"/>
      <c r="E69" s="145"/>
      <c r="F69" s="145"/>
    </row>
    <row r="70" spans="2:6" s="2" customFormat="1" ht="26.1" customHeight="1">
      <c r="B70" s="144"/>
      <c r="C70" s="149"/>
      <c r="D70" s="149"/>
      <c r="E70" s="145"/>
      <c r="F70" s="145"/>
    </row>
    <row r="71" spans="2:6" s="2" customFormat="1" ht="26.1" customHeight="1">
      <c r="B71" s="144"/>
      <c r="C71" s="149"/>
      <c r="D71" s="149"/>
      <c r="E71" s="145"/>
      <c r="F71" s="145"/>
    </row>
    <row r="72" spans="2:6" s="2" customFormat="1" ht="26.1" customHeight="1">
      <c r="B72" s="144"/>
      <c r="C72" s="149"/>
      <c r="D72" s="149"/>
      <c r="E72" s="145"/>
      <c r="F72" s="145"/>
    </row>
    <row r="73" spans="2:6" s="2" customFormat="1" ht="26.1" customHeight="1">
      <c r="B73" s="144"/>
      <c r="C73" s="149"/>
      <c r="D73" s="149"/>
      <c r="E73" s="145"/>
      <c r="F73" s="145"/>
    </row>
    <row r="74" spans="2:6" s="2" customFormat="1" ht="26.1" customHeight="1">
      <c r="B74" s="144"/>
      <c r="C74" s="149"/>
      <c r="D74" s="149"/>
      <c r="E74" s="145"/>
      <c r="F74" s="145"/>
    </row>
    <row r="75" spans="2:6" s="2" customFormat="1" ht="26.1" customHeight="1">
      <c r="B75" s="144"/>
      <c r="C75" s="149"/>
      <c r="D75" s="149"/>
      <c r="E75" s="145"/>
      <c r="F75" s="145"/>
    </row>
    <row r="76" spans="2:6" s="2" customFormat="1" ht="26.1" customHeight="1">
      <c r="B76" s="144"/>
      <c r="C76" s="149"/>
      <c r="D76" s="149"/>
      <c r="E76" s="145"/>
      <c r="F76" s="145"/>
    </row>
    <row r="77" spans="2:6" s="2" customFormat="1" ht="26.1" customHeight="1">
      <c r="B77" s="144"/>
      <c r="C77" s="149"/>
      <c r="D77" s="149"/>
      <c r="E77" s="145"/>
      <c r="F77" s="145"/>
    </row>
    <row r="78" spans="2:6" s="2" customFormat="1" ht="26.1" customHeight="1">
      <c r="B78" s="144"/>
      <c r="C78" s="149"/>
      <c r="D78" s="149"/>
      <c r="E78" s="145"/>
      <c r="F78" s="145"/>
    </row>
    <row r="79" spans="2:6" s="2" customFormat="1" ht="26.1" customHeight="1">
      <c r="B79" s="144"/>
      <c r="C79" s="149"/>
      <c r="D79" s="149"/>
      <c r="E79" s="145"/>
      <c r="F79" s="145"/>
    </row>
    <row r="80" spans="2:6" s="2" customFormat="1" ht="26.1" customHeight="1">
      <c r="B80" s="150"/>
      <c r="C80" s="149"/>
      <c r="D80" s="149"/>
      <c r="E80" s="145"/>
      <c r="F80" s="145"/>
    </row>
    <row r="81" spans="2:6" s="2" customFormat="1" ht="26.1" customHeight="1">
      <c r="B81" s="150"/>
      <c r="C81" s="149"/>
      <c r="D81" s="149"/>
      <c r="E81" s="145"/>
      <c r="F81" s="145"/>
    </row>
    <row r="82" spans="2:6" s="2" customFormat="1" ht="26.1" customHeight="1">
      <c r="B82" s="150"/>
      <c r="C82" s="149"/>
      <c r="D82" s="149"/>
      <c r="E82" s="145"/>
      <c r="F82" s="145"/>
    </row>
    <row r="83" spans="2:6" s="2" customFormat="1" ht="26.1" customHeight="1">
      <c r="B83" s="150"/>
      <c r="C83" s="149"/>
      <c r="D83" s="149"/>
      <c r="E83" s="145"/>
      <c r="F83" s="145"/>
    </row>
    <row r="84" spans="2:6" s="2" customFormat="1" ht="26.1" customHeight="1">
      <c r="B84" s="150"/>
      <c r="C84" s="149"/>
      <c r="D84" s="149"/>
      <c r="E84" s="145"/>
      <c r="F84" s="145"/>
    </row>
    <row r="85" spans="2:6" s="2" customFormat="1" ht="26.1" customHeight="1">
      <c r="B85" s="150"/>
      <c r="C85" s="149"/>
      <c r="D85" s="149"/>
      <c r="E85" s="145"/>
      <c r="F85" s="163"/>
    </row>
    <row r="86" spans="2:6" s="2" customFormat="1" ht="26.1" customHeight="1">
      <c r="B86" s="150"/>
      <c r="C86" s="149"/>
      <c r="D86" s="149"/>
      <c r="E86" s="145"/>
      <c r="F86" s="163"/>
    </row>
    <row r="87" spans="2:6" s="2" customFormat="1" ht="26.1" customHeight="1">
      <c r="B87" s="150"/>
      <c r="C87" s="149"/>
      <c r="D87" s="149"/>
      <c r="E87" s="145"/>
      <c r="F87" s="163"/>
    </row>
    <row r="88" spans="2:6" s="2" customFormat="1" ht="26.1" customHeight="1">
      <c r="B88" s="150"/>
      <c r="C88" s="149"/>
      <c r="D88" s="149"/>
      <c r="E88" s="145"/>
      <c r="F88" s="163"/>
    </row>
    <row r="89" spans="2:6" s="2" customFormat="1" ht="26.1" customHeight="1">
      <c r="B89" s="150"/>
      <c r="C89" s="149"/>
      <c r="D89" s="149"/>
      <c r="E89" s="145"/>
      <c r="F89" s="163"/>
    </row>
    <row r="90" spans="2:6" s="2" customFormat="1" ht="26.1" customHeight="1">
      <c r="B90" s="150"/>
      <c r="C90" s="149"/>
      <c r="D90" s="149"/>
      <c r="E90" s="145"/>
      <c r="F90" s="163"/>
    </row>
    <row r="91" spans="2:6" s="2" customFormat="1" ht="26.1" customHeight="1">
      <c r="B91" s="150"/>
      <c r="C91" s="149"/>
      <c r="D91" s="149"/>
      <c r="E91" s="145"/>
      <c r="F91" s="163"/>
    </row>
    <row r="92" spans="2:6" s="2" customFormat="1" ht="26.1" customHeight="1">
      <c r="B92" s="546"/>
      <c r="C92" s="545"/>
      <c r="D92" s="545"/>
      <c r="E92" s="544"/>
      <c r="F92" s="547"/>
    </row>
    <row r="93" spans="2:6" s="2" customFormat="1" ht="26.1" customHeight="1">
      <c r="B93" s="546"/>
      <c r="C93" s="545"/>
      <c r="D93" s="545"/>
      <c r="E93" s="544"/>
      <c r="F93" s="547"/>
    </row>
    <row r="94" spans="2:6" s="2" customFormat="1" ht="26.1" customHeight="1">
      <c r="B94" s="546"/>
      <c r="C94" s="545"/>
      <c r="D94" s="545"/>
      <c r="E94" s="544"/>
      <c r="F94" s="547"/>
    </row>
    <row r="95" spans="2:6" s="2" customFormat="1" ht="26.1" customHeight="1">
      <c r="B95" s="546"/>
      <c r="C95" s="545"/>
      <c r="D95" s="545"/>
      <c r="E95" s="544"/>
      <c r="F95" s="547"/>
    </row>
    <row r="96" spans="2:6" s="2" customFormat="1" ht="26.1" customHeight="1">
      <c r="B96" s="546"/>
      <c r="C96" s="545"/>
      <c r="D96" s="545"/>
      <c r="E96" s="544"/>
      <c r="F96" s="547"/>
    </row>
    <row r="97" spans="2:6" s="2" customFormat="1" ht="26.1" customHeight="1">
      <c r="B97" s="144"/>
      <c r="E97" s="145"/>
      <c r="F97" s="145"/>
    </row>
    <row r="98" spans="2:6" s="2" customFormat="1" ht="26.1" customHeight="1">
      <c r="B98" s="144"/>
      <c r="E98" s="145"/>
      <c r="F98" s="145"/>
    </row>
    <row r="99" spans="2:6" s="2" customFormat="1" ht="26.1" customHeight="1">
      <c r="B99" s="144"/>
      <c r="E99" s="145"/>
      <c r="F99" s="145"/>
    </row>
    <row r="100" spans="2:6" s="2" customFormat="1" ht="26.1" customHeight="1">
      <c r="B100" s="144"/>
      <c r="E100" s="145"/>
      <c r="F100" s="145"/>
    </row>
    <row r="101" spans="2:6" s="2" customFormat="1" ht="26.1" customHeight="1">
      <c r="B101" s="144"/>
      <c r="E101" s="145"/>
      <c r="F101" s="145"/>
    </row>
    <row r="102" spans="2:6" s="2" customFormat="1" ht="26.1" customHeight="1">
      <c r="B102" s="144"/>
      <c r="E102" s="145"/>
      <c r="F102" s="145"/>
    </row>
    <row r="103" spans="2:6" s="2" customFormat="1" ht="26.1" customHeight="1">
      <c r="B103" s="144"/>
      <c r="E103" s="145"/>
      <c r="F103" s="145"/>
    </row>
    <row r="104" spans="2:6" s="2" customFormat="1" ht="26.1" customHeight="1">
      <c r="B104" s="144"/>
      <c r="E104" s="145"/>
      <c r="F104" s="145"/>
    </row>
    <row r="105" spans="2:6" s="2" customFormat="1" ht="26.1" customHeight="1">
      <c r="B105" s="144"/>
      <c r="E105" s="145"/>
      <c r="F105" s="145"/>
    </row>
    <row r="106" spans="2:6" s="2" customFormat="1" ht="26.1" customHeight="1">
      <c r="B106" s="144"/>
      <c r="E106" s="145"/>
      <c r="F106" s="145"/>
    </row>
    <row r="107" spans="2:6" s="2" customFormat="1" ht="26.1" customHeight="1">
      <c r="B107" s="144"/>
      <c r="E107" s="145"/>
      <c r="F107" s="145"/>
    </row>
    <row r="108" spans="2:6" s="2" customFormat="1" ht="26.1" customHeight="1">
      <c r="B108" s="144"/>
      <c r="E108" s="145"/>
      <c r="F108" s="145"/>
    </row>
    <row r="109" spans="2:6" s="2" customFormat="1" ht="26.1" customHeight="1">
      <c r="B109" s="144"/>
      <c r="E109" s="145"/>
      <c r="F109" s="145"/>
    </row>
    <row r="110" spans="2:6" s="2" customFormat="1" ht="26.1" customHeight="1">
      <c r="B110" s="144"/>
      <c r="E110" s="145"/>
      <c r="F110" s="145"/>
    </row>
    <row r="111" spans="2:6" s="2" customFormat="1" ht="26.1" customHeight="1">
      <c r="B111" s="144"/>
      <c r="E111" s="145"/>
      <c r="F111" s="145"/>
    </row>
    <row r="112" spans="2:6" s="2" customFormat="1" ht="26.1" customHeight="1">
      <c r="B112" s="144"/>
      <c r="E112" s="145"/>
      <c r="F112" s="145"/>
    </row>
    <row r="113" spans="2:6" s="2" customFormat="1" ht="26.1" customHeight="1">
      <c r="B113" s="144"/>
      <c r="E113" s="145"/>
      <c r="F113" s="145"/>
    </row>
    <row r="114" spans="2:6" s="2" customFormat="1" ht="26.1" customHeight="1">
      <c r="B114" s="144"/>
      <c r="E114" s="145"/>
      <c r="F114" s="145"/>
    </row>
    <row r="115" spans="2:6" s="2" customFormat="1" ht="26.1" customHeight="1">
      <c r="B115" s="144"/>
      <c r="E115" s="145"/>
      <c r="F115" s="145"/>
    </row>
    <row r="116" spans="2:6" s="2" customFormat="1" ht="26.1" customHeight="1">
      <c r="B116" s="144"/>
      <c r="E116" s="145"/>
      <c r="F116" s="145"/>
    </row>
    <row r="117" spans="2:6" s="2" customFormat="1" ht="26.1" customHeight="1">
      <c r="B117" s="144"/>
      <c r="E117" s="145"/>
      <c r="F117" s="145"/>
    </row>
    <row r="118" spans="2:6" s="2" customFormat="1" ht="26.1" customHeight="1">
      <c r="B118" s="144"/>
      <c r="E118" s="145"/>
      <c r="F118" s="145"/>
    </row>
    <row r="119" spans="2:6" s="2" customFormat="1" ht="26.1" customHeight="1">
      <c r="B119" s="144"/>
      <c r="E119" s="145"/>
      <c r="F119" s="145"/>
    </row>
    <row r="120" spans="2:6" s="2" customFormat="1" ht="26.1" customHeight="1">
      <c r="B120" s="144"/>
      <c r="E120" s="145"/>
      <c r="F120" s="145"/>
    </row>
    <row r="121" spans="2:6" s="2" customFormat="1" ht="26.1" customHeight="1">
      <c r="B121" s="144"/>
      <c r="E121" s="145"/>
      <c r="F121" s="145"/>
    </row>
    <row r="122" spans="2:6" s="2" customFormat="1" ht="26.1" customHeight="1">
      <c r="B122" s="144"/>
      <c r="E122" s="145"/>
      <c r="F122" s="145"/>
    </row>
    <row r="123" spans="2:6" s="2" customFormat="1" ht="26.1" customHeight="1">
      <c r="B123" s="144"/>
      <c r="E123" s="145"/>
      <c r="F123" s="145"/>
    </row>
    <row r="124" spans="2:6" s="2" customFormat="1" ht="26.1" customHeight="1">
      <c r="B124" s="144"/>
      <c r="E124" s="145"/>
      <c r="F124" s="145"/>
    </row>
    <row r="125" spans="2:6" s="2" customFormat="1" ht="26.1" customHeight="1">
      <c r="B125" s="144"/>
      <c r="E125" s="145"/>
      <c r="F125" s="145"/>
    </row>
    <row r="126" spans="2:6" s="2" customFormat="1" ht="26.1" customHeight="1">
      <c r="B126" s="144"/>
      <c r="E126" s="145"/>
      <c r="F126" s="145"/>
    </row>
    <row r="127" spans="2:6" s="2" customFormat="1" ht="26.1" customHeight="1">
      <c r="B127" s="144"/>
      <c r="E127" s="145"/>
      <c r="F127" s="145"/>
    </row>
    <row r="128" spans="2:6" s="2" customFormat="1" ht="26.1" customHeight="1">
      <c r="B128" s="144"/>
      <c r="E128" s="145"/>
      <c r="F128" s="145"/>
    </row>
    <row r="129" spans="2:6" s="2" customFormat="1" ht="26.1" customHeight="1">
      <c r="B129" s="144"/>
      <c r="E129" s="145"/>
      <c r="F129" s="145"/>
    </row>
    <row r="130" spans="2:6" s="2" customFormat="1" ht="26.1" customHeight="1">
      <c r="B130" s="144"/>
      <c r="E130" s="145"/>
      <c r="F130" s="145"/>
    </row>
    <row r="131" spans="2:6" s="2" customFormat="1" ht="26.1" customHeight="1">
      <c r="B131" s="144"/>
      <c r="E131" s="145"/>
      <c r="F131" s="145"/>
    </row>
    <row r="132" spans="2:6" s="2" customFormat="1" ht="26.1" customHeight="1">
      <c r="B132" s="144"/>
      <c r="E132" s="145"/>
      <c r="F132" s="145"/>
    </row>
    <row r="133" spans="2:6" s="2" customFormat="1" ht="26.1" customHeight="1">
      <c r="B133" s="144"/>
      <c r="E133" s="145"/>
      <c r="F133" s="145"/>
    </row>
    <row r="134" spans="2:6" s="2" customFormat="1" ht="26.1" customHeight="1">
      <c r="B134" s="144"/>
      <c r="E134" s="145"/>
      <c r="F134" s="145"/>
    </row>
    <row r="135" spans="2:6" s="2" customFormat="1" ht="26.1" customHeight="1">
      <c r="B135" s="144"/>
      <c r="E135" s="145"/>
      <c r="F135" s="145"/>
    </row>
    <row r="136" spans="2:6" s="2" customFormat="1" ht="26.1" customHeight="1">
      <c r="B136" s="144"/>
      <c r="E136" s="145"/>
      <c r="F136" s="145"/>
    </row>
    <row r="137" spans="2:6" s="2" customFormat="1" ht="26.1" customHeight="1">
      <c r="B137" s="144"/>
      <c r="E137" s="145"/>
      <c r="F137" s="145"/>
    </row>
    <row r="138" spans="2:6" s="2" customFormat="1" ht="26.1" customHeight="1">
      <c r="B138" s="144"/>
      <c r="E138" s="145"/>
      <c r="F138" s="145"/>
    </row>
    <row r="139" spans="2:6" s="2" customFormat="1" ht="26.1" customHeight="1">
      <c r="B139" s="144"/>
      <c r="E139" s="145"/>
      <c r="F139" s="145"/>
    </row>
    <row r="140" spans="2:6" s="2" customFormat="1" ht="26.1" customHeight="1">
      <c r="B140" s="144"/>
      <c r="E140" s="145"/>
      <c r="F140" s="145"/>
    </row>
    <row r="141" spans="2:6" s="2" customFormat="1" ht="26.1" customHeight="1">
      <c r="B141" s="144"/>
      <c r="E141" s="145"/>
      <c r="F141" s="145"/>
    </row>
    <row r="142" spans="2:6" s="2" customFormat="1" ht="26.1" customHeight="1">
      <c r="B142" s="144"/>
      <c r="E142" s="145"/>
      <c r="F142" s="145"/>
    </row>
    <row r="143" spans="2:6" s="2" customFormat="1" ht="26.1" customHeight="1">
      <c r="B143" s="144"/>
      <c r="E143" s="145"/>
      <c r="F143" s="145"/>
    </row>
    <row r="144" spans="2:6" s="2" customFormat="1" ht="26.1" customHeight="1">
      <c r="B144" s="144"/>
      <c r="E144" s="145"/>
      <c r="F144" s="145"/>
    </row>
    <row r="145" spans="2:6" s="2" customFormat="1" ht="26.1" customHeight="1">
      <c r="B145" s="144"/>
      <c r="E145" s="145"/>
      <c r="F145" s="145"/>
    </row>
    <row r="146" spans="2:6" s="2" customFormat="1" ht="26.1" customHeight="1">
      <c r="B146" s="144"/>
      <c r="E146" s="145"/>
      <c r="F146" s="145"/>
    </row>
    <row r="147" spans="2:6" s="2" customFormat="1" ht="26.1" customHeight="1">
      <c r="B147" s="144"/>
      <c r="E147" s="145"/>
      <c r="F147" s="145"/>
    </row>
    <row r="148" spans="2:6" s="2" customFormat="1" ht="26.1" customHeight="1">
      <c r="B148" s="144"/>
      <c r="E148" s="145"/>
      <c r="F148" s="145"/>
    </row>
    <row r="149" spans="2:6" s="2" customFormat="1" ht="26.1" customHeight="1">
      <c r="B149" s="144"/>
      <c r="E149" s="145"/>
      <c r="F149" s="145"/>
    </row>
    <row r="150" spans="2:6" s="2" customFormat="1" ht="26.1" customHeight="1">
      <c r="B150" s="144"/>
      <c r="E150" s="145"/>
      <c r="F150" s="145"/>
    </row>
    <row r="151" spans="2:6" s="2" customFormat="1" ht="26.1" customHeight="1">
      <c r="B151" s="144"/>
      <c r="E151" s="145"/>
      <c r="F151" s="145"/>
    </row>
    <row r="152" spans="2:6" s="2" customFormat="1" ht="26.1" customHeight="1">
      <c r="B152" s="144"/>
      <c r="E152" s="145"/>
      <c r="F152" s="145"/>
    </row>
    <row r="153" spans="2:6" s="2" customFormat="1" ht="26.1" customHeight="1">
      <c r="B153" s="144"/>
      <c r="E153" s="145"/>
      <c r="F153" s="145"/>
    </row>
    <row r="154" spans="2:6" s="2" customFormat="1" ht="26.1" customHeight="1">
      <c r="B154" s="144"/>
      <c r="E154" s="145"/>
      <c r="F154" s="145"/>
    </row>
    <row r="155" spans="2:6" s="2" customFormat="1" ht="26.1" customHeight="1">
      <c r="B155" s="144"/>
      <c r="E155" s="145"/>
      <c r="F155" s="145"/>
    </row>
    <row r="156" spans="2:6" s="2" customFormat="1" ht="26.1" customHeight="1">
      <c r="B156" s="144"/>
      <c r="E156" s="145"/>
      <c r="F156" s="145"/>
    </row>
    <row r="157" spans="2:6" s="2" customFormat="1" ht="26.1" customHeight="1">
      <c r="B157" s="144"/>
      <c r="E157" s="145"/>
      <c r="F157" s="145"/>
    </row>
    <row r="158" spans="2:6" s="2" customFormat="1" ht="26.1" customHeight="1">
      <c r="B158" s="144"/>
      <c r="E158" s="145"/>
      <c r="F158" s="145"/>
    </row>
    <row r="159" spans="2:6" s="2" customFormat="1" ht="26.1" customHeight="1">
      <c r="B159" s="144"/>
      <c r="E159" s="145"/>
      <c r="F159" s="145"/>
    </row>
    <row r="160" spans="2:6" s="2" customFormat="1" ht="26.1" customHeight="1">
      <c r="B160" s="144"/>
      <c r="E160" s="145"/>
      <c r="F160" s="145"/>
    </row>
    <row r="161" spans="2:6" s="2" customFormat="1" ht="26.1" customHeight="1">
      <c r="B161" s="144"/>
      <c r="E161" s="145"/>
      <c r="F161" s="145"/>
    </row>
    <row r="162" spans="2:6" s="2" customFormat="1" ht="26.1" customHeight="1">
      <c r="B162" s="144"/>
      <c r="E162" s="145"/>
      <c r="F162" s="145"/>
    </row>
    <row r="163" spans="2:6" s="2" customFormat="1" ht="26.1" customHeight="1">
      <c r="B163" s="144"/>
      <c r="E163" s="145"/>
      <c r="F163" s="145"/>
    </row>
    <row r="164" spans="2:6" s="2" customFormat="1" ht="26.1" customHeight="1">
      <c r="B164" s="144"/>
      <c r="E164" s="145"/>
      <c r="F164" s="145"/>
    </row>
    <row r="165" spans="2:6" s="2" customFormat="1" ht="26.1" customHeight="1">
      <c r="B165" s="144"/>
      <c r="E165" s="145"/>
      <c r="F165" s="145"/>
    </row>
    <row r="166" spans="2:6" s="2" customFormat="1" ht="26.1" customHeight="1">
      <c r="B166" s="144"/>
      <c r="E166" s="145"/>
      <c r="F166" s="145"/>
    </row>
    <row r="167" spans="2:6" s="2" customFormat="1" ht="26.1" customHeight="1">
      <c r="B167" s="144"/>
      <c r="E167" s="145"/>
      <c r="F167" s="145"/>
    </row>
    <row r="168" spans="2:6" s="2" customFormat="1" ht="26.1" customHeight="1">
      <c r="B168" s="144"/>
      <c r="E168" s="145"/>
      <c r="F168" s="145"/>
    </row>
    <row r="169" spans="2:6" s="2" customFormat="1" ht="26.1" customHeight="1">
      <c r="B169" s="144"/>
      <c r="E169" s="145"/>
      <c r="F169" s="145"/>
    </row>
    <row r="170" spans="2:6" s="2" customFormat="1" ht="26.1" customHeight="1">
      <c r="B170" s="144"/>
      <c r="E170" s="145"/>
      <c r="F170" s="145"/>
    </row>
    <row r="171" spans="2:6" s="2" customFormat="1" ht="26.1" customHeight="1">
      <c r="B171" s="144"/>
      <c r="E171" s="145"/>
      <c r="F171" s="145"/>
    </row>
    <row r="172" spans="2:6" s="2" customFormat="1" ht="26.1" customHeight="1">
      <c r="B172" s="144"/>
      <c r="E172" s="145"/>
      <c r="F172" s="145"/>
    </row>
    <row r="173" spans="2:6" s="2" customFormat="1" ht="26.1" customHeight="1">
      <c r="B173" s="144"/>
      <c r="E173" s="145"/>
      <c r="F173" s="145"/>
    </row>
    <row r="174" spans="2:6" s="2" customFormat="1" ht="26.1" customHeight="1">
      <c r="B174" s="144"/>
      <c r="E174" s="145"/>
      <c r="F174" s="145"/>
    </row>
    <row r="175" spans="2:6" s="2" customFormat="1" ht="26.1" customHeight="1">
      <c r="B175" s="144"/>
      <c r="E175" s="145"/>
      <c r="F175" s="145"/>
    </row>
    <row r="176" spans="2:6" s="2" customFormat="1" ht="26.1" customHeight="1">
      <c r="B176" s="144"/>
      <c r="E176" s="145"/>
      <c r="F176" s="145"/>
    </row>
    <row r="177" spans="2:6" s="2" customFormat="1" ht="26.1" customHeight="1">
      <c r="B177" s="144"/>
      <c r="E177" s="145"/>
      <c r="F177" s="145"/>
    </row>
    <row r="178" spans="2:6" s="2" customFormat="1" ht="26.1" customHeight="1">
      <c r="B178" s="144"/>
      <c r="E178" s="145"/>
      <c r="F178" s="145"/>
    </row>
    <row r="179" spans="2:6" s="2" customFormat="1" ht="26.1" customHeight="1">
      <c r="B179" s="144"/>
      <c r="E179" s="145"/>
      <c r="F179" s="145"/>
    </row>
    <row r="180" spans="2:6" s="2" customFormat="1" ht="26.1" customHeight="1">
      <c r="B180" s="144"/>
      <c r="E180" s="145"/>
      <c r="F180" s="145"/>
    </row>
    <row r="181" spans="2:6" s="2" customFormat="1" ht="26.1" customHeight="1">
      <c r="B181" s="144"/>
      <c r="E181" s="145"/>
      <c r="F181" s="145"/>
    </row>
    <row r="182" spans="2:6" s="2" customFormat="1" ht="26.1" customHeight="1">
      <c r="B182" s="144"/>
      <c r="E182" s="145"/>
      <c r="F182" s="145"/>
    </row>
    <row r="183" spans="2:6" s="2" customFormat="1" ht="26.1" customHeight="1">
      <c r="B183" s="144"/>
      <c r="E183" s="145"/>
      <c r="F183" s="145"/>
    </row>
    <row r="184" spans="2:6" s="2" customFormat="1" ht="26.1" customHeight="1">
      <c r="B184" s="144"/>
      <c r="E184" s="145"/>
      <c r="F184" s="145"/>
    </row>
    <row r="185" spans="2:6" s="2" customFormat="1" ht="26.1" customHeight="1">
      <c r="B185" s="144"/>
      <c r="E185" s="145"/>
      <c r="F185" s="145"/>
    </row>
    <row r="186" spans="2:6" s="2" customFormat="1" ht="26.1" customHeight="1">
      <c r="B186" s="144"/>
      <c r="E186" s="145"/>
      <c r="F186" s="145"/>
    </row>
    <row r="187" spans="2:6" s="2" customFormat="1" ht="26.1" customHeight="1">
      <c r="B187" s="144"/>
      <c r="E187" s="145"/>
      <c r="F187" s="145"/>
    </row>
    <row r="188" spans="2:6" s="2" customFormat="1" ht="26.1" customHeight="1">
      <c r="B188" s="144"/>
      <c r="E188" s="145"/>
      <c r="F188" s="145"/>
    </row>
    <row r="189" spans="2:6" s="2" customFormat="1" ht="26.1" customHeight="1">
      <c r="B189" s="144"/>
      <c r="E189" s="145"/>
      <c r="F189" s="145"/>
    </row>
    <row r="190" spans="2:6" s="2" customFormat="1" ht="26.1" customHeight="1">
      <c r="B190" s="144"/>
      <c r="E190" s="145"/>
      <c r="F190" s="145"/>
    </row>
    <row r="191" spans="2:6" s="2" customFormat="1" ht="26.1" customHeight="1">
      <c r="B191" s="144"/>
      <c r="E191" s="145"/>
      <c r="F191" s="145"/>
    </row>
    <row r="192" spans="2:6" s="2" customFormat="1" ht="26.1" customHeight="1">
      <c r="B192" s="144"/>
      <c r="E192" s="145"/>
      <c r="F192" s="145"/>
    </row>
    <row r="193" spans="2:6" s="2" customFormat="1" ht="26.1" customHeight="1">
      <c r="B193" s="144"/>
      <c r="E193" s="145"/>
      <c r="F193" s="145"/>
    </row>
    <row r="194" spans="2:6" s="2" customFormat="1" ht="26.1" customHeight="1">
      <c r="B194" s="144"/>
      <c r="E194" s="145"/>
      <c r="F194" s="145"/>
    </row>
    <row r="195" spans="2:6" s="2" customFormat="1" ht="26.1" customHeight="1">
      <c r="B195" s="144"/>
      <c r="E195" s="145"/>
      <c r="F195" s="145"/>
    </row>
    <row r="196" spans="2:6" s="2" customFormat="1" ht="26.1" customHeight="1">
      <c r="B196" s="144"/>
      <c r="E196" s="145"/>
      <c r="F196" s="145"/>
    </row>
    <row r="197" spans="2:6" s="2" customFormat="1" ht="26.1" customHeight="1">
      <c r="B197" s="144"/>
      <c r="E197" s="145"/>
      <c r="F197" s="145"/>
    </row>
    <row r="198" spans="2:6" s="2" customFormat="1" ht="26.1" customHeight="1">
      <c r="B198" s="144"/>
      <c r="E198" s="145"/>
      <c r="F198" s="145"/>
    </row>
    <row r="199" spans="2:6" s="2" customFormat="1" ht="26.1" customHeight="1">
      <c r="B199" s="144"/>
      <c r="E199" s="145"/>
      <c r="F199" s="145"/>
    </row>
    <row r="200" spans="2:6" s="2" customFormat="1" ht="26.1" customHeight="1">
      <c r="B200" s="144"/>
      <c r="E200" s="145"/>
      <c r="F200" s="145"/>
    </row>
    <row r="201" spans="2:6" s="2" customFormat="1" ht="26.1" customHeight="1">
      <c r="B201" s="144"/>
      <c r="E201" s="145"/>
      <c r="F201" s="145"/>
    </row>
    <row r="202" spans="2:6" s="2" customFormat="1" ht="26.1" customHeight="1">
      <c r="B202" s="144"/>
      <c r="E202" s="145"/>
      <c r="F202" s="145"/>
    </row>
    <row r="203" spans="2:6" s="2" customFormat="1" ht="26.1" customHeight="1">
      <c r="B203" s="144"/>
      <c r="E203" s="145"/>
      <c r="F203" s="145"/>
    </row>
    <row r="204" spans="2:6" s="2" customFormat="1" ht="26.1" customHeight="1">
      <c r="B204" s="144"/>
      <c r="E204" s="145"/>
      <c r="F204" s="145"/>
    </row>
    <row r="205" spans="2:6" s="2" customFormat="1" ht="26.1" customHeight="1">
      <c r="B205" s="144"/>
      <c r="E205" s="145"/>
      <c r="F205" s="145"/>
    </row>
    <row r="206" spans="2:6" s="2" customFormat="1" ht="26.1" customHeight="1">
      <c r="B206" s="144"/>
      <c r="E206" s="145"/>
      <c r="F206" s="145"/>
    </row>
    <row r="207" spans="2:6" s="2" customFormat="1" ht="26.1" customHeight="1">
      <c r="B207" s="144"/>
      <c r="E207" s="145"/>
      <c r="F207" s="145"/>
    </row>
    <row r="208" spans="2:6" s="2" customFormat="1" ht="26.1" customHeight="1">
      <c r="B208" s="144"/>
      <c r="E208" s="145"/>
      <c r="F208" s="145"/>
    </row>
    <row r="209" spans="2:6" s="2" customFormat="1" ht="26.1" customHeight="1">
      <c r="B209" s="144"/>
      <c r="E209" s="145"/>
      <c r="F209" s="145"/>
    </row>
    <row r="210" spans="2:6" s="2" customFormat="1" ht="26.1" customHeight="1">
      <c r="B210" s="144"/>
      <c r="E210" s="145"/>
      <c r="F210" s="145"/>
    </row>
    <row r="211" spans="2:6" s="2" customFormat="1" ht="26.1" customHeight="1">
      <c r="B211" s="144"/>
      <c r="E211" s="145"/>
      <c r="F211" s="145"/>
    </row>
    <row r="212" spans="2:6" s="2" customFormat="1" ht="26.1" customHeight="1">
      <c r="B212" s="144"/>
      <c r="E212" s="145"/>
      <c r="F212" s="145"/>
    </row>
    <row r="213" spans="2:6" s="2" customFormat="1" ht="26.1" customHeight="1">
      <c r="B213" s="144"/>
      <c r="E213" s="145"/>
      <c r="F213" s="145"/>
    </row>
    <row r="214" spans="2:6" s="2" customFormat="1" ht="26.1" customHeight="1">
      <c r="B214" s="144"/>
      <c r="E214" s="145"/>
      <c r="F214" s="145"/>
    </row>
    <row r="215" spans="2:6" s="2" customFormat="1" ht="26.1" customHeight="1">
      <c r="B215" s="144"/>
      <c r="E215" s="145"/>
      <c r="F215" s="145"/>
    </row>
    <row r="216" spans="2:6" s="2" customFormat="1" ht="26.1" customHeight="1">
      <c r="B216" s="144"/>
      <c r="E216" s="145"/>
      <c r="F216" s="145"/>
    </row>
    <row r="217" spans="2:6" s="2" customFormat="1" ht="26.1" customHeight="1">
      <c r="B217" s="144"/>
      <c r="E217" s="145"/>
      <c r="F217" s="145"/>
    </row>
    <row r="218" spans="2:6" s="2" customFormat="1" ht="26.1" customHeight="1">
      <c r="B218" s="144"/>
      <c r="E218" s="145"/>
      <c r="F218" s="145"/>
    </row>
    <row r="219" spans="2:6" s="2" customFormat="1" ht="26.1" customHeight="1">
      <c r="B219" s="144"/>
      <c r="E219" s="145"/>
      <c r="F219" s="145"/>
    </row>
    <row r="220" spans="2:6" s="2" customFormat="1" ht="26.1" customHeight="1">
      <c r="B220" s="144"/>
      <c r="E220" s="145"/>
      <c r="F220" s="145"/>
    </row>
    <row r="221" spans="2:6" s="2" customFormat="1" ht="26.1" customHeight="1">
      <c r="B221" s="144"/>
      <c r="E221" s="145"/>
      <c r="F221" s="145"/>
    </row>
    <row r="222" spans="2:6" s="2" customFormat="1" ht="26.1" customHeight="1">
      <c r="B222" s="144"/>
      <c r="E222" s="145"/>
      <c r="F222" s="145"/>
    </row>
    <row r="223" spans="2:6" s="2" customFormat="1" ht="26.1" customHeight="1">
      <c r="B223" s="144"/>
      <c r="E223" s="145"/>
      <c r="F223" s="145"/>
    </row>
    <row r="224" spans="2:6" s="2" customFormat="1" ht="26.1" customHeight="1">
      <c r="B224" s="144"/>
      <c r="E224" s="145"/>
      <c r="F224" s="145"/>
    </row>
    <row r="225" spans="2:6" s="2" customFormat="1" ht="26.1" customHeight="1">
      <c r="B225" s="144"/>
      <c r="E225" s="145"/>
      <c r="F225" s="145"/>
    </row>
    <row r="226" spans="2:6" s="2" customFormat="1" ht="26.1" customHeight="1">
      <c r="B226" s="144"/>
      <c r="E226" s="145"/>
      <c r="F226" s="145"/>
    </row>
    <row r="227" spans="2:6" s="2" customFormat="1" ht="26.1" customHeight="1">
      <c r="B227" s="144"/>
      <c r="E227" s="145"/>
      <c r="F227" s="145"/>
    </row>
    <row r="228" spans="2:6" s="2" customFormat="1" ht="26.1" customHeight="1">
      <c r="B228" s="144"/>
      <c r="E228" s="145"/>
      <c r="F228" s="145"/>
    </row>
    <row r="229" spans="2:6" s="2" customFormat="1" ht="26.1" customHeight="1">
      <c r="B229" s="144"/>
      <c r="E229" s="145"/>
      <c r="F229" s="145"/>
    </row>
    <row r="230" spans="2:6" s="2" customFormat="1" ht="26.1" customHeight="1">
      <c r="B230" s="144"/>
      <c r="E230" s="145"/>
      <c r="F230" s="145"/>
    </row>
    <row r="231" spans="2:6" s="2" customFormat="1" ht="26.1" customHeight="1">
      <c r="B231" s="144"/>
      <c r="E231" s="145"/>
      <c r="F231" s="145"/>
    </row>
    <row r="232" spans="2:6" s="2" customFormat="1" ht="26.1" customHeight="1">
      <c r="B232" s="144"/>
      <c r="E232" s="145"/>
      <c r="F232" s="145"/>
    </row>
    <row r="233" spans="2:6" s="2" customFormat="1" ht="26.1" customHeight="1">
      <c r="B233" s="144"/>
      <c r="E233" s="145"/>
      <c r="F233" s="145"/>
    </row>
    <row r="234" spans="2:6" s="2" customFormat="1" ht="26.1" customHeight="1">
      <c r="B234" s="144"/>
      <c r="E234" s="145"/>
      <c r="F234" s="145"/>
    </row>
    <row r="235" spans="2:6" s="2" customFormat="1" ht="26.1" customHeight="1">
      <c r="B235" s="144"/>
      <c r="E235" s="145"/>
      <c r="F235" s="145"/>
    </row>
    <row r="236" spans="2:6" s="2" customFormat="1" ht="26.1" customHeight="1">
      <c r="B236" s="144"/>
      <c r="E236" s="145"/>
      <c r="F236" s="145"/>
    </row>
    <row r="237" spans="2:6" s="2" customFormat="1" ht="26.1" customHeight="1">
      <c r="B237" s="144"/>
      <c r="E237" s="145"/>
      <c r="F237" s="145"/>
    </row>
    <row r="238" spans="2:6" s="2" customFormat="1" ht="26.1" customHeight="1">
      <c r="B238" s="144"/>
      <c r="E238" s="145"/>
      <c r="F238" s="145"/>
    </row>
    <row r="239" spans="2:6" s="2" customFormat="1" ht="26.1" customHeight="1">
      <c r="B239" s="144"/>
      <c r="E239" s="145"/>
      <c r="F239" s="145"/>
    </row>
    <row r="240" spans="2:6" s="2" customFormat="1" ht="26.1" customHeight="1">
      <c r="B240" s="144"/>
      <c r="E240" s="145"/>
      <c r="F240" s="145"/>
    </row>
    <row r="241" spans="2:6" s="2" customFormat="1" ht="26.1" customHeight="1">
      <c r="B241" s="144"/>
      <c r="E241" s="145"/>
      <c r="F241" s="145"/>
    </row>
    <row r="242" spans="2:6" s="2" customFormat="1" ht="26.1" customHeight="1">
      <c r="B242" s="144"/>
      <c r="E242" s="145"/>
      <c r="F242" s="145"/>
    </row>
    <row r="243" spans="2:6" s="2" customFormat="1" ht="26.1" customHeight="1">
      <c r="B243" s="144"/>
      <c r="E243" s="145"/>
      <c r="F243" s="145"/>
    </row>
    <row r="244" spans="2:6" s="2" customFormat="1" ht="26.1" customHeight="1">
      <c r="B244" s="144"/>
      <c r="E244" s="145"/>
      <c r="F244" s="145"/>
    </row>
    <row r="245" spans="2:6" s="2" customFormat="1" ht="26.1" customHeight="1">
      <c r="B245" s="144"/>
      <c r="E245" s="145"/>
      <c r="F245" s="145"/>
    </row>
    <row r="246" spans="2:6" s="2" customFormat="1" ht="26.1" customHeight="1">
      <c r="B246" s="144"/>
      <c r="E246" s="145"/>
      <c r="F246" s="145"/>
    </row>
    <row r="247" spans="2:6" s="2" customFormat="1" ht="26.1" customHeight="1">
      <c r="B247" s="144"/>
      <c r="E247" s="145"/>
      <c r="F247" s="145"/>
    </row>
    <row r="248" spans="2:6" s="2" customFormat="1" ht="26.1" customHeight="1">
      <c r="B248" s="144"/>
      <c r="E248" s="145"/>
      <c r="F248" s="145"/>
    </row>
    <row r="249" spans="2:6" s="2" customFormat="1" ht="26.1" customHeight="1">
      <c r="B249" s="144"/>
      <c r="E249" s="145"/>
      <c r="F249" s="145"/>
    </row>
    <row r="250" spans="2:6" s="2" customFormat="1" ht="26.1" customHeight="1">
      <c r="B250" s="144"/>
      <c r="E250" s="145"/>
      <c r="F250" s="145"/>
    </row>
    <row r="251" spans="2:6" s="2" customFormat="1" ht="26.1" customHeight="1">
      <c r="B251" s="144"/>
      <c r="E251" s="145"/>
      <c r="F251" s="145"/>
    </row>
    <row r="252" spans="2:6" s="2" customFormat="1" ht="26.1" customHeight="1">
      <c r="B252" s="144"/>
      <c r="E252" s="145"/>
      <c r="F252" s="145"/>
    </row>
    <row r="253" spans="2:6" s="2" customFormat="1" ht="26.1" customHeight="1">
      <c r="B253" s="144"/>
      <c r="E253" s="145"/>
      <c r="F253" s="145"/>
    </row>
    <row r="254" spans="2:6" s="2" customFormat="1" ht="26.1" customHeight="1">
      <c r="B254" s="144"/>
      <c r="E254" s="145"/>
      <c r="F254" s="145"/>
    </row>
    <row r="255" spans="2:6" s="2" customFormat="1" ht="26.1" customHeight="1">
      <c r="B255" s="144"/>
      <c r="E255" s="145"/>
      <c r="F255" s="145"/>
    </row>
    <row r="256" spans="2:6" s="2" customFormat="1" ht="26.1" customHeight="1">
      <c r="B256" s="144"/>
      <c r="E256" s="145"/>
      <c r="F256" s="145"/>
    </row>
    <row r="257" spans="2:6" s="2" customFormat="1" ht="26.1" customHeight="1">
      <c r="B257" s="144"/>
      <c r="E257" s="145"/>
      <c r="F257" s="145"/>
    </row>
    <row r="258" spans="2:6" s="2" customFormat="1" ht="26.1" customHeight="1">
      <c r="B258" s="144"/>
      <c r="E258" s="145"/>
      <c r="F258" s="145"/>
    </row>
    <row r="259" spans="2:6" s="2" customFormat="1" ht="26.1" customHeight="1">
      <c r="B259" s="144"/>
      <c r="E259" s="145"/>
      <c r="F259" s="145"/>
    </row>
    <row r="260" spans="2:6" s="2" customFormat="1" ht="26.1" customHeight="1">
      <c r="B260" s="144"/>
      <c r="E260" s="145"/>
      <c r="F260" s="145"/>
    </row>
    <row r="261" spans="2:6" s="2" customFormat="1" ht="26.1" customHeight="1">
      <c r="B261" s="144"/>
      <c r="E261" s="145"/>
      <c r="F261" s="145"/>
    </row>
    <row r="262" spans="2:6" s="2" customFormat="1" ht="26.1" customHeight="1">
      <c r="B262" s="144"/>
      <c r="E262" s="145"/>
      <c r="F262" s="145"/>
    </row>
    <row r="263" spans="2:6" s="2" customFormat="1" ht="26.1" customHeight="1">
      <c r="B263" s="144"/>
      <c r="E263" s="145"/>
      <c r="F263" s="145"/>
    </row>
    <row r="264" spans="2:6" s="2" customFormat="1" ht="26.1" customHeight="1">
      <c r="B264" s="144"/>
      <c r="E264" s="145"/>
      <c r="F264" s="145"/>
    </row>
    <row r="265" spans="2:6" s="2" customFormat="1" ht="26.1" customHeight="1">
      <c r="B265" s="144"/>
      <c r="E265" s="145"/>
      <c r="F265" s="145"/>
    </row>
    <row r="266" spans="2:6" s="2" customFormat="1" ht="26.1" customHeight="1">
      <c r="B266" s="144"/>
      <c r="E266" s="145"/>
      <c r="F266" s="145"/>
    </row>
    <row r="267" spans="2:6" s="2" customFormat="1" ht="26.1" customHeight="1">
      <c r="B267" s="144"/>
      <c r="E267" s="145"/>
      <c r="F267" s="145"/>
    </row>
    <row r="268" spans="2:6" s="2" customFormat="1" ht="26.1" customHeight="1">
      <c r="B268" s="144"/>
      <c r="E268" s="145"/>
      <c r="F268" s="145"/>
    </row>
    <row r="269" spans="2:6" s="2" customFormat="1" ht="26.1" customHeight="1">
      <c r="B269" s="144"/>
      <c r="E269" s="145"/>
      <c r="F269" s="145"/>
    </row>
    <row r="270" spans="2:6" s="2" customFormat="1" ht="26.1" customHeight="1">
      <c r="B270" s="144"/>
      <c r="E270" s="145"/>
      <c r="F270" s="145"/>
    </row>
    <row r="271" spans="2:6" s="2" customFormat="1" ht="26.1" customHeight="1">
      <c r="B271" s="144"/>
      <c r="E271" s="145"/>
      <c r="F271" s="145"/>
    </row>
    <row r="272" spans="2:6" s="2" customFormat="1" ht="26.1" customHeight="1">
      <c r="B272" s="144"/>
      <c r="E272" s="145"/>
      <c r="F272" s="145"/>
    </row>
    <row r="273" spans="2:6" s="2" customFormat="1" ht="26.1" customHeight="1">
      <c r="B273" s="144"/>
      <c r="E273" s="145"/>
      <c r="F273" s="145"/>
    </row>
    <row r="274" spans="2:6" s="2" customFormat="1" ht="26.1" customHeight="1">
      <c r="B274" s="144"/>
      <c r="E274" s="145"/>
      <c r="F274" s="145"/>
    </row>
    <row r="275" spans="2:6" s="2" customFormat="1" ht="26.1" customHeight="1">
      <c r="B275" s="144"/>
      <c r="E275" s="145"/>
      <c r="F275" s="145"/>
    </row>
    <row r="276" spans="2:6" s="2" customFormat="1" ht="26.1" customHeight="1">
      <c r="B276" s="144"/>
      <c r="E276" s="145"/>
      <c r="F276" s="145"/>
    </row>
    <row r="277" spans="2:6" s="2" customFormat="1" ht="26.1" customHeight="1">
      <c r="B277" s="144"/>
      <c r="E277" s="145"/>
      <c r="F277" s="145"/>
    </row>
    <row r="278" spans="2:6" s="2" customFormat="1" ht="26.1" customHeight="1">
      <c r="B278" s="144"/>
      <c r="E278" s="145"/>
      <c r="F278" s="145"/>
    </row>
    <row r="279" spans="2:6" s="2" customFormat="1" ht="26.1" customHeight="1">
      <c r="B279" s="144"/>
      <c r="E279" s="145"/>
      <c r="F279" s="145"/>
    </row>
    <row r="280" spans="2:6" s="2" customFormat="1" ht="26.1" customHeight="1">
      <c r="B280" s="144"/>
      <c r="E280" s="145"/>
      <c r="F280" s="145"/>
    </row>
    <row r="281" spans="2:6" s="2" customFormat="1" ht="26.1" customHeight="1">
      <c r="B281" s="144"/>
      <c r="E281" s="145"/>
      <c r="F281" s="145"/>
    </row>
    <row r="282" spans="2:6" s="2" customFormat="1" ht="26.1" customHeight="1">
      <c r="B282" s="144"/>
      <c r="E282" s="145"/>
      <c r="F282" s="145"/>
    </row>
    <row r="283" spans="2:6" s="2" customFormat="1" ht="26.1" customHeight="1">
      <c r="B283" s="144"/>
      <c r="E283" s="145"/>
      <c r="F283" s="145"/>
    </row>
    <row r="284" spans="2:6" s="2" customFormat="1" ht="26.1" customHeight="1">
      <c r="B284" s="144"/>
      <c r="E284" s="145"/>
      <c r="F284" s="145"/>
    </row>
    <row r="285" spans="2:6" s="2" customFormat="1" ht="26.1" customHeight="1">
      <c r="B285" s="146"/>
      <c r="E285" s="145"/>
      <c r="F285" s="145"/>
    </row>
    <row r="286" spans="2:6" s="2" customFormat="1" ht="26.1" customHeight="1">
      <c r="B286" s="146"/>
      <c r="E286" s="145"/>
      <c r="F286" s="145"/>
    </row>
    <row r="287" spans="2:6" s="2" customFormat="1" ht="26.1" customHeight="1">
      <c r="B287" s="146"/>
      <c r="E287" s="145"/>
      <c r="F287" s="147"/>
    </row>
    <row r="288" spans="2:6" s="2" customFormat="1" ht="26.1" customHeight="1">
      <c r="B288" s="146"/>
      <c r="E288" s="145"/>
      <c r="F288" s="147"/>
    </row>
    <row r="289" spans="2:6" s="2" customFormat="1" ht="26.1" customHeight="1">
      <c r="B289" s="146"/>
      <c r="E289" s="145"/>
      <c r="F289" s="147"/>
    </row>
    <row r="290" spans="2:6" s="2" customFormat="1" ht="26.1" customHeight="1">
      <c r="B290" s="144"/>
      <c r="E290" s="145"/>
      <c r="F290" s="147"/>
    </row>
    <row r="291" spans="2:6" s="2" customFormat="1" ht="26.1" customHeight="1">
      <c r="B291" s="144"/>
      <c r="E291" s="145"/>
      <c r="F291" s="147"/>
    </row>
    <row r="292" spans="2:6" s="2" customFormat="1" ht="26.1" customHeight="1">
      <c r="B292" s="144"/>
      <c r="E292" s="145"/>
      <c r="F292" s="147"/>
    </row>
    <row r="293" spans="2:6" s="2" customFormat="1" ht="26.1" customHeight="1">
      <c r="B293" s="144"/>
      <c r="E293" s="145"/>
      <c r="F293" s="147"/>
    </row>
    <row r="294" spans="2:6" s="2" customFormat="1" ht="26.1" customHeight="1">
      <c r="B294" s="144"/>
      <c r="E294" s="145"/>
      <c r="F294" s="147"/>
    </row>
    <row r="295" spans="2:6" s="2" customFormat="1" ht="26.1" customHeight="1">
      <c r="B295" s="144"/>
      <c r="E295" s="145"/>
      <c r="F295" s="147"/>
    </row>
    <row r="296" spans="2:6" s="2" customFormat="1" ht="26.1" customHeight="1">
      <c r="B296" s="144"/>
      <c r="E296" s="145"/>
      <c r="F296" s="147"/>
    </row>
    <row r="297" spans="2:6" s="2" customFormat="1" ht="26.1" customHeight="1">
      <c r="B297" s="144"/>
      <c r="E297" s="145"/>
      <c r="F297" s="147"/>
    </row>
    <row r="298" spans="2:6" s="2" customFormat="1" ht="26.1" customHeight="1">
      <c r="B298" s="144"/>
      <c r="E298" s="145"/>
      <c r="F298" s="147"/>
    </row>
    <row r="299" spans="2:6" s="2" customFormat="1" ht="26.1" customHeight="1">
      <c r="B299" s="144"/>
      <c r="E299" s="145"/>
      <c r="F299" s="147"/>
    </row>
    <row r="300" spans="2:6" s="2" customFormat="1" ht="26.1" customHeight="1">
      <c r="B300" s="144"/>
      <c r="E300" s="145"/>
      <c r="F300" s="147"/>
    </row>
    <row r="301" spans="2:6" s="2" customFormat="1" ht="26.1" customHeight="1">
      <c r="B301" s="144"/>
      <c r="E301" s="145"/>
      <c r="F301" s="147"/>
    </row>
    <row r="302" spans="2:6" s="2" customFormat="1" ht="26.1" customHeight="1">
      <c r="B302" s="144"/>
      <c r="E302" s="145"/>
      <c r="F302" s="147"/>
    </row>
    <row r="303" spans="2:6" s="2" customFormat="1" ht="26.1" customHeight="1">
      <c r="B303" s="144"/>
      <c r="E303" s="145"/>
      <c r="F303" s="147"/>
    </row>
    <row r="304" spans="2:6" s="2" customFormat="1" ht="26.1" customHeight="1">
      <c r="B304" s="144"/>
      <c r="E304" s="145"/>
      <c r="F304" s="147"/>
    </row>
    <row r="305" spans="2:6" s="2" customFormat="1" ht="26.1" customHeight="1">
      <c r="B305" s="144"/>
      <c r="E305" s="145"/>
      <c r="F305" s="147"/>
    </row>
    <row r="306" spans="2:6" s="2" customFormat="1" ht="26.1" customHeight="1">
      <c r="B306" s="144"/>
      <c r="E306" s="145"/>
      <c r="F306" s="147"/>
    </row>
    <row r="307" spans="2:6" s="2" customFormat="1" ht="26.1" customHeight="1">
      <c r="B307" s="144"/>
      <c r="E307" s="145"/>
      <c r="F307" s="147"/>
    </row>
    <row r="308" spans="2:6" s="2" customFormat="1" ht="26.1" customHeight="1">
      <c r="B308" s="144"/>
      <c r="E308" s="145"/>
      <c r="F308" s="147"/>
    </row>
    <row r="309" spans="2:6" s="2" customFormat="1" ht="26.1" customHeight="1">
      <c r="B309" s="144"/>
      <c r="E309" s="145"/>
      <c r="F309" s="147"/>
    </row>
    <row r="310" spans="2:6" s="2" customFormat="1" ht="26.1" customHeight="1">
      <c r="B310" s="144"/>
      <c r="E310" s="145"/>
      <c r="F310" s="147"/>
    </row>
    <row r="311" spans="2:6" s="2" customFormat="1" ht="26.1" customHeight="1">
      <c r="B311" s="144"/>
      <c r="E311" s="145"/>
      <c r="F311" s="147"/>
    </row>
    <row r="312" spans="2:6" s="2" customFormat="1" ht="26.1" customHeight="1">
      <c r="B312" s="144"/>
      <c r="E312" s="145"/>
      <c r="F312" s="147"/>
    </row>
    <row r="313" spans="2:6" s="2" customFormat="1" ht="26.1" customHeight="1">
      <c r="B313" s="144"/>
      <c r="E313" s="145"/>
      <c r="F313" s="147"/>
    </row>
    <row r="314" spans="2:6" s="2" customFormat="1" ht="26.1" customHeight="1">
      <c r="B314" s="144"/>
      <c r="E314" s="145"/>
      <c r="F314" s="147"/>
    </row>
    <row r="315" spans="2:6" s="2" customFormat="1" ht="26.1" customHeight="1">
      <c r="B315" s="144"/>
      <c r="E315" s="145"/>
      <c r="F315" s="147"/>
    </row>
    <row r="316" spans="2:6" s="2" customFormat="1" ht="26.1" customHeight="1">
      <c r="B316" s="144"/>
      <c r="E316" s="145"/>
      <c r="F316" s="147"/>
    </row>
    <row r="317" spans="2:6" s="2" customFormat="1" ht="26.1" customHeight="1">
      <c r="B317" s="144"/>
      <c r="E317" s="145"/>
      <c r="F317" s="147"/>
    </row>
    <row r="318" spans="2:6" s="2" customFormat="1" ht="26.1" customHeight="1">
      <c r="B318" s="144"/>
      <c r="E318" s="145"/>
      <c r="F318" s="147"/>
    </row>
    <row r="319" spans="2:6" s="2" customFormat="1" ht="26.1" customHeight="1">
      <c r="B319" s="144"/>
      <c r="E319" s="145"/>
      <c r="F319" s="147"/>
    </row>
    <row r="320" spans="2:6" s="2" customFormat="1" ht="26.1" customHeight="1">
      <c r="B320" s="144"/>
      <c r="E320" s="145"/>
      <c r="F320" s="147"/>
    </row>
    <row r="321" spans="2:6" s="2" customFormat="1" ht="26.1" customHeight="1">
      <c r="B321" s="144"/>
      <c r="E321" s="145"/>
      <c r="F321" s="147"/>
    </row>
    <row r="322" spans="2:6" s="2" customFormat="1" ht="26.1" customHeight="1">
      <c r="B322" s="144"/>
      <c r="E322" s="145"/>
      <c r="F322" s="147"/>
    </row>
    <row r="323" spans="2:6" s="2" customFormat="1" ht="26.1" customHeight="1">
      <c r="B323" s="144"/>
      <c r="E323" s="145"/>
      <c r="F323" s="147"/>
    </row>
    <row r="324" spans="2:6" s="2" customFormat="1" ht="26.1" customHeight="1">
      <c r="B324" s="144"/>
      <c r="E324" s="145"/>
      <c r="F324" s="147"/>
    </row>
    <row r="325" spans="2:6" s="2" customFormat="1" ht="26.1" customHeight="1">
      <c r="B325" s="144"/>
      <c r="E325" s="145"/>
      <c r="F325" s="147"/>
    </row>
    <row r="326" spans="2:6" s="2" customFormat="1" ht="26.1" customHeight="1">
      <c r="B326" s="144"/>
      <c r="E326" s="145"/>
      <c r="F326" s="147"/>
    </row>
    <row r="327" spans="2:6" s="2" customFormat="1" ht="26.1" customHeight="1">
      <c r="B327" s="144"/>
      <c r="E327" s="145"/>
      <c r="F327" s="147"/>
    </row>
    <row r="328" spans="2:6" s="2" customFormat="1" ht="26.1" customHeight="1">
      <c r="B328" s="144"/>
      <c r="E328" s="145"/>
      <c r="F328" s="147"/>
    </row>
    <row r="329" spans="2:6" s="2" customFormat="1" ht="26.1" customHeight="1">
      <c r="B329" s="144"/>
      <c r="E329" s="145"/>
      <c r="F329" s="147"/>
    </row>
    <row r="330" spans="2:6" s="2" customFormat="1" ht="26.1" customHeight="1">
      <c r="B330" s="144"/>
      <c r="E330" s="145"/>
      <c r="F330" s="147"/>
    </row>
    <row r="331" spans="2:6" s="2" customFormat="1" ht="26.1" customHeight="1">
      <c r="B331" s="144"/>
      <c r="E331" s="145"/>
      <c r="F331" s="147"/>
    </row>
    <row r="332" spans="2:6" s="2" customFormat="1" ht="26.1" customHeight="1">
      <c r="B332" s="144"/>
      <c r="E332" s="145"/>
      <c r="F332" s="147"/>
    </row>
    <row r="333" spans="2:6" s="2" customFormat="1" ht="26.1" customHeight="1">
      <c r="B333" s="144"/>
      <c r="E333" s="145"/>
      <c r="F333" s="147"/>
    </row>
    <row r="334" spans="2:6" s="2" customFormat="1" ht="26.1" customHeight="1">
      <c r="B334" s="144"/>
      <c r="E334" s="145"/>
      <c r="F334" s="147"/>
    </row>
    <row r="335" spans="2:6" s="2" customFormat="1" ht="26.1" customHeight="1">
      <c r="B335" s="144"/>
      <c r="E335" s="145"/>
      <c r="F335" s="147"/>
    </row>
    <row r="336" spans="2:6" s="2" customFormat="1" ht="26.1" customHeight="1">
      <c r="B336" s="144"/>
      <c r="E336" s="145"/>
      <c r="F336" s="147"/>
    </row>
    <row r="337" spans="2:6" s="2" customFormat="1" ht="26.1" customHeight="1">
      <c r="B337" s="144"/>
      <c r="E337" s="145"/>
      <c r="F337" s="147"/>
    </row>
    <row r="338" spans="2:6" s="2" customFormat="1" ht="26.1" customHeight="1">
      <c r="B338" s="144"/>
      <c r="E338" s="145"/>
      <c r="F338" s="147"/>
    </row>
    <row r="339" spans="2:6" s="2" customFormat="1" ht="26.1" customHeight="1">
      <c r="B339" s="144"/>
      <c r="E339" s="145"/>
      <c r="F339" s="147"/>
    </row>
    <row r="340" spans="2:6" s="2" customFormat="1" ht="26.1" customHeight="1">
      <c r="B340" s="144"/>
      <c r="E340" s="145"/>
      <c r="F340" s="147"/>
    </row>
    <row r="341" spans="2:6" s="2" customFormat="1" ht="26.1" customHeight="1">
      <c r="B341" s="144"/>
      <c r="E341" s="145"/>
      <c r="F341" s="147"/>
    </row>
    <row r="342" spans="2:6" s="2" customFormat="1" ht="26.1" customHeight="1">
      <c r="B342" s="144"/>
      <c r="E342" s="145"/>
      <c r="F342" s="147"/>
    </row>
    <row r="343" spans="2:6" s="2" customFormat="1" ht="26.1" customHeight="1">
      <c r="B343" s="144"/>
      <c r="E343" s="145"/>
      <c r="F343" s="147"/>
    </row>
    <row r="344" spans="2:6" s="2" customFormat="1" ht="26.1" customHeight="1">
      <c r="B344" s="144"/>
      <c r="E344" s="145"/>
      <c r="F344" s="147"/>
    </row>
    <row r="345" spans="2:6" s="2" customFormat="1" ht="26.1" customHeight="1">
      <c r="B345" s="144"/>
      <c r="E345" s="145"/>
      <c r="F345" s="147"/>
    </row>
    <row r="346" spans="2:6" s="2" customFormat="1" ht="26.1" customHeight="1">
      <c r="B346" s="144"/>
      <c r="E346" s="145"/>
      <c r="F346" s="145"/>
    </row>
    <row r="347" spans="2:6" s="2" customFormat="1" ht="26.1" customHeight="1">
      <c r="B347" s="144"/>
      <c r="E347" s="145"/>
      <c r="F347" s="145"/>
    </row>
    <row r="348" spans="2:6" s="2" customFormat="1" ht="26.1" customHeight="1">
      <c r="B348" s="144"/>
      <c r="E348" s="145"/>
      <c r="F348" s="145"/>
    </row>
    <row r="349" spans="2:6" s="2" customFormat="1" ht="26.1" customHeight="1">
      <c r="B349" s="144"/>
      <c r="E349" s="145"/>
      <c r="F349" s="145"/>
    </row>
    <row r="350" spans="2:6" s="2" customFormat="1" ht="26.1" customHeight="1">
      <c r="B350" s="144"/>
      <c r="E350" s="145"/>
      <c r="F350" s="145"/>
    </row>
    <row r="351" spans="2:6" s="2" customFormat="1" ht="26.1" customHeight="1">
      <c r="B351" s="144"/>
      <c r="E351" s="145"/>
      <c r="F351" s="145"/>
    </row>
    <row r="352" spans="2:6" s="2" customFormat="1" ht="26.1" customHeight="1">
      <c r="B352" s="144"/>
      <c r="E352" s="145"/>
      <c r="F352" s="145"/>
    </row>
    <row r="353" spans="2:6" s="2" customFormat="1" ht="26.1" customHeight="1">
      <c r="B353" s="144"/>
      <c r="E353" s="145"/>
      <c r="F353" s="145"/>
    </row>
    <row r="354" spans="2:6" s="2" customFormat="1" ht="26.1" customHeight="1">
      <c r="B354" s="144"/>
      <c r="E354" s="145"/>
      <c r="F354" s="145"/>
    </row>
    <row r="355" spans="2:6" s="2" customFormat="1" ht="26.1" customHeight="1">
      <c r="B355" s="144"/>
      <c r="E355" s="145"/>
      <c r="F355" s="145"/>
    </row>
    <row r="356" spans="2:6" s="2" customFormat="1" ht="26.1" customHeight="1">
      <c r="B356" s="144"/>
      <c r="E356" s="145"/>
      <c r="F356" s="145"/>
    </row>
    <row r="357" spans="2:6" s="2" customFormat="1" ht="26.1" customHeight="1">
      <c r="B357" s="144"/>
      <c r="E357" s="145"/>
      <c r="F357" s="145"/>
    </row>
    <row r="358" spans="2:6" s="2" customFormat="1" ht="26.1" customHeight="1">
      <c r="B358" s="144"/>
      <c r="E358" s="145"/>
      <c r="F358" s="145"/>
    </row>
    <row r="359" spans="2:6" s="2" customFormat="1" ht="26.1" customHeight="1">
      <c r="B359" s="144"/>
      <c r="E359" s="145"/>
      <c r="F359" s="145"/>
    </row>
    <row r="360" spans="2:6" s="2" customFormat="1" ht="26.1" customHeight="1">
      <c r="B360" s="144"/>
      <c r="E360" s="145"/>
      <c r="F360" s="145"/>
    </row>
    <row r="361" spans="2:6" s="2" customFormat="1" ht="26.1" customHeight="1">
      <c r="B361" s="144"/>
      <c r="E361" s="145"/>
      <c r="F361" s="145"/>
    </row>
    <row r="362" spans="2:6" s="2" customFormat="1" ht="26.1" customHeight="1">
      <c r="B362" s="144"/>
      <c r="E362" s="145"/>
      <c r="F362" s="145"/>
    </row>
    <row r="363" spans="2:6" s="2" customFormat="1" ht="26.1" customHeight="1">
      <c r="B363" s="144"/>
      <c r="E363" s="145"/>
      <c r="F363" s="145"/>
    </row>
    <row r="364" spans="2:6" s="2" customFormat="1" ht="26.1" customHeight="1">
      <c r="B364" s="144"/>
      <c r="E364" s="145"/>
      <c r="F364" s="145"/>
    </row>
    <row r="365" spans="2:6" s="2" customFormat="1" ht="26.1" customHeight="1">
      <c r="B365" s="144"/>
      <c r="E365" s="145"/>
      <c r="F365" s="145"/>
    </row>
    <row r="366" spans="2:6" s="2" customFormat="1" ht="26.1" customHeight="1">
      <c r="B366" s="144"/>
      <c r="E366" s="145"/>
      <c r="F366" s="145"/>
    </row>
    <row r="367" spans="2:6" s="2" customFormat="1" ht="26.1" customHeight="1">
      <c r="B367" s="144"/>
      <c r="E367" s="145"/>
      <c r="F367" s="145"/>
    </row>
    <row r="368" spans="2:6" s="2" customFormat="1" ht="26.1" customHeight="1">
      <c r="B368" s="144"/>
      <c r="E368" s="145"/>
      <c r="F368" s="145"/>
    </row>
    <row r="369" spans="2:6" s="2" customFormat="1" ht="26.1" customHeight="1">
      <c r="B369" s="144"/>
      <c r="E369" s="145"/>
      <c r="F369" s="145"/>
    </row>
    <row r="370" spans="2:6" s="2" customFormat="1" ht="26.1" customHeight="1">
      <c r="B370" s="144"/>
      <c r="E370" s="145"/>
      <c r="F370" s="145"/>
    </row>
    <row r="371" spans="2:6" s="2" customFormat="1" ht="26.1" customHeight="1">
      <c r="B371" s="144"/>
      <c r="E371" s="145"/>
      <c r="F371" s="145"/>
    </row>
    <row r="372" spans="2:6" s="2" customFormat="1" ht="26.1" customHeight="1">
      <c r="B372" s="144"/>
      <c r="E372" s="145"/>
      <c r="F372" s="145"/>
    </row>
    <row r="373" spans="2:6" s="2" customFormat="1" ht="26.1" customHeight="1">
      <c r="B373" s="144"/>
      <c r="E373" s="145"/>
      <c r="F373" s="145"/>
    </row>
    <row r="374" spans="2:6" s="2" customFormat="1" ht="26.1" customHeight="1">
      <c r="B374" s="144"/>
      <c r="E374" s="145"/>
      <c r="F374" s="145"/>
    </row>
    <row r="375" spans="2:6" s="2" customFormat="1" ht="26.1" customHeight="1">
      <c r="B375" s="144"/>
      <c r="E375" s="145"/>
      <c r="F375" s="145"/>
    </row>
    <row r="376" spans="2:6" s="2" customFormat="1" ht="26.1" customHeight="1">
      <c r="B376" s="144"/>
      <c r="E376" s="145"/>
      <c r="F376" s="145"/>
    </row>
    <row r="377" spans="2:6" s="2" customFormat="1" ht="26.1" customHeight="1">
      <c r="B377" s="144"/>
      <c r="E377" s="145"/>
      <c r="F377" s="145"/>
    </row>
    <row r="378" spans="2:6" s="2" customFormat="1" ht="26.1" customHeight="1">
      <c r="B378" s="144"/>
      <c r="E378" s="145"/>
      <c r="F378" s="145"/>
    </row>
    <row r="379" spans="2:6" s="2" customFormat="1" ht="26.1" customHeight="1">
      <c r="B379" s="144"/>
      <c r="E379" s="145"/>
      <c r="F379" s="145"/>
    </row>
    <row r="380" spans="2:6" s="2" customFormat="1" ht="26.1" customHeight="1">
      <c r="B380" s="144"/>
      <c r="E380" s="145"/>
      <c r="F380" s="145"/>
    </row>
    <row r="381" spans="2:6" s="2" customFormat="1" ht="26.1" customHeight="1">
      <c r="B381" s="146"/>
      <c r="E381" s="145"/>
      <c r="F381" s="145"/>
    </row>
    <row r="382" spans="2:6" s="2" customFormat="1" ht="26.1" customHeight="1">
      <c r="B382" s="146"/>
      <c r="E382" s="145"/>
      <c r="F382" s="145"/>
    </row>
    <row r="383" spans="2:6" s="2" customFormat="1" ht="26.1" customHeight="1">
      <c r="B383" s="146"/>
      <c r="E383" s="145"/>
      <c r="F383" s="145"/>
    </row>
    <row r="384" spans="2:6" s="2" customFormat="1" ht="26.1" customHeight="1">
      <c r="B384" s="144"/>
      <c r="E384" s="145"/>
      <c r="F384" s="147"/>
    </row>
    <row r="385" spans="2:6" s="2" customFormat="1" ht="26.1" customHeight="1">
      <c r="B385" s="144"/>
      <c r="E385" s="145"/>
      <c r="F385" s="145"/>
    </row>
    <row r="386" spans="2:6" s="2" customFormat="1" ht="26.1" customHeight="1">
      <c r="B386" s="144"/>
      <c r="E386" s="145"/>
      <c r="F386" s="145"/>
    </row>
    <row r="387" spans="2:6" s="2" customFormat="1" ht="26.1" customHeight="1">
      <c r="B387" s="144"/>
      <c r="E387" s="145"/>
      <c r="F387" s="145"/>
    </row>
    <row r="388" spans="2:6" s="2" customFormat="1" ht="26.1" customHeight="1">
      <c r="B388" s="144"/>
      <c r="E388" s="145"/>
      <c r="F388" s="145"/>
    </row>
    <row r="389" spans="2:6" s="2" customFormat="1" ht="26.1" customHeight="1">
      <c r="B389" s="144"/>
      <c r="E389" s="145"/>
      <c r="F389" s="145"/>
    </row>
    <row r="390" spans="2:6" s="2" customFormat="1" ht="26.1" customHeight="1">
      <c r="B390" s="144"/>
      <c r="E390" s="145"/>
      <c r="F390" s="145"/>
    </row>
    <row r="391" spans="2:6" s="2" customFormat="1" ht="26.1" customHeight="1">
      <c r="B391" s="144"/>
      <c r="E391" s="145"/>
      <c r="F391" s="145"/>
    </row>
    <row r="392" spans="2:6" s="2" customFormat="1" ht="26.1" customHeight="1">
      <c r="B392" s="144"/>
      <c r="E392" s="145"/>
      <c r="F392" s="145"/>
    </row>
    <row r="393" spans="2:6" s="2" customFormat="1" ht="26.1" customHeight="1">
      <c r="B393" s="144"/>
      <c r="E393" s="145"/>
      <c r="F393" s="145"/>
    </row>
    <row r="394" spans="2:6" s="2" customFormat="1" ht="26.1" customHeight="1">
      <c r="B394" s="144"/>
      <c r="E394" s="145"/>
      <c r="F394" s="145"/>
    </row>
    <row r="395" spans="2:6" s="2" customFormat="1" ht="26.1" customHeight="1">
      <c r="B395" s="144"/>
      <c r="E395" s="145"/>
      <c r="F395" s="145"/>
    </row>
    <row r="396" spans="2:6" s="2" customFormat="1" ht="26.1" customHeight="1">
      <c r="B396" s="144"/>
      <c r="E396" s="145"/>
      <c r="F396" s="145"/>
    </row>
    <row r="397" spans="2:6" s="2" customFormat="1" ht="26.1" customHeight="1">
      <c r="B397" s="144"/>
      <c r="E397" s="145"/>
      <c r="F397" s="145"/>
    </row>
    <row r="398" spans="2:6" s="2" customFormat="1" ht="26.1" customHeight="1">
      <c r="B398" s="144"/>
      <c r="E398" s="145"/>
      <c r="F398" s="145"/>
    </row>
    <row r="399" spans="2:6" s="2" customFormat="1" ht="26.1" customHeight="1">
      <c r="B399" s="144"/>
      <c r="E399" s="145"/>
      <c r="F399" s="145"/>
    </row>
    <row r="400" spans="2:6" s="2" customFormat="1" ht="26.1" customHeight="1">
      <c r="B400" s="144"/>
      <c r="E400" s="145"/>
      <c r="F400" s="145"/>
    </row>
    <row r="401" spans="2:6" s="2" customFormat="1" ht="26.1" customHeight="1">
      <c r="B401" s="144"/>
      <c r="E401" s="145"/>
      <c r="F401" s="145"/>
    </row>
    <row r="402" spans="2:6" s="2" customFormat="1" ht="26.1" customHeight="1">
      <c r="B402" s="144"/>
      <c r="E402" s="145"/>
      <c r="F402" s="145"/>
    </row>
    <row r="403" spans="2:6" s="2" customFormat="1" ht="26.1" customHeight="1">
      <c r="B403" s="144"/>
      <c r="E403" s="145"/>
      <c r="F403" s="145"/>
    </row>
    <row r="404" spans="2:6" s="2" customFormat="1" ht="26.1" customHeight="1">
      <c r="B404" s="144"/>
      <c r="E404" s="145"/>
      <c r="F404" s="145"/>
    </row>
    <row r="405" spans="2:6" s="2" customFormat="1" ht="26.1" customHeight="1">
      <c r="B405" s="144"/>
      <c r="C405" s="148"/>
      <c r="D405" s="149"/>
      <c r="E405" s="145"/>
      <c r="F405" s="145"/>
    </row>
    <row r="406" spans="2:6" s="2" customFormat="1" ht="26.1" customHeight="1">
      <c r="B406" s="144"/>
      <c r="C406" s="149"/>
      <c r="D406" s="149"/>
      <c r="E406" s="154"/>
      <c r="F406" s="145"/>
    </row>
    <row r="407" spans="2:6" s="149" customFormat="1" ht="26.1" customHeight="1">
      <c r="B407" s="150"/>
      <c r="E407" s="154"/>
      <c r="F407" s="145"/>
    </row>
    <row r="408" spans="2:6" s="149" customFormat="1" ht="26.1" customHeight="1">
      <c r="B408" s="150"/>
      <c r="E408" s="154"/>
      <c r="F408" s="145"/>
    </row>
    <row r="409" spans="2:6" s="149" customFormat="1" ht="26.1" customHeight="1">
      <c r="B409" s="150"/>
      <c r="E409" s="154"/>
      <c r="F409" s="145"/>
    </row>
    <row r="410" spans="2:6" s="149" customFormat="1" ht="26.1" customHeight="1">
      <c r="B410" s="150"/>
      <c r="E410" s="154"/>
      <c r="F410" s="145"/>
    </row>
    <row r="411" spans="2:6" s="149" customFormat="1" ht="26.1" customHeight="1">
      <c r="B411" s="150"/>
      <c r="E411" s="154"/>
      <c r="F411" s="145"/>
    </row>
    <row r="412" spans="2:6" s="149" customFormat="1" ht="26.1" customHeight="1">
      <c r="B412" s="150"/>
      <c r="E412" s="154"/>
      <c r="F412" s="145"/>
    </row>
    <row r="413" spans="2:6" s="149" customFormat="1" ht="26.1" customHeight="1">
      <c r="B413" s="150"/>
      <c r="E413" s="154"/>
      <c r="F413" s="145"/>
    </row>
    <row r="414" spans="2:6" s="149" customFormat="1" ht="26.1" customHeight="1">
      <c r="B414" s="150"/>
      <c r="E414" s="154"/>
      <c r="F414" s="145"/>
    </row>
    <row r="415" spans="2:6" s="149" customFormat="1" ht="26.1" customHeight="1">
      <c r="B415" s="150"/>
      <c r="E415" s="154"/>
      <c r="F415" s="145"/>
    </row>
    <row r="416" spans="2:6" s="2" customFormat="1" ht="26.1" customHeight="1">
      <c r="B416" s="144"/>
      <c r="C416" s="149"/>
      <c r="E416" s="154"/>
      <c r="F416" s="145"/>
    </row>
    <row r="417" spans="2:6" s="2" customFormat="1" ht="26.1" customHeight="1">
      <c r="B417" s="144"/>
      <c r="C417" s="149"/>
      <c r="E417" s="154"/>
      <c r="F417" s="145"/>
    </row>
    <row r="418" spans="2:6" s="2" customFormat="1" ht="26.1" customHeight="1">
      <c r="B418" s="144"/>
      <c r="C418" s="149"/>
      <c r="E418" s="154"/>
      <c r="F418" s="145"/>
    </row>
    <row r="419" spans="2:6" s="2" customFormat="1" ht="26.1" customHeight="1">
      <c r="B419" s="144"/>
      <c r="C419" s="149"/>
      <c r="E419" s="154"/>
      <c r="F419" s="145"/>
    </row>
  </sheetData>
  <sheetProtection password="D81C" sheet="1" objects="1" scenarios="1"/>
  <phoneticPr fontId="6" type="noConversion"/>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26</vt:i4>
      </vt:variant>
    </vt:vector>
  </HeadingPairs>
  <TitlesOfParts>
    <vt:vector size="30" baseType="lpstr">
      <vt:lpstr>Hülle &amp; Elektrizität</vt:lpstr>
      <vt:lpstr>Sommer &amp; Unterlagen</vt:lpstr>
      <vt:lpstr>Uebersetzung</vt:lpstr>
      <vt:lpstr>Log</vt:lpstr>
      <vt:lpstr>_neu1</vt:lpstr>
      <vt:lpstr>_neu2</vt:lpstr>
      <vt:lpstr>_neu3</vt:lpstr>
      <vt:lpstr>_neu4</vt:lpstr>
      <vt:lpstr>Anteil_WP</vt:lpstr>
      <vt:lpstr>C_Bat</vt:lpstr>
      <vt:lpstr>'Hülle &amp; Elektrizität'!Druckbereich</vt:lpstr>
      <vt:lpstr>'Sommer &amp; Unterlagen'!Druckbereich</vt:lpstr>
      <vt:lpstr>f_fr_PV</vt:lpstr>
      <vt:lpstr>JA</vt:lpstr>
      <vt:lpstr>Kanton</vt:lpstr>
      <vt:lpstr>Kanton_1</vt:lpstr>
      <vt:lpstr>Kanton_Kompie</vt:lpstr>
      <vt:lpstr>Kanton_Kopie2</vt:lpstr>
      <vt:lpstr>Klimastation</vt:lpstr>
      <vt:lpstr>Mieter1</vt:lpstr>
      <vt:lpstr>Mieter2</vt:lpstr>
      <vt:lpstr>Mieter3</vt:lpstr>
      <vt:lpstr>Mieter4</vt:lpstr>
      <vt:lpstr>Nein</vt:lpstr>
      <vt:lpstr>Projekt1</vt:lpstr>
      <vt:lpstr>Projekt4</vt:lpstr>
      <vt:lpstr>wohnen1</vt:lpstr>
      <vt:lpstr>wohnen2</vt:lpstr>
      <vt:lpstr>wohnen3</vt:lpstr>
      <vt:lpstr>wohnen4</vt:lpstr>
    </vt:vector>
  </TitlesOfParts>
  <Manager>Christoph Gmür / Christian Stünzi / Arthur Huber</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EN 101b, V1.31, de</dc:title>
  <dc:subject>Rechnerischer Nachweis EN101b / MINERGIE-Nachweis</dc:subject>
  <dc:creator>ENDK / MINERGIE</dc:creator>
  <dc:description>Entwicklungsstand MINERGIE 6. Sep 2017. Neu Schnittstelle zu PVopti und Formel für Eigenverbrauchsrate PV. Eingabe Wärmerückgewinnung Abwasser.</dc:description>
  <cp:lastModifiedBy>Christian Stünzi</cp:lastModifiedBy>
  <cp:lastPrinted>2018-12-20T08:45:01Z</cp:lastPrinted>
  <dcterms:created xsi:type="dcterms:W3CDTF">1998-04-16T12:19:12Z</dcterms:created>
  <dcterms:modified xsi:type="dcterms:W3CDTF">2019-01-03T10:24:19Z</dcterms:modified>
  <cp:category>Energienachweis MUKEN 2014 / MINERGIE-Nachweis 2017</cp:category>
</cp:coreProperties>
</file>