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01"/>
  <workbookPr codeName="DieseArbeitsmappe"/>
  <mc:AlternateContent xmlns:mc="http://schemas.openxmlformats.org/markup-compatibility/2006">
    <mc:Choice Requires="x15">
      <x15ac:absPath xmlns:x15ac="http://schemas.microsoft.com/office/spreadsheetml/2010/11/ac" url="U:\4_Zertifizierung\41_Dokumente\422_Minergie-P-A\03_Nachweisformular\02_Systemerneuerung\01_Gültig\"/>
    </mc:Choice>
  </mc:AlternateContent>
  <bookViews>
    <workbookView xWindow="0" yWindow="0" windowWidth="28800" windowHeight="14010" tabRatio="620"/>
  </bookViews>
  <sheets>
    <sheet name="enveloppe_életricité" sheetId="33254" r:id="rId1"/>
    <sheet name="été_documents" sheetId="33255" r:id="rId2"/>
    <sheet name="Uebersicht" sheetId="33257" state="hidden" r:id="rId3"/>
    <sheet name="Uebersetzung" sheetId="1" state="hidden" r:id="rId4"/>
    <sheet name="MOP" sheetId="33253" state="hidden" r:id="rId5"/>
    <sheet name="PVopti" sheetId="33258" state="hidden" r:id="rId6"/>
    <sheet name="Log" sheetId="8194" state="hidden" r:id="rId7"/>
  </sheets>
  <definedNames>
    <definedName name="_a0">#REF!</definedName>
    <definedName name="_a0WP">#REF!</definedName>
    <definedName name="_a10">#REF!</definedName>
    <definedName name="_a10WP">#REF!</definedName>
    <definedName name="_a5">#REF!</definedName>
    <definedName name="_a5WP">#REF!</definedName>
    <definedName name="_b0">#REF!</definedName>
    <definedName name="_b0WP">#REF!</definedName>
    <definedName name="_b10">#REF!</definedName>
    <definedName name="_b10WP">#REF!</definedName>
    <definedName name="_b5">#REF!</definedName>
    <definedName name="_b5WP">#REF!</definedName>
    <definedName name="_EBF1">#REF!</definedName>
    <definedName name="_EBF2">#REF!</definedName>
    <definedName name="_EBF3">#REF!</definedName>
    <definedName name="_EBF4">#REF!</definedName>
    <definedName name="_gew1">#REF!</definedName>
    <definedName name="_gew2">#REF!</definedName>
    <definedName name="_gew3">#REF!</definedName>
    <definedName name="_gew4">#REF!</definedName>
    <definedName name="_gew5">#REF!</definedName>
    <definedName name="_LER1">#REF!</definedName>
    <definedName name="_LER2">#REF!</definedName>
    <definedName name="_LER3">#REF!</definedName>
    <definedName name="_LER4">#REF!</definedName>
    <definedName name="_neu1">enveloppe_életricité!$O$23</definedName>
    <definedName name="_neu2">enveloppe_életricité!$P$23</definedName>
    <definedName name="_neu3">enveloppe_életricité!$Q$23</definedName>
    <definedName name="_neu4">enveloppe_életricité!$R$23</definedName>
    <definedName name="_Neubau">#REF!</definedName>
    <definedName name="_nL1">#REF!</definedName>
    <definedName name="_nL2">#REF!</definedName>
    <definedName name="_nL3">#REF!</definedName>
    <definedName name="_nL4">#REF!</definedName>
    <definedName name="_nL50">#REF!</definedName>
    <definedName name="_Qe1">#REF!</definedName>
    <definedName name="_Qe2">#REF!</definedName>
    <definedName name="_Qe3">#REF!</definedName>
    <definedName name="_Qe4">#REF!</definedName>
    <definedName name="_Qel1">#REF!</definedName>
    <definedName name="_Qel2">#REF!</definedName>
    <definedName name="_Qel3">#REF!</definedName>
    <definedName name="_Qel4">#REF!</definedName>
    <definedName name="_qh1">#REF!</definedName>
    <definedName name="_qh2">#REF!</definedName>
    <definedName name="_qh3">#REF!</definedName>
    <definedName name="_qh4">#REF!</definedName>
    <definedName name="_qhs1">#REF!</definedName>
    <definedName name="_qhs2">#REF!</definedName>
    <definedName name="_qhs3">#REF!</definedName>
    <definedName name="_qhs4">#REF!</definedName>
    <definedName name="_qw1">#REF!</definedName>
    <definedName name="_qw2">#REF!</definedName>
    <definedName name="_qw3">#REF!</definedName>
    <definedName name="_qw4">#REF!</definedName>
    <definedName name="_typ1">#REF!</definedName>
    <definedName name="_typ2">#REF!</definedName>
    <definedName name="_typ3">#REF!</definedName>
    <definedName name="_typ4">#REF!</definedName>
    <definedName name="_vo">#REF!</definedName>
    <definedName name="_Vth1">#REF!</definedName>
    <definedName name="_Vth2">#REF!</definedName>
    <definedName name="_Vth3">#REF!</definedName>
    <definedName name="_Vth4">#REF!</definedName>
    <definedName name="_WRG1">#REF!</definedName>
    <definedName name="_WRG2">#REF!</definedName>
    <definedName name="_WRG3">#REF!</definedName>
    <definedName name="_WRG4">#REF!</definedName>
    <definedName name="_WW1">#REF!</definedName>
    <definedName name="_WW2">#REF!</definedName>
    <definedName name="_WW3">#REF!</definedName>
    <definedName name="_WW4">#REF!</definedName>
    <definedName name="_x0">#REF!</definedName>
    <definedName name="_x0WP">#REF!</definedName>
    <definedName name="_x10">#REF!</definedName>
    <definedName name="_x10WP">#REF!</definedName>
    <definedName name="_x5">#REF!</definedName>
    <definedName name="_x5WP">#REF!</definedName>
    <definedName name="abgabe1">#REF!</definedName>
    <definedName name="abgabe2">#REF!</definedName>
    <definedName name="abgabe3">#REF!</definedName>
    <definedName name="abgabe4">#REF!</definedName>
    <definedName name="AbluftWP">#REF!</definedName>
    <definedName name="ACDC1">#REF!</definedName>
    <definedName name="ACDC2">#REF!</definedName>
    <definedName name="ACDC3">#REF!</definedName>
    <definedName name="ACDC4">#REF!</definedName>
    <definedName name="AEBF">#REF!</definedName>
    <definedName name="AEBF1">#REF!</definedName>
    <definedName name="AEBF2">#REF!</definedName>
    <definedName name="AEBF3">#REF!</definedName>
    <definedName name="AEBF4">#REF!</definedName>
    <definedName name="Anetto_AEBF1">#REF!</definedName>
    <definedName name="Anetto_AEBF2">#REF!</definedName>
    <definedName name="Anetto_AEBF3">#REF!</definedName>
    <definedName name="Anetto_AEBF4">#REF!</definedName>
    <definedName name="Anteil_WP">enveloppe_életricité!$AI$63</definedName>
    <definedName name="auswahl1">#REF!</definedName>
    <definedName name="auswahl2">#REF!</definedName>
    <definedName name="auswahl3">#REF!</definedName>
    <definedName name="auswahl4">#REF!</definedName>
    <definedName name="auswahl5">#REF!</definedName>
    <definedName name="auswahl6">#REF!</definedName>
    <definedName name="auswahl7">#REF!</definedName>
    <definedName name="auswahl8">#REF!</definedName>
    <definedName name="auswahl9">#REF!</definedName>
    <definedName name="BadMisch">#REF!</definedName>
    <definedName name="behördlicher_Nachweis">Nachweistyp</definedName>
    <definedName name="beta">#REF!</definedName>
    <definedName name="beta1">#REF!</definedName>
    <definedName name="beta2">#REF!</definedName>
    <definedName name="beta3">#REF!</definedName>
    <definedName name="beta4">#REF!</definedName>
    <definedName name="BioSolar">#REF!</definedName>
    <definedName name="Bueronutzung">#REF!</definedName>
    <definedName name="C_Bat">enveloppe_életricité!$AI$69</definedName>
    <definedName name="DeckungsgradHeizung">#REF!</definedName>
    <definedName name="DeckungsgradWW">#REF!</definedName>
    <definedName name="_xlnm.Print_Area" localSheetId="0">enveloppe_életricité!$A$1:$L$55</definedName>
    <definedName name="_xlnm.Print_Area" localSheetId="1">été_documents!$A$1:$N$40</definedName>
    <definedName name="_xlnm.Print_Area" localSheetId="2">Uebersicht!$A$1:$K$65</definedName>
    <definedName name="e_1">#REF!</definedName>
    <definedName name="e_2">#REF!</definedName>
    <definedName name="e_3">#REF!</definedName>
    <definedName name="e_4">#REF!</definedName>
    <definedName name="E_Qk">#REF!</definedName>
    <definedName name="E_Qk1">#REF!</definedName>
    <definedName name="E_Qk11">#REF!</definedName>
    <definedName name="E_Qk2">#REF!</definedName>
    <definedName name="E_Qk22">#REF!</definedName>
    <definedName name="E_Qk3">#REF!</definedName>
    <definedName name="E_Qk33">#REF!</definedName>
    <definedName name="E_Qk4">#REF!</definedName>
    <definedName name="E_Qk44">#REF!</definedName>
    <definedName name="EBF">#REF!</definedName>
    <definedName name="EBF_MUKEN">#REF!</definedName>
    <definedName name="EBFo">#REF!</definedName>
    <definedName name="EBFo1">#REF!</definedName>
    <definedName name="EBFo2">#REF!</definedName>
    <definedName name="EBFo3">#REF!</definedName>
    <definedName name="EBFo4">#REF!</definedName>
    <definedName name="ECAC1">#REF!</definedName>
    <definedName name="ECAC2">#REF!</definedName>
    <definedName name="ECAC3">#REF!</definedName>
    <definedName name="ECAC4">#REF!</definedName>
    <definedName name="EFH">#REF!</definedName>
    <definedName name="Einheit">#REF!</definedName>
    <definedName name="Einheiten">#REF!</definedName>
    <definedName name="Einwirkseiten1">#REF!</definedName>
    <definedName name="Einwirkseiten2">#REF!</definedName>
    <definedName name="Einwirkseiten3">#REF!</definedName>
    <definedName name="Einwirkseiten4">#REF!</definedName>
    <definedName name="einzel1">#REF!</definedName>
    <definedName name="Einzelanwendung">#REF!</definedName>
    <definedName name="EndenergieA">#REF!</definedName>
    <definedName name="EndenergieB">#REF!</definedName>
    <definedName name="EndenergieC">#REF!</definedName>
    <definedName name="EndenergieD">#REF!</definedName>
    <definedName name="EndenergieE">#REF!</definedName>
    <definedName name="Erzeugung">#REF!</definedName>
    <definedName name="f_fr_PV">enveloppe_életricité!$AI$68</definedName>
    <definedName name="F_s1">#REF!</definedName>
    <definedName name="F_s2">#REF!</definedName>
    <definedName name="F_s3">#REF!</definedName>
    <definedName name="F_s4">#REF!</definedName>
    <definedName name="Fehler_Neuzertifizierung">#REF!</definedName>
    <definedName name="Fehler1">#REF!</definedName>
    <definedName name="Fehler2">#REF!</definedName>
    <definedName name="Fehler3">#REF!</definedName>
    <definedName name="FehlerLüftung1">#REF!</definedName>
    <definedName name="FehlerLüftung2">#REF!</definedName>
    <definedName name="FehlerLüftung3">#REF!</definedName>
    <definedName name="Gebäudekategorie">#REF!</definedName>
    <definedName name="Gebuehr">#REF!</definedName>
    <definedName name="Grau">#REF!</definedName>
    <definedName name="Grau_Grenz">#REF!</definedName>
    <definedName name="GrenzwertMINERGIE">#REF!</definedName>
    <definedName name="hlicht1">#REF!</definedName>
    <definedName name="hlicht2">#REF!</definedName>
    <definedName name="hlicht3">#REF!</definedName>
    <definedName name="hlicht4">#REF!</definedName>
    <definedName name="Hoehe">#REF!</definedName>
    <definedName name="Industrienutzung">#REF!</definedName>
    <definedName name="JA">enveloppe_életricité!$AK$1:$AL$1</definedName>
    <definedName name="JaNein">#REF!</definedName>
    <definedName name="Kanton">#REF!</definedName>
    <definedName name="Kanton1">#REF!</definedName>
    <definedName name="Kategorie1">#REF!</definedName>
    <definedName name="Kategorie2">#REF!</definedName>
    <definedName name="Kategorie3">#REF!</definedName>
    <definedName name="Kategorie4">#REF!</definedName>
    <definedName name="Kleinanlagen1">#REF!</definedName>
    <definedName name="Kleinanlagen2">#REF!</definedName>
    <definedName name="Kleinanlagen3">#REF!</definedName>
    <definedName name="Kleinanlagen4">#REF!</definedName>
    <definedName name="Klima">#REF!</definedName>
    <definedName name="klima1">#REF!</definedName>
    <definedName name="klima2">#REF!</definedName>
    <definedName name="klima3">#REF!</definedName>
    <definedName name="klima4">#REF!</definedName>
    <definedName name="Klimastation">#REF!</definedName>
    <definedName name="Komfort1">#REF!</definedName>
    <definedName name="Komfort2">#REF!</definedName>
    <definedName name="Komfort3">#REF!</definedName>
    <definedName name="Komfort4">#REF!</definedName>
    <definedName name="Kompensation_PV">#REF!</definedName>
    <definedName name="LER_Reduktion1">#REF!</definedName>
    <definedName name="LER_Reduktion2">#REF!</definedName>
    <definedName name="LER_Reduktion3">#REF!</definedName>
    <definedName name="LER_Reduktion4">#REF!</definedName>
    <definedName name="LER_Text0">#REF!</definedName>
    <definedName name="LER_Text1">#REF!</definedName>
    <definedName name="LER_Text2">#REF!</definedName>
    <definedName name="LER_Text3">#REF!</definedName>
    <definedName name="LER_Text4">#REF!</definedName>
    <definedName name="LER_Text5">#REF!</definedName>
    <definedName name="LER_Text6">#REF!</definedName>
    <definedName name="LER_Text7">#REF!</definedName>
    <definedName name="Luftheizung">#REF!</definedName>
    <definedName name="Lüftung1">#REF!</definedName>
    <definedName name="Lüftung2">#REF!</definedName>
    <definedName name="Lüftung3">#REF!</definedName>
    <definedName name="Lüftung4">#REF!</definedName>
    <definedName name="Lüftungstyp">#REF!</definedName>
    <definedName name="mehr1">#REF!</definedName>
    <definedName name="Mehrfachanwendung">#REF!</definedName>
    <definedName name="Mieter1">enveloppe_életricité!$O$54</definedName>
    <definedName name="Mieter2">enveloppe_életricité!$P$54</definedName>
    <definedName name="Mieter3">enveloppe_életricité!$Q$54</definedName>
    <definedName name="Mieter4">enveloppe_életricité!$R$54</definedName>
    <definedName name="mineco">#REF!</definedName>
    <definedName name="MINERGIE_Wert">#REF!</definedName>
    <definedName name="minergiea">#REF!</definedName>
    <definedName name="minergiep">#REF!</definedName>
    <definedName name="MUKEN">#REF!</definedName>
    <definedName name="Nachweistyp">#REF!</definedName>
    <definedName name="Nachzertifizierung">#REF!</definedName>
    <definedName name="Nein">enveloppe_életricité!$AL$1</definedName>
    <definedName name="Neubau">#REF!</definedName>
    <definedName name="Neubau1">#REF!</definedName>
    <definedName name="Neubau2">#REF!</definedName>
    <definedName name="Neubau3">#REF!</definedName>
    <definedName name="Neubau4">#REF!</definedName>
    <definedName name="nL50_1">#REF!</definedName>
    <definedName name="nL50_2">#REF!</definedName>
    <definedName name="nL50_3">#REF!</definedName>
    <definedName name="nL50_4">#REF!</definedName>
    <definedName name="nurBadnutzung">#REF!</definedName>
    <definedName name="Nutzung1">#REF!</definedName>
    <definedName name="Oekostrom">#REF!</definedName>
    <definedName name="Primaer1">#REF!</definedName>
    <definedName name="Primaer2">#REF!</definedName>
    <definedName name="Primaer3">#REF!</definedName>
    <definedName name="Primaer4">#REF!</definedName>
    <definedName name="Primaeranf">#REF!</definedName>
    <definedName name="Primaeranf1">#REF!</definedName>
    <definedName name="Primaeranf2">#REF!</definedName>
    <definedName name="Primaeranf3">#REF!</definedName>
    <definedName name="Primaeranf4">#REF!</definedName>
    <definedName name="Primaeranforderung">#REF!</definedName>
    <definedName name="Projekt1">enveloppe_életricité!$C$12</definedName>
    <definedName name="Projekt2">#REF!</definedName>
    <definedName name="Projekt3">#REF!</definedName>
    <definedName name="Projekt4">enveloppe_életricité!$C$13</definedName>
    <definedName name="Qe">#REF!</definedName>
    <definedName name="Qe_vollständig">#REF!</definedName>
    <definedName name="qh">#REF!</definedName>
    <definedName name="qh_vollständig">#REF!</definedName>
    <definedName name="qhmax">#REF!</definedName>
    <definedName name="qhmax1">#REF!</definedName>
    <definedName name="qhmax2">#REF!</definedName>
    <definedName name="qhmax3">#REF!</definedName>
    <definedName name="qhmax4">#REF!</definedName>
    <definedName name="qhs">#REF!</definedName>
    <definedName name="qhs_vollständig">#REF!</definedName>
    <definedName name="qw">#REF!</definedName>
    <definedName name="Raum1">#REF!</definedName>
    <definedName name="Raum2">#REF!</definedName>
    <definedName name="Raum3">#REF!</definedName>
    <definedName name="Raum4">#REF!</definedName>
    <definedName name="Reduktion">#REF!</definedName>
    <definedName name="REFH">#REF!</definedName>
    <definedName name="Schulnutzung">#REF!</definedName>
    <definedName name="Standardlüftung">#REF!</definedName>
    <definedName name="Standardlüftung1">#REF!</definedName>
    <definedName name="Standardlüftung2">#REF!</definedName>
    <definedName name="Standardlüftung3">#REF!</definedName>
    <definedName name="Standardlüftung4">#REF!</definedName>
    <definedName name="StrombedarfE">#REF!</definedName>
    <definedName name="Thetaea">#REF!</definedName>
    <definedName name="THG_andere">#REF!</definedName>
    <definedName name="THG_PV">#REF!</definedName>
    <definedName name="THG_Strom">#REF!</definedName>
    <definedName name="VEBFo1">#REF!</definedName>
    <definedName name="VEBFo2">#REF!</definedName>
    <definedName name="VEBFo3">#REF!</definedName>
    <definedName name="VEBFo4">#REF!</definedName>
    <definedName name="Verkaufsnutzung">#REF!</definedName>
    <definedName name="vo">#REF!</definedName>
    <definedName name="VSup1">#REF!</definedName>
    <definedName name="VSup2">#REF!</definedName>
    <definedName name="VSup3">#REF!</definedName>
    <definedName name="VSup4">#REF!</definedName>
    <definedName name="Vth">#REF!</definedName>
    <definedName name="vx">#REF!</definedName>
    <definedName name="WaermebedarfA">#REF!</definedName>
    <definedName name="WaermebedarfB">#REF!</definedName>
    <definedName name="WaermebedarfC">#REF!</definedName>
    <definedName name="WaermebedarfD">#REF!</definedName>
    <definedName name="WaermebedarfE">#REF!</definedName>
    <definedName name="Waermepumpe">#REF!</definedName>
    <definedName name="Warmwasser">#REF!</definedName>
    <definedName name="WirkungsgradA">#REF!</definedName>
    <definedName name="WirkungsgradB">#REF!</definedName>
    <definedName name="WirkungsgradC">#REF!</definedName>
    <definedName name="WirkungsgradD">#REF!</definedName>
    <definedName name="wkk">#REF!</definedName>
    <definedName name="wohnen1">enveloppe_életricité!$O$32</definedName>
    <definedName name="wohnen2">enveloppe_életricité!$P$32</definedName>
    <definedName name="wohnen3">enveloppe_életricité!$Q$32</definedName>
    <definedName name="wohnen4">enveloppe_életricité!$R$32</definedName>
    <definedName name="wohnnutzung">#REF!</definedName>
    <definedName name="WRG">#REF!</definedName>
    <definedName name="WRG_1">#REF!</definedName>
    <definedName name="WRG_2">#REF!</definedName>
    <definedName name="WRG_3">#REF!</definedName>
    <definedName name="WRG_4">#REF!</definedName>
    <definedName name="WRG0">#REF!</definedName>
    <definedName name="WRGtyp1">#REF!</definedName>
    <definedName name="WRGtyp2">#REF!</definedName>
    <definedName name="WRGtyp3">#REF!</definedName>
    <definedName name="WRGtyp4">#REF!</definedName>
    <definedName name="ww_1">#REF!</definedName>
    <definedName name="ww_2">#REF!</definedName>
    <definedName name="ww_3">#REF!</definedName>
    <definedName name="ww_4">#REF!</definedName>
    <definedName name="ww_erneuerbar">#REF!</definedName>
    <definedName name="WWBonus">#REF!</definedName>
    <definedName name="WWBonus1">#REF!</definedName>
    <definedName name="WWBonus2">#REF!</definedName>
    <definedName name="WWBonus3">#REF!</definedName>
    <definedName name="WWBonus4">#REF!</definedName>
    <definedName name="WWMIN1">#REF!</definedName>
    <definedName name="WWMIN2">#REF!</definedName>
    <definedName name="WWMIN3">#REF!</definedName>
    <definedName name="WWMIN4">#REF!</definedName>
    <definedName name="WWSoll">#REF!</definedName>
    <definedName name="Zertifikat1">#REF!</definedName>
    <definedName name="Zertifikat2">#REF!</definedName>
    <definedName name="Zertifikat3">#REF!</definedName>
    <definedName name="Zertifikat4">#REF!</definedName>
    <definedName name="Zone1">#REF!</definedName>
    <definedName name="Zone2">#REF!</definedName>
    <definedName name="Zone3">#REF!</definedName>
    <definedName name="Zone4">#REF!</definedName>
    <definedName name="Zonen">#REF!</definedName>
    <definedName name="Zonen_vollständig">#REF!</definedName>
    <definedName name="Zweckbau">enveloppe_életricité!#REF!</definedName>
    <definedName name="Zweckumbau">enveloppe_életricité!#REF!</definedName>
    <definedName name="Zweckumbau1">enveloppe_életricité!#REF!</definedName>
    <definedName name="Zweckumbau2">enveloppe_életricité!#REF!</definedName>
    <definedName name="Zweckumbau3">enveloppe_életricité!#REF!</definedName>
    <definedName name="Zweckumbau4">enveloppe_életricité!#REF!</definedName>
  </definedNames>
  <calcPr calcId="162913"/>
</workbook>
</file>

<file path=xl/calcChain.xml><?xml version="1.0" encoding="utf-8"?>
<calcChain xmlns="http://schemas.openxmlformats.org/spreadsheetml/2006/main">
  <c r="H28" i="33254" l="1"/>
  <c r="H27" i="33254"/>
  <c r="H26" i="33254"/>
  <c r="H25" i="33254"/>
  <c r="G28" i="33254"/>
  <c r="G27" i="33254"/>
  <c r="G26" i="33254"/>
  <c r="G25" i="33254"/>
  <c r="AO3" i="33254" l="1"/>
  <c r="B22" i="33254" l="1"/>
  <c r="AP52" i="33254" l="1"/>
  <c r="AO53" i="33254"/>
  <c r="AP53" i="33254"/>
  <c r="AP50" i="33254"/>
  <c r="AP51" i="33254"/>
  <c r="AO49" i="33254"/>
  <c r="AO50" i="33254"/>
  <c r="AO51" i="33254"/>
  <c r="AO52" i="33254"/>
  <c r="P36" i="33255"/>
  <c r="AO37" i="33254"/>
  <c r="AN57" i="33254"/>
  <c r="O32" i="33254"/>
  <c r="P32" i="33254"/>
  <c r="Q32" i="33254"/>
  <c r="R32" i="33254"/>
  <c r="R31" i="33254" s="1"/>
  <c r="R33" i="33254" s="1"/>
  <c r="S32" i="33254"/>
  <c r="O33" i="33254"/>
  <c r="P31" i="33254"/>
  <c r="P33" i="33254" s="1"/>
  <c r="Q31" i="33254"/>
  <c r="Q33" i="33254"/>
  <c r="AD33" i="33254"/>
  <c r="AE33" i="33254"/>
  <c r="AF33" i="33254"/>
  <c r="AG33" i="33254"/>
  <c r="AD34" i="33254"/>
  <c r="AE34" i="33254"/>
  <c r="AF34" i="33254"/>
  <c r="AG34" i="33254"/>
  <c r="AH34" i="33254"/>
  <c r="V35" i="33254"/>
  <c r="W35" i="33254"/>
  <c r="X35" i="33254"/>
  <c r="Y35" i="33254"/>
  <c r="Z35" i="33254"/>
  <c r="V36" i="33254"/>
  <c r="V38" i="33254" s="1"/>
  <c r="W36" i="33254"/>
  <c r="X36" i="33254"/>
  <c r="Y36" i="33254"/>
  <c r="Z36" i="33254"/>
  <c r="AD36" i="33254"/>
  <c r="AE36" i="33254"/>
  <c r="AF36" i="33254"/>
  <c r="AG36" i="33254"/>
  <c r="AH36" i="33254"/>
  <c r="A2" i="33253"/>
  <c r="AI69" i="33254"/>
  <c r="AH63" i="33254"/>
  <c r="F18" i="33258"/>
  <c r="E18" i="33258"/>
  <c r="D18" i="33258"/>
  <c r="C18" i="33258"/>
  <c r="E19" i="33258"/>
  <c r="C14" i="33258"/>
  <c r="D12" i="33258"/>
  <c r="E12" i="33258"/>
  <c r="E11" i="33258"/>
  <c r="D11" i="33258"/>
  <c r="D10" i="33258"/>
  <c r="E10" i="33258"/>
  <c r="E9" i="33258"/>
  <c r="D9" i="33258"/>
  <c r="E13" i="33258"/>
  <c r="D13" i="33258"/>
  <c r="G5" i="33258"/>
  <c r="D5" i="33258"/>
  <c r="C5" i="33258"/>
  <c r="G4" i="33258"/>
  <c r="D4" i="33258"/>
  <c r="C4" i="33258"/>
  <c r="C13" i="33258"/>
  <c r="N39" i="33257"/>
  <c r="A602" i="33253"/>
  <c r="A601" i="33253"/>
  <c r="A549" i="33253"/>
  <c r="A550" i="33253" s="1"/>
  <c r="A547" i="33253"/>
  <c r="A548" i="33253"/>
  <c r="A545" i="33253"/>
  <c r="A546" i="33253" s="1"/>
  <c r="A543" i="33253"/>
  <c r="A544" i="33253"/>
  <c r="G5" i="1"/>
  <c r="F5" i="1"/>
  <c r="E5" i="1"/>
  <c r="AH23" i="33254"/>
  <c r="AH24" i="33254"/>
  <c r="AH25" i="33254"/>
  <c r="A506" i="33253"/>
  <c r="A504" i="33253"/>
  <c r="A505" i="33253"/>
  <c r="A502" i="33253"/>
  <c r="A500" i="33253"/>
  <c r="A501" i="33253"/>
  <c r="A498" i="33253"/>
  <c r="F4" i="1"/>
  <c r="H40" i="33257"/>
  <c r="A1" i="33253"/>
  <c r="A3" i="33253" s="1"/>
  <c r="B1" i="33257" s="1"/>
  <c r="A496" i="33253"/>
  <c r="A494" i="33253"/>
  <c r="A495" i="33253"/>
  <c r="A493" i="33253"/>
  <c r="A490" i="33253"/>
  <c r="A492" i="33253"/>
  <c r="A489" i="33253"/>
  <c r="A491" i="33253"/>
  <c r="A488" i="33253"/>
  <c r="A460" i="33253"/>
  <c r="A461" i="33253"/>
  <c r="A458" i="33253"/>
  <c r="A459" i="33253" s="1"/>
  <c r="A456" i="33253"/>
  <c r="A457" i="33253"/>
  <c r="A454" i="33253"/>
  <c r="A455" i="33253" s="1"/>
  <c r="A452" i="33253"/>
  <c r="A453" i="33253"/>
  <c r="A450" i="33253"/>
  <c r="A451" i="33253" s="1"/>
  <c r="A448" i="33253"/>
  <c r="A445" i="33253"/>
  <c r="A446" i="33253" s="1"/>
  <c r="A447" i="33253" s="1"/>
  <c r="A443" i="33253"/>
  <c r="A444" i="33253"/>
  <c r="A441" i="33253"/>
  <c r="A442" i="33253" s="1"/>
  <c r="A439" i="33253"/>
  <c r="A440" i="33253"/>
  <c r="A437" i="33253"/>
  <c r="A435" i="33253"/>
  <c r="A436" i="33253"/>
  <c r="A433" i="33253"/>
  <c r="A434" i="33253" s="1"/>
  <c r="A431" i="33253"/>
  <c r="A432" i="33253"/>
  <c r="A429" i="33253"/>
  <c r="A430" i="33253" s="1"/>
  <c r="A427" i="33253"/>
  <c r="A428" i="33253"/>
  <c r="A425" i="33253"/>
  <c r="A426" i="33253" s="1"/>
  <c r="A423" i="33253"/>
  <c r="A424" i="33253"/>
  <c r="A421" i="33253"/>
  <c r="A422" i="33253" s="1"/>
  <c r="A419" i="33253"/>
  <c r="A420" i="33253"/>
  <c r="A417" i="33253"/>
  <c r="A418" i="33253" s="1"/>
  <c r="A415" i="33253"/>
  <c r="A416" i="33253"/>
  <c r="A413" i="33253"/>
  <c r="A414" i="33253" s="1"/>
  <c r="A411" i="33253"/>
  <c r="A412" i="33253"/>
  <c r="A409" i="33253"/>
  <c r="A410" i="33253" s="1"/>
  <c r="A407" i="33253"/>
  <c r="A408" i="33253"/>
  <c r="A405" i="33253"/>
  <c r="A406" i="33253" s="1"/>
  <c r="A403" i="33253"/>
  <c r="A404" i="33253"/>
  <c r="A401" i="33253"/>
  <c r="A402" i="33253" s="1"/>
  <c r="A399" i="33253"/>
  <c r="A400" i="33253" s="1"/>
  <c r="A397" i="33253"/>
  <c r="A398" i="33253" s="1"/>
  <c r="A395" i="33253"/>
  <c r="A396" i="33253" s="1"/>
  <c r="A393" i="33253"/>
  <c r="A394" i="33253" s="1"/>
  <c r="A391" i="33253"/>
  <c r="A392" i="33253" s="1"/>
  <c r="A389" i="33253"/>
  <c r="A390" i="33253" s="1"/>
  <c r="A388" i="33253"/>
  <c r="A386" i="33253"/>
  <c r="A387" i="33253"/>
  <c r="A384" i="33253"/>
  <c r="A385" i="33253"/>
  <c r="A382" i="33253"/>
  <c r="A383" i="33253"/>
  <c r="A380" i="33253"/>
  <c r="A381" i="33253"/>
  <c r="A376" i="33253"/>
  <c r="A374" i="33253"/>
  <c r="A370" i="33253"/>
  <c r="A371" i="33253"/>
  <c r="A368" i="33253"/>
  <c r="A366" i="33253"/>
  <c r="A362" i="33253"/>
  <c r="A358" i="33253"/>
  <c r="A354" i="33253"/>
  <c r="A355" i="33253"/>
  <c r="A357" i="33253"/>
  <c r="A353" i="33253"/>
  <c r="A350" i="33253"/>
  <c r="A344" i="33253"/>
  <c r="A342" i="33253"/>
  <c r="A341" i="33253"/>
  <c r="A329" i="33253"/>
  <c r="A330" i="33253"/>
  <c r="A327" i="33253"/>
  <c r="A328" i="33253"/>
  <c r="A325" i="33253"/>
  <c r="A323" i="33253"/>
  <c r="A321" i="33253"/>
  <c r="A322" i="33253"/>
  <c r="A319" i="33253"/>
  <c r="A317" i="33253"/>
  <c r="A315" i="33253"/>
  <c r="A313" i="33253"/>
  <c r="A311" i="33253"/>
  <c r="A309" i="33253"/>
  <c r="A307" i="33253"/>
  <c r="A305" i="33253"/>
  <c r="A306" i="33253" s="1"/>
  <c r="A303" i="33253"/>
  <c r="A301" i="33253"/>
  <c r="A299" i="33253"/>
  <c r="A297" i="33253"/>
  <c r="A298" i="33253"/>
  <c r="A295" i="33253"/>
  <c r="A293" i="33253"/>
  <c r="A291" i="33253"/>
  <c r="A289" i="33253"/>
  <c r="A290" i="33253" s="1"/>
  <c r="A287" i="33253"/>
  <c r="A285" i="33253"/>
  <c r="A283" i="33253"/>
  <c r="A275" i="33253"/>
  <c r="A281" i="33253"/>
  <c r="A282" i="33253" s="1"/>
  <c r="A279" i="33253"/>
  <c r="A277" i="33253"/>
  <c r="A273" i="33253"/>
  <c r="A274" i="33253" s="1"/>
  <c r="A271" i="33253"/>
  <c r="A269" i="33253"/>
  <c r="A267" i="33253"/>
  <c r="A265" i="33253"/>
  <c r="A266" i="33253"/>
  <c r="A263" i="33253"/>
  <c r="A261" i="33253"/>
  <c r="A259" i="33253"/>
  <c r="A257" i="33253"/>
  <c r="A258" i="33253" s="1"/>
  <c r="A255" i="33253"/>
  <c r="A253" i="33253"/>
  <c r="A251" i="33253"/>
  <c r="A249" i="33253"/>
  <c r="A250" i="33253"/>
  <c r="A247" i="33253"/>
  <c r="A245" i="33253"/>
  <c r="A243" i="33253"/>
  <c r="A242" i="33253"/>
  <c r="A241" i="33253"/>
  <c r="A240" i="33253"/>
  <c r="A239" i="33253"/>
  <c r="A237" i="33253"/>
  <c r="A238" i="33253" s="1"/>
  <c r="A235" i="33253"/>
  <c r="A233" i="33253"/>
  <c r="A231" i="33253"/>
  <c r="A229" i="33253"/>
  <c r="A227" i="33253"/>
  <c r="A225" i="33253"/>
  <c r="A223" i="33253"/>
  <c r="A137" i="33253"/>
  <c r="A138" i="33253"/>
  <c r="A139" i="33253"/>
  <c r="A140" i="33253"/>
  <c r="A141" i="33253"/>
  <c r="A142" i="33253"/>
  <c r="A143" i="33253"/>
  <c r="A144" i="33253"/>
  <c r="A77" i="33253"/>
  <c r="K104" i="33254"/>
  <c r="A356" i="33253" s="1"/>
  <c r="K21" i="33257"/>
  <c r="H21" i="33257"/>
  <c r="C22" i="33257"/>
  <c r="B65" i="33257"/>
  <c r="C21" i="33257"/>
  <c r="A18" i="33253"/>
  <c r="G95" i="33254"/>
  <c r="A343" i="33253" s="1"/>
  <c r="B6" i="33255"/>
  <c r="B4" i="33255"/>
  <c r="A120" i="33253"/>
  <c r="A119" i="33253"/>
  <c r="A118" i="33253"/>
  <c r="A117" i="33253"/>
  <c r="I20" i="33257"/>
  <c r="J8" i="33254"/>
  <c r="J7" i="33254"/>
  <c r="C8" i="33254"/>
  <c r="H7" i="33254"/>
  <c r="C7" i="33254"/>
  <c r="K112" i="33254"/>
  <c r="B112" i="33254"/>
  <c r="K65" i="33257"/>
  <c r="A12" i="33253"/>
  <c r="G4" i="1"/>
  <c r="A213" i="33253"/>
  <c r="A163" i="33253"/>
  <c r="A162" i="33253"/>
  <c r="A161" i="33253"/>
  <c r="A160" i="33253"/>
  <c r="A159" i="33253"/>
  <c r="A158" i="33253"/>
  <c r="A157" i="33253"/>
  <c r="A156" i="33253"/>
  <c r="A155" i="33253"/>
  <c r="A154" i="33253"/>
  <c r="A153" i="33253"/>
  <c r="A152" i="33253"/>
  <c r="A151" i="33253"/>
  <c r="A150" i="33253"/>
  <c r="A149" i="33253"/>
  <c r="A148" i="33253"/>
  <c r="A147" i="33253"/>
  <c r="A146" i="33253"/>
  <c r="A145" i="33253"/>
  <c r="A136" i="33253"/>
  <c r="A135" i="33253"/>
  <c r="A134" i="33253"/>
  <c r="A133" i="33253"/>
  <c r="A131" i="33253"/>
  <c r="A129" i="33253"/>
  <c r="A127" i="33253"/>
  <c r="A125" i="33253"/>
  <c r="A107" i="33253"/>
  <c r="A106" i="33253"/>
  <c r="A105" i="33253"/>
  <c r="A104" i="33253"/>
  <c r="A103" i="33253"/>
  <c r="A102" i="33253"/>
  <c r="A101" i="33253"/>
  <c r="A100" i="33253"/>
  <c r="A99" i="33253"/>
  <c r="A98" i="33253"/>
  <c r="A97" i="33253"/>
  <c r="A96" i="33253"/>
  <c r="A95" i="33253"/>
  <c r="A94" i="33253"/>
  <c r="A93" i="33253"/>
  <c r="A92" i="33253"/>
  <c r="A91" i="33253"/>
  <c r="A85" i="33253"/>
  <c r="A87" i="33253"/>
  <c r="A89" i="33253"/>
  <c r="A83" i="33253"/>
  <c r="A81" i="33253"/>
  <c r="A79" i="33253"/>
  <c r="A75" i="33253"/>
  <c r="A73" i="33253"/>
  <c r="A71" i="33253"/>
  <c r="A69" i="33253"/>
  <c r="A67" i="33253"/>
  <c r="A66" i="33253"/>
  <c r="A65" i="33253"/>
  <c r="A64" i="33253"/>
  <c r="A63" i="33253"/>
  <c r="A61" i="33253"/>
  <c r="A59" i="33253"/>
  <c r="A57" i="33253"/>
  <c r="A55" i="33253"/>
  <c r="A53" i="33253"/>
  <c r="A51" i="33253"/>
  <c r="A49" i="33253"/>
  <c r="A47" i="33253"/>
  <c r="A45" i="33253"/>
  <c r="A43" i="33253"/>
  <c r="A41" i="33253"/>
  <c r="A39" i="33253"/>
  <c r="A33" i="33253"/>
  <c r="A31" i="33253"/>
  <c r="A29" i="33253"/>
  <c r="A27" i="33253"/>
  <c r="A25" i="33253"/>
  <c r="A23" i="33253"/>
  <c r="A21" i="33253"/>
  <c r="A19" i="33253"/>
  <c r="A5" i="33253"/>
  <c r="A17" i="33253"/>
  <c r="A7" i="33253"/>
  <c r="A15" i="33253"/>
  <c r="A14" i="33253"/>
  <c r="A13" i="33253"/>
  <c r="A11" i="33253"/>
  <c r="A10" i="33253"/>
  <c r="A9" i="33253"/>
  <c r="H3" i="1"/>
  <c r="H2" i="1"/>
  <c r="H1" i="1"/>
  <c r="G94" i="33254"/>
  <c r="I94" i="33254" s="1"/>
  <c r="H94" i="33254"/>
  <c r="J94" i="33254" s="1"/>
  <c r="A62" i="33253"/>
  <c r="A82" i="33253"/>
  <c r="A76" i="33253"/>
  <c r="A58" i="33253"/>
  <c r="A78" i="33253"/>
  <c r="A56" i="33253"/>
  <c r="A60" i="33253"/>
  <c r="A80" i="33253"/>
  <c r="K72" i="33254"/>
  <c r="A4" i="33253"/>
  <c r="E72" i="33254"/>
  <c r="A74" i="33253"/>
  <c r="A499" i="33253"/>
  <c r="A375" i="33253"/>
  <c r="A449" i="33253"/>
  <c r="A377" i="33253"/>
  <c r="A369" i="33253"/>
  <c r="A359" i="33253"/>
  <c r="A438" i="33253"/>
  <c r="A503" i="33253"/>
  <c r="A314" i="33253"/>
  <c r="A326" i="33253"/>
  <c r="A318" i="33253"/>
  <c r="A248" i="33253"/>
  <c r="A280" i="33253"/>
  <c r="A256" i="33253"/>
  <c r="A264" i="33253"/>
  <c r="A296" i="33253"/>
  <c r="A288" i="33253"/>
  <c r="A304" i="33253"/>
  <c r="A272" i="33253"/>
  <c r="A310" i="33253"/>
  <c r="A230" i="33253"/>
  <c r="D34" i="33258"/>
  <c r="F34" i="33258"/>
  <c r="A300" i="33253"/>
  <c r="A284" i="33253"/>
  <c r="A276" i="33253"/>
  <c r="A292" i="33253"/>
  <c r="A268" i="33253"/>
  <c r="A260" i="33253"/>
  <c r="A252" i="33253"/>
  <c r="A236" i="33253"/>
  <c r="A302" i="33253"/>
  <c r="A324" i="33253"/>
  <c r="A367" i="33253"/>
  <c r="A316" i="33253"/>
  <c r="A320" i="33253"/>
  <c r="A363" i="33253"/>
  <c r="A246" i="33253"/>
  <c r="A351" i="33253"/>
  <c r="A262" i="33253"/>
  <c r="A278" i="33253"/>
  <c r="A226" i="33253"/>
  <c r="A270" i="33253"/>
  <c r="A312" i="33253"/>
  <c r="A254" i="33253"/>
  <c r="A294" i="33253"/>
  <c r="A234" i="33253"/>
  <c r="A286" i="33253"/>
  <c r="A308" i="33253"/>
  <c r="A228" i="33253"/>
  <c r="A214" i="33253"/>
  <c r="A70" i="33253"/>
  <c r="A72" i="33253"/>
  <c r="A68" i="33253"/>
  <c r="E28" i="33258"/>
  <c r="I7" i="33254"/>
  <c r="A6" i="33253"/>
  <c r="B22" i="33257"/>
  <c r="I21" i="33257"/>
  <c r="B8" i="33254"/>
  <c r="B21" i="33257"/>
  <c r="B7" i="33254"/>
  <c r="G7" i="33254"/>
  <c r="A115" i="33253"/>
  <c r="A116" i="33253"/>
  <c r="A108" i="33253"/>
  <c r="C11" i="33258"/>
  <c r="AF60" i="33254"/>
  <c r="C12" i="33258"/>
  <c r="AG60" i="33254"/>
  <c r="C9" i="33258"/>
  <c r="AD60" i="33254"/>
  <c r="C10" i="33258"/>
  <c r="AE60" i="33254"/>
  <c r="AE63" i="33254" s="1"/>
  <c r="E31" i="33258"/>
  <c r="E30" i="33258"/>
  <c r="E32" i="33258"/>
  <c r="E29" i="33258"/>
  <c r="E33" i="33258"/>
  <c r="E27" i="33258"/>
  <c r="E34" i="33258"/>
  <c r="B43" i="33257"/>
  <c r="D28" i="33258"/>
  <c r="F31" i="33258"/>
  <c r="A113" i="33253"/>
  <c r="A114" i="33253"/>
  <c r="A132" i="33253"/>
  <c r="A126" i="33253"/>
  <c r="A128" i="33253"/>
  <c r="A130" i="33253"/>
  <c r="D30" i="33258"/>
  <c r="D27" i="33258"/>
  <c r="D33" i="33258"/>
  <c r="D32" i="33258"/>
  <c r="D31" i="33258"/>
  <c r="D29" i="33258"/>
  <c r="A109" i="33253"/>
  <c r="A110" i="33253"/>
  <c r="F27" i="33258"/>
  <c r="F29" i="33258"/>
  <c r="F30" i="33258"/>
  <c r="F32" i="33258"/>
  <c r="F28" i="33258"/>
  <c r="F33" i="33258"/>
  <c r="A112" i="33253"/>
  <c r="A111" i="33253"/>
  <c r="A172" i="33253"/>
  <c r="A84" i="33253"/>
  <c r="A523" i="33253"/>
  <c r="A528" i="33253"/>
  <c r="A44" i="33253"/>
  <c r="C19" i="33258"/>
  <c r="A86" i="33253"/>
  <c r="A42" i="33253"/>
  <c r="D19" i="33258"/>
  <c r="A46" i="33253"/>
  <c r="F19" i="33258"/>
  <c r="A40" i="33253"/>
  <c r="A16" i="33253"/>
  <c r="S74" i="33255"/>
  <c r="T73" i="33255"/>
  <c r="U72" i="33255"/>
  <c r="S73" i="33255"/>
  <c r="T72" i="33255"/>
  <c r="S72" i="33255"/>
  <c r="V74" i="33255"/>
  <c r="U74" i="33255"/>
  <c r="V73" i="33255"/>
  <c r="T74" i="33255"/>
  <c r="U73" i="33255"/>
  <c r="V72" i="33255"/>
  <c r="A90" i="33253"/>
  <c r="A88" i="33253"/>
  <c r="A180" i="33253"/>
  <c r="A183" i="33253"/>
  <c r="A181" i="33253"/>
  <c r="A182" i="33253"/>
  <c r="F12" i="33258"/>
  <c r="AF75" i="33254"/>
  <c r="AE75" i="33254"/>
  <c r="AD75" i="33254"/>
  <c r="AD74" i="33254"/>
  <c r="AF74" i="33254"/>
  <c r="AE74" i="33254"/>
  <c r="E17" i="33258"/>
  <c r="D17" i="33258"/>
  <c r="C17" i="33258"/>
  <c r="X13" i="33254"/>
  <c r="X17" i="33254" s="1"/>
  <c r="X49" i="33254"/>
  <c r="Q91" i="33254"/>
  <c r="W37" i="33254"/>
  <c r="W38" i="33254" s="1"/>
  <c r="W13" i="33254"/>
  <c r="W17" i="33254" s="1"/>
  <c r="W49" i="33254"/>
  <c r="P91" i="33254"/>
  <c r="V13" i="33254"/>
  <c r="V17" i="33254" s="1"/>
  <c r="O91" i="33254"/>
  <c r="V49" i="33254"/>
  <c r="X37" i="33254"/>
  <c r="X38" i="33254" s="1"/>
  <c r="V37" i="33254"/>
  <c r="Q69" i="33254"/>
  <c r="P49" i="33254"/>
  <c r="P51" i="33254" s="1"/>
  <c r="P50" i="33254"/>
  <c r="P81" i="33254"/>
  <c r="P69" i="33254"/>
  <c r="D37" i="33258" s="1"/>
  <c r="O49" i="33254"/>
  <c r="O51" i="33254" s="1"/>
  <c r="O69" i="33254"/>
  <c r="V51" i="33254" s="1"/>
  <c r="O50" i="33254"/>
  <c r="O81" i="33254"/>
  <c r="S81" i="33254" s="1"/>
  <c r="Q49" i="33254"/>
  <c r="Q51" i="33254" s="1"/>
  <c r="Q50" i="33254"/>
  <c r="Q81" i="33254"/>
  <c r="A167" i="33253"/>
  <c r="A24" i="33253"/>
  <c r="A22" i="33253"/>
  <c r="A20" i="33253"/>
  <c r="D24" i="33258"/>
  <c r="E24" i="33258"/>
  <c r="F11" i="33258"/>
  <c r="F10" i="33258"/>
  <c r="F9" i="33258"/>
  <c r="AG75" i="33254"/>
  <c r="AG74" i="33254"/>
  <c r="AI75" i="33254"/>
  <c r="AI76" i="33254" s="1"/>
  <c r="AI74" i="33254"/>
  <c r="C24" i="33258"/>
  <c r="F17" i="33258"/>
  <c r="E37" i="33258"/>
  <c r="Y13" i="33254"/>
  <c r="Y17" i="33254" s="1"/>
  <c r="Y26" i="33254" s="1"/>
  <c r="Y49" i="33254"/>
  <c r="R91" i="33254"/>
  <c r="A566" i="33253"/>
  <c r="X51" i="33254"/>
  <c r="A568" i="33253"/>
  <c r="W51" i="33254"/>
  <c r="A567" i="33253"/>
  <c r="R49" i="33254"/>
  <c r="R51" i="33254"/>
  <c r="R50" i="33254"/>
  <c r="S50" i="33254"/>
  <c r="R81" i="33254"/>
  <c r="R69" i="33254"/>
  <c r="A569" i="33253" s="1"/>
  <c r="O44" i="33254"/>
  <c r="AF14" i="33254"/>
  <c r="AF16" i="33254"/>
  <c r="X14" i="33254"/>
  <c r="AG14" i="33254"/>
  <c r="AG16" i="33254"/>
  <c r="AE14" i="33254"/>
  <c r="AE16" i="33254"/>
  <c r="A165" i="33253"/>
  <c r="A164" i="33253"/>
  <c r="A166" i="33253"/>
  <c r="Q30" i="33254"/>
  <c r="Q44" i="33254"/>
  <c r="P30" i="33254"/>
  <c r="P44" i="33254"/>
  <c r="O30" i="33254"/>
  <c r="W14" i="33254"/>
  <c r="Y14" i="33254"/>
  <c r="A26" i="33253"/>
  <c r="O21" i="33254"/>
  <c r="P21" i="33254"/>
  <c r="Q21" i="33254"/>
  <c r="R100" i="33255"/>
  <c r="K41" i="33257" s="1"/>
  <c r="A507" i="33253" s="1"/>
  <c r="A508" i="33253" s="1"/>
  <c r="B109" i="33254"/>
  <c r="F37" i="33258"/>
  <c r="D103" i="33254"/>
  <c r="F24" i="33258"/>
  <c r="Y37" i="33254"/>
  <c r="Y38" i="33254" s="1"/>
  <c r="S49" i="33254"/>
  <c r="Y51" i="33254"/>
  <c r="R44" i="33254"/>
  <c r="V16" i="33254"/>
  <c r="AD17" i="33254"/>
  <c r="W16" i="33254"/>
  <c r="AE17" i="33254"/>
  <c r="X16" i="33254"/>
  <c r="AF17" i="33254"/>
  <c r="AH14" i="33254"/>
  <c r="R30" i="33254"/>
  <c r="I64" i="33257"/>
  <c r="D104" i="33254"/>
  <c r="D64" i="33257"/>
  <c r="B64" i="33257"/>
  <c r="R21" i="33254"/>
  <c r="S21" i="33254"/>
  <c r="S31" i="33254"/>
  <c r="S30" i="33254" s="1"/>
  <c r="B104" i="33254"/>
  <c r="D109" i="33254"/>
  <c r="D106" i="33254"/>
  <c r="B106" i="33254"/>
  <c r="D107" i="33254"/>
  <c r="B107" i="33254"/>
  <c r="D105" i="33254"/>
  <c r="B105" i="33254"/>
  <c r="B108" i="33254"/>
  <c r="D108" i="33254"/>
  <c r="O46" i="33254"/>
  <c r="A576" i="33253" s="1"/>
  <c r="W48" i="33254"/>
  <c r="V48" i="33254"/>
  <c r="X48" i="33254"/>
  <c r="P46" i="33254"/>
  <c r="A577" i="33253" s="1"/>
  <c r="Q46" i="33254"/>
  <c r="A578" i="33253" s="1"/>
  <c r="A38" i="33253"/>
  <c r="A37" i="33253"/>
  <c r="Y16" i="33254"/>
  <c r="AG17" i="33254"/>
  <c r="B103" i="33254"/>
  <c r="A36" i="33253"/>
  <c r="A35" i="33253"/>
  <c r="AI66" i="33254"/>
  <c r="S69" i="33254"/>
  <c r="A570" i="33253" s="1"/>
  <c r="R46" i="33254"/>
  <c r="A579" i="33253" s="1"/>
  <c r="Q90" i="33254"/>
  <c r="A563" i="33253" s="1"/>
  <c r="R90" i="33254"/>
  <c r="A564" i="33253" s="1"/>
  <c r="Y48" i="33254"/>
  <c r="Z49" i="33254"/>
  <c r="Q45" i="33257"/>
  <c r="S57" i="33254"/>
  <c r="A555" i="33253" s="1"/>
  <c r="S60" i="33254"/>
  <c r="N48" i="33257" s="1"/>
  <c r="Z38" i="33254"/>
  <c r="E96" i="33254"/>
  <c r="A346" i="33253" s="1"/>
  <c r="S46" i="33254"/>
  <c r="N46" i="33257" s="1"/>
  <c r="P90" i="33254"/>
  <c r="A562" i="33253" s="1"/>
  <c r="X47" i="33254"/>
  <c r="W47" i="33254"/>
  <c r="V47" i="33254"/>
  <c r="B111" i="33254"/>
  <c r="D111" i="33254"/>
  <c r="B110" i="33254"/>
  <c r="D110" i="33254"/>
  <c r="D20" i="33258"/>
  <c r="E20" i="33258"/>
  <c r="C20" i="33258"/>
  <c r="O90" i="33254"/>
  <c r="A561" i="33253" s="1"/>
  <c r="E35" i="33258"/>
  <c r="A541" i="33253"/>
  <c r="F35" i="33258"/>
  <c r="S95" i="33254"/>
  <c r="A560" i="33253" s="1"/>
  <c r="Y47" i="33254"/>
  <c r="Z47" i="33254"/>
  <c r="Q48" i="33257" s="1"/>
  <c r="H39" i="33257"/>
  <c r="A539" i="33253"/>
  <c r="A540" i="33253"/>
  <c r="F20" i="33258"/>
  <c r="C35" i="33258"/>
  <c r="A542" i="33253"/>
  <c r="D35" i="33258"/>
  <c r="F39" i="33257"/>
  <c r="A484" i="33253" s="1"/>
  <c r="F38" i="33257"/>
  <c r="A480" i="33253" s="1"/>
  <c r="A122" i="33253"/>
  <c r="A124" i="33253"/>
  <c r="A123" i="33253"/>
  <c r="A121" i="33253"/>
  <c r="E83" i="33254"/>
  <c r="A205" i="33253"/>
  <c r="A206" i="33253"/>
  <c r="A207" i="33253"/>
  <c r="A204" i="33253"/>
  <c r="C22" i="33258"/>
  <c r="E23" i="33258"/>
  <c r="Q102" i="33254"/>
  <c r="D23" i="33258"/>
  <c r="P102" i="33254"/>
  <c r="F23" i="33258"/>
  <c r="R102" i="33254"/>
  <c r="D22" i="33258"/>
  <c r="F22" i="33258"/>
  <c r="E22" i="33258"/>
  <c r="A185" i="33253"/>
  <c r="A184" i="33253"/>
  <c r="A189" i="33253"/>
  <c r="A190" i="33253"/>
  <c r="A192" i="33253"/>
  <c r="A187" i="33253"/>
  <c r="A186" i="33253"/>
  <c r="A191" i="33253"/>
  <c r="A197" i="33253"/>
  <c r="A196" i="33253"/>
  <c r="A195" i="33253"/>
  <c r="A199" i="33253"/>
  <c r="C23" i="33258"/>
  <c r="O102" i="33254"/>
  <c r="S102" i="33254"/>
  <c r="R100" i="33254"/>
  <c r="A599" i="33253"/>
  <c r="P100" i="33254"/>
  <c r="A597" i="33253"/>
  <c r="Q100" i="33254"/>
  <c r="A598" i="33253"/>
  <c r="G12" i="33258"/>
  <c r="G11" i="33258"/>
  <c r="G10" i="33258"/>
  <c r="G9" i="33258"/>
  <c r="O100" i="33254"/>
  <c r="A201" i="33253"/>
  <c r="A200" i="33253"/>
  <c r="A202" i="33253"/>
  <c r="A194" i="33253"/>
  <c r="A193" i="33253"/>
  <c r="A209" i="33253"/>
  <c r="A529" i="33253"/>
  <c r="A208" i="33253"/>
  <c r="A530" i="33253"/>
  <c r="S100" i="33254"/>
  <c r="A596" i="33253"/>
  <c r="A517" i="33253"/>
  <c r="A518" i="33253"/>
  <c r="A198" i="33253"/>
  <c r="A203" i="33253"/>
  <c r="A177" i="33253"/>
  <c r="N45" i="33257"/>
  <c r="A600" i="33253"/>
  <c r="N49" i="33257"/>
  <c r="R47" i="33257" s="1"/>
  <c r="A176" i="33253"/>
  <c r="A171" i="33253"/>
  <c r="A168" i="33253"/>
  <c r="A219" i="33253"/>
  <c r="A220" i="33253"/>
  <c r="A485" i="33253"/>
  <c r="A222" i="33253"/>
  <c r="A221" i="33253"/>
  <c r="Z41" i="33254"/>
  <c r="F30" i="33257" s="1"/>
  <c r="Z71" i="33254"/>
  <c r="A339" i="33253"/>
  <c r="A340" i="33253" s="1"/>
  <c r="A215" i="33253"/>
  <c r="A170" i="33253"/>
  <c r="H43" i="33257"/>
  <c r="A536" i="33253" s="1"/>
  <c r="F43" i="33257"/>
  <c r="K43" i="33257" s="1"/>
  <c r="A188" i="33253"/>
  <c r="A527" i="33253"/>
  <c r="A522" i="33253"/>
  <c r="AF59" i="33254"/>
  <c r="AH59" i="33254"/>
  <c r="AG59" i="33254"/>
  <c r="I12" i="33258"/>
  <c r="H12" i="33258"/>
  <c r="AD59" i="33254"/>
  <c r="AI59" i="33254" s="1"/>
  <c r="A526" i="33253"/>
  <c r="A175" i="33253"/>
  <c r="A179" i="33253"/>
  <c r="A173" i="33253"/>
  <c r="AE59" i="33254"/>
  <c r="A174" i="33253"/>
  <c r="A521" i="33253"/>
  <c r="A178" i="33253"/>
  <c r="A169" i="33253"/>
  <c r="A524" i="33253"/>
  <c r="AD63" i="33254"/>
  <c r="AI63" i="33254" s="1"/>
  <c r="A519" i="33253"/>
  <c r="I9" i="33258"/>
  <c r="H9" i="33258"/>
  <c r="I11" i="33258"/>
  <c r="H11" i="33258"/>
  <c r="R20" i="33254"/>
  <c r="A589" i="33253" s="1"/>
  <c r="P20" i="33254"/>
  <c r="A587" i="33253" s="1"/>
  <c r="O20" i="33254"/>
  <c r="A586" i="33253" s="1"/>
  <c r="Q20" i="33254"/>
  <c r="A588" i="33253" s="1"/>
  <c r="Q99" i="33254"/>
  <c r="A593" i="33253" s="1"/>
  <c r="R17" i="33254"/>
  <c r="A584" i="33253"/>
  <c r="O99" i="33254"/>
  <c r="Q17" i="33254"/>
  <c r="A583" i="33253" s="1"/>
  <c r="P17" i="33254"/>
  <c r="A582" i="33253" s="1"/>
  <c r="R99" i="33254"/>
  <c r="R101" i="33254" s="1"/>
  <c r="O17" i="33254"/>
  <c r="P99" i="33254"/>
  <c r="A592" i="33253" s="1"/>
  <c r="H10" i="33258"/>
  <c r="I10" i="33258"/>
  <c r="S20" i="33254"/>
  <c r="Q101" i="33254"/>
  <c r="A581" i="33253"/>
  <c r="S17" i="33254"/>
  <c r="A594" i="33253"/>
  <c r="A520" i="33253"/>
  <c r="S99" i="33254"/>
  <c r="A591" i="33253"/>
  <c r="O101" i="33254"/>
  <c r="AI72" i="33254"/>
  <c r="I95" i="33254" s="1"/>
  <c r="H99" i="33254"/>
  <c r="S101" i="33254"/>
  <c r="N43" i="33257"/>
  <c r="N50" i="33257" s="1"/>
  <c r="A595" i="33253"/>
  <c r="A525" i="33253"/>
  <c r="A585" i="33253"/>
  <c r="A509" i="33253"/>
  <c r="I99" i="33254"/>
  <c r="H38" i="33257"/>
  <c r="A481" i="33253" s="1"/>
  <c r="A210" i="33253"/>
  <c r="K46" i="33257"/>
  <c r="Z72" i="33254"/>
  <c r="Z74" i="33254"/>
  <c r="E97" i="33254" s="1"/>
  <c r="I97" i="33254"/>
  <c r="A348" i="33253" s="1"/>
  <c r="A349" i="33253" s="1"/>
  <c r="A211" i="33253"/>
  <c r="A212" i="33253" s="1"/>
  <c r="K38" i="33257"/>
  <c r="A482" i="33253" s="1"/>
  <c r="A483" i="33253" s="1"/>
  <c r="A216" i="33253"/>
  <c r="H30" i="33257"/>
  <c r="N60" i="33257" s="1"/>
  <c r="S60" i="33257" s="1"/>
  <c r="A217" i="33253"/>
  <c r="A218" i="33253"/>
  <c r="H31" i="33257"/>
  <c r="A475" i="33253" s="1"/>
  <c r="K40" i="33257"/>
  <c r="A497" i="33253"/>
  <c r="Z50" i="33254" l="1"/>
  <c r="Q46" i="33257" s="1"/>
  <c r="W18" i="33254"/>
  <c r="W26" i="33254"/>
  <c r="V26" i="33254"/>
  <c r="V18" i="33254"/>
  <c r="A575" i="33253"/>
  <c r="K56" i="33257"/>
  <c r="A513" i="33253" s="1"/>
  <c r="R46" i="33257"/>
  <c r="S90" i="33254"/>
  <c r="N47" i="33257" s="1"/>
  <c r="R45" i="33257" s="1"/>
  <c r="T60" i="33257"/>
  <c r="S38" i="33257"/>
  <c r="S37" i="33257" s="1"/>
  <c r="S55" i="33257" s="1"/>
  <c r="T55" i="33257" s="1"/>
  <c r="N58" i="33257"/>
  <c r="A471" i="33253"/>
  <c r="R41" i="33257"/>
  <c r="R55" i="33257" s="1"/>
  <c r="A590" i="33253"/>
  <c r="N44" i="33257"/>
  <c r="AG63" i="33254"/>
  <c r="AF63" i="33254"/>
  <c r="C37" i="33258"/>
  <c r="R82" i="33254"/>
  <c r="R87" i="33254" s="1"/>
  <c r="Q82" i="33254"/>
  <c r="R43" i="33257"/>
  <c r="K50" i="33257"/>
  <c r="N52" i="33257"/>
  <c r="P101" i="33254"/>
  <c r="Y18" i="33254"/>
  <c r="S33" i="33254"/>
  <c r="Z48" i="33254" s="1"/>
  <c r="Q44" i="33257" s="1"/>
  <c r="A1" i="1"/>
  <c r="O82" i="33254"/>
  <c r="P82" i="33254"/>
  <c r="X18" i="33254"/>
  <c r="X26" i="33254"/>
  <c r="Z14" i="33254"/>
  <c r="Z26" i="33254" s="1"/>
  <c r="H37" i="33257" s="1"/>
  <c r="A477" i="33253" s="1"/>
  <c r="K54" i="33257"/>
  <c r="A512" i="33253" s="1"/>
  <c r="F40" i="33257"/>
  <c r="A347" i="33253"/>
  <c r="A470" i="33253"/>
  <c r="K30" i="33257"/>
  <c r="N61" i="33257"/>
  <c r="S61" i="33257" s="1"/>
  <c r="T61" i="33257" s="1"/>
  <c r="AP49" i="33254"/>
  <c r="S44" i="33254"/>
  <c r="Z51" i="33254"/>
  <c r="Q47" i="33257" s="1"/>
  <c r="K58" i="33257"/>
  <c r="A514" i="33253" s="1"/>
  <c r="G99" i="33254"/>
  <c r="A537" i="33253"/>
  <c r="A538" i="33253" s="1"/>
  <c r="A345" i="33253"/>
  <c r="S72" i="33254"/>
  <c r="S73" i="33254"/>
  <c r="N54" i="33257" s="1"/>
  <c r="R44" i="33257"/>
  <c r="K52" i="33257"/>
  <c r="A580" i="33253"/>
  <c r="A535" i="33253"/>
  <c r="Y39" i="33254" l="1"/>
  <c r="Y40" i="33254"/>
  <c r="A565" i="33253"/>
  <c r="Q87" i="33254"/>
  <c r="X40" i="33254"/>
  <c r="X39" i="33254"/>
  <c r="D623" i="1"/>
  <c r="D545" i="1"/>
  <c r="D541" i="1"/>
  <c r="D553" i="1"/>
  <c r="AN25" i="33254" s="1"/>
  <c r="D617" i="1"/>
  <c r="D640" i="1"/>
  <c r="D641" i="1"/>
  <c r="B30" i="33255" s="1"/>
  <c r="D634" i="1"/>
  <c r="B19" i="33254" s="1"/>
  <c r="D554" i="1"/>
  <c r="AN26" i="33254" s="1"/>
  <c r="D561" i="1"/>
  <c r="AQ39" i="33254" s="1"/>
  <c r="D619" i="1"/>
  <c r="B15" i="33254" s="1"/>
  <c r="D580" i="1"/>
  <c r="D41" i="33254" s="1"/>
  <c r="D571" i="1"/>
  <c r="D624" i="1"/>
  <c r="B34" i="33254" s="1"/>
  <c r="D651" i="1"/>
  <c r="D655" i="1"/>
  <c r="D659" i="1"/>
  <c r="D663" i="1"/>
  <c r="D667" i="1"/>
  <c r="D671" i="1"/>
  <c r="D675" i="1"/>
  <c r="D679" i="1"/>
  <c r="D683" i="1"/>
  <c r="D687" i="1"/>
  <c r="D691" i="1"/>
  <c r="D695" i="1"/>
  <c r="D699" i="1"/>
  <c r="D703" i="1"/>
  <c r="D707" i="1"/>
  <c r="D711" i="1"/>
  <c r="D715" i="1"/>
  <c r="D719" i="1"/>
  <c r="D723" i="1"/>
  <c r="D727" i="1"/>
  <c r="D731" i="1"/>
  <c r="D735" i="1"/>
  <c r="D739" i="1"/>
  <c r="D743" i="1"/>
  <c r="D747" i="1"/>
  <c r="D751" i="1"/>
  <c r="D755" i="1"/>
  <c r="D759" i="1"/>
  <c r="D763" i="1"/>
  <c r="D767" i="1"/>
  <c r="D771" i="1"/>
  <c r="D775" i="1"/>
  <c r="D779" i="1"/>
  <c r="D783" i="1"/>
  <c r="D787" i="1"/>
  <c r="D791" i="1"/>
  <c r="D795" i="1"/>
  <c r="D799" i="1"/>
  <c r="D803" i="1"/>
  <c r="D807" i="1"/>
  <c r="D811" i="1"/>
  <c r="D815" i="1"/>
  <c r="D819" i="1"/>
  <c r="D823" i="1"/>
  <c r="D827" i="1"/>
  <c r="D831" i="1"/>
  <c r="D835" i="1"/>
  <c r="D839" i="1"/>
  <c r="D843" i="1"/>
  <c r="D847" i="1"/>
  <c r="D851" i="1"/>
  <c r="D855" i="1"/>
  <c r="D859" i="1"/>
  <c r="D863" i="1"/>
  <c r="D867" i="1"/>
  <c r="D871" i="1"/>
  <c r="D875" i="1"/>
  <c r="D879" i="1"/>
  <c r="D883" i="1"/>
  <c r="D887" i="1"/>
  <c r="D891" i="1"/>
  <c r="D895" i="1"/>
  <c r="D650" i="1"/>
  <c r="D648" i="1"/>
  <c r="D544" i="1"/>
  <c r="AK20" i="33254" s="1"/>
  <c r="D584" i="1"/>
  <c r="D646" i="1"/>
  <c r="B1" i="33254" s="1"/>
  <c r="D633" i="1"/>
  <c r="D555" i="1"/>
  <c r="AN27" i="33254" s="1"/>
  <c r="D621" i="1"/>
  <c r="AQ40" i="33254" s="1"/>
  <c r="D572" i="1"/>
  <c r="D570" i="1"/>
  <c r="D626" i="1"/>
  <c r="AT25" i="33254" s="1"/>
  <c r="D643" i="1"/>
  <c r="D652" i="1"/>
  <c r="D656" i="1"/>
  <c r="E52" i="33254" s="1"/>
  <c r="D660" i="1"/>
  <c r="D664" i="1"/>
  <c r="D668" i="1"/>
  <c r="D672" i="1"/>
  <c r="D676" i="1"/>
  <c r="D680" i="1"/>
  <c r="D684" i="1"/>
  <c r="D688" i="1"/>
  <c r="D692" i="1"/>
  <c r="D696" i="1"/>
  <c r="D700" i="1"/>
  <c r="D704" i="1"/>
  <c r="D708" i="1"/>
  <c r="D712" i="1"/>
  <c r="D716" i="1"/>
  <c r="D720" i="1"/>
  <c r="D629" i="1"/>
  <c r="AK42" i="33254" s="1"/>
  <c r="F41" i="33254" s="1"/>
  <c r="D636" i="1"/>
  <c r="AT21" i="33254" s="1"/>
  <c r="D543" i="1"/>
  <c r="AK19" i="33254" s="1"/>
  <c r="D647" i="1"/>
  <c r="D642" i="1"/>
  <c r="D560" i="1"/>
  <c r="AQ38" i="33254" s="1"/>
  <c r="D645" i="1"/>
  <c r="D639" i="1"/>
  <c r="B17" i="33254" s="1"/>
  <c r="D632" i="1"/>
  <c r="D556" i="1"/>
  <c r="AN28" i="33254" s="1"/>
  <c r="D552" i="1"/>
  <c r="D631" i="1"/>
  <c r="D628" i="1"/>
  <c r="B40" i="33254" s="1"/>
  <c r="D627" i="1"/>
  <c r="B37" i="33254" s="1"/>
  <c r="D649" i="1"/>
  <c r="D658" i="1"/>
  <c r="D666" i="1"/>
  <c r="D674" i="1"/>
  <c r="D682" i="1"/>
  <c r="D690" i="1"/>
  <c r="D698" i="1"/>
  <c r="D706" i="1"/>
  <c r="D714" i="1"/>
  <c r="D722" i="1"/>
  <c r="D728" i="1"/>
  <c r="D733" i="1"/>
  <c r="D738" i="1"/>
  <c r="D744" i="1"/>
  <c r="D749" i="1"/>
  <c r="D754" i="1"/>
  <c r="D760" i="1"/>
  <c r="D765" i="1"/>
  <c r="D770" i="1"/>
  <c r="D776" i="1"/>
  <c r="D781" i="1"/>
  <c r="D786" i="1"/>
  <c r="D792" i="1"/>
  <c r="D797" i="1"/>
  <c r="D802" i="1"/>
  <c r="D808" i="1"/>
  <c r="D813" i="1"/>
  <c r="D818" i="1"/>
  <c r="D824" i="1"/>
  <c r="D829" i="1"/>
  <c r="D834" i="1"/>
  <c r="D840" i="1"/>
  <c r="D845" i="1"/>
  <c r="D850" i="1"/>
  <c r="D856" i="1"/>
  <c r="D861" i="1"/>
  <c r="D866" i="1"/>
  <c r="D872" i="1"/>
  <c r="D877" i="1"/>
  <c r="D882" i="1"/>
  <c r="D888" i="1"/>
  <c r="D893" i="1"/>
  <c r="D898" i="1"/>
  <c r="D902" i="1"/>
  <c r="D906" i="1"/>
  <c r="D910" i="1"/>
  <c r="D914" i="1"/>
  <c r="D918" i="1"/>
  <c r="D922" i="1"/>
  <c r="D926" i="1"/>
  <c r="D930" i="1"/>
  <c r="D934" i="1"/>
  <c r="D938" i="1"/>
  <c r="D942" i="1"/>
  <c r="D946" i="1"/>
  <c r="D950" i="1"/>
  <c r="D954" i="1"/>
  <c r="D958" i="1"/>
  <c r="D962" i="1"/>
  <c r="D966" i="1"/>
  <c r="D970" i="1"/>
  <c r="D974" i="1"/>
  <c r="D978" i="1"/>
  <c r="D982" i="1"/>
  <c r="D986" i="1"/>
  <c r="D990" i="1"/>
  <c r="D994" i="1"/>
  <c r="D998" i="1"/>
  <c r="D635" i="1"/>
  <c r="AT20" i="33254" s="1"/>
  <c r="D638" i="1"/>
  <c r="G24" i="33254" s="1"/>
  <c r="D582" i="1"/>
  <c r="D573" i="1"/>
  <c r="D625" i="1"/>
  <c r="AT24" i="33254" s="1"/>
  <c r="D653" i="1"/>
  <c r="D661" i="1"/>
  <c r="D669" i="1"/>
  <c r="D677" i="1"/>
  <c r="D685" i="1"/>
  <c r="D693" i="1"/>
  <c r="D701" i="1"/>
  <c r="D709" i="1"/>
  <c r="D717" i="1"/>
  <c r="D724" i="1"/>
  <c r="D729" i="1"/>
  <c r="D734" i="1"/>
  <c r="D740" i="1"/>
  <c r="D745" i="1"/>
  <c r="D750" i="1"/>
  <c r="D756" i="1"/>
  <c r="D761" i="1"/>
  <c r="D766" i="1"/>
  <c r="D772" i="1"/>
  <c r="D777" i="1"/>
  <c r="D782" i="1"/>
  <c r="D788" i="1"/>
  <c r="D793" i="1"/>
  <c r="D798" i="1"/>
  <c r="D804" i="1"/>
  <c r="D809" i="1"/>
  <c r="D814" i="1"/>
  <c r="D820" i="1"/>
  <c r="D825" i="1"/>
  <c r="D830" i="1"/>
  <c r="D836" i="1"/>
  <c r="D841" i="1"/>
  <c r="D846" i="1"/>
  <c r="D852" i="1"/>
  <c r="D857" i="1"/>
  <c r="D862" i="1"/>
  <c r="D868" i="1"/>
  <c r="D873" i="1"/>
  <c r="D878" i="1"/>
  <c r="D884" i="1"/>
  <c r="D889" i="1"/>
  <c r="D894" i="1"/>
  <c r="D899" i="1"/>
  <c r="D903" i="1"/>
  <c r="D907" i="1"/>
  <c r="D911" i="1"/>
  <c r="D915" i="1"/>
  <c r="D919" i="1"/>
  <c r="D923" i="1"/>
  <c r="D927" i="1"/>
  <c r="D931" i="1"/>
  <c r="D935" i="1"/>
  <c r="D939" i="1"/>
  <c r="D943" i="1"/>
  <c r="D947" i="1"/>
  <c r="D951" i="1"/>
  <c r="D955" i="1"/>
  <c r="D959" i="1"/>
  <c r="D963" i="1"/>
  <c r="D967" i="1"/>
  <c r="D971" i="1"/>
  <c r="D975" i="1"/>
  <c r="D979" i="1"/>
  <c r="D983" i="1"/>
  <c r="D987" i="1"/>
  <c r="D991" i="1"/>
  <c r="D995" i="1"/>
  <c r="D999" i="1"/>
  <c r="D583" i="1"/>
  <c r="D542" i="1"/>
  <c r="AK18" i="33254" s="1"/>
  <c r="D559" i="1"/>
  <c r="B36" i="33254" s="1"/>
  <c r="D574" i="1"/>
  <c r="D622" i="1"/>
  <c r="AQ41" i="33254" s="1"/>
  <c r="D654" i="1"/>
  <c r="D662" i="1"/>
  <c r="D670" i="1"/>
  <c r="D678" i="1"/>
  <c r="D686" i="1"/>
  <c r="D694" i="1"/>
  <c r="D702" i="1"/>
  <c r="D710" i="1"/>
  <c r="D718" i="1"/>
  <c r="D725" i="1"/>
  <c r="D730" i="1"/>
  <c r="D736" i="1"/>
  <c r="D741" i="1"/>
  <c r="D746" i="1"/>
  <c r="D752" i="1"/>
  <c r="D757" i="1"/>
  <c r="D762" i="1"/>
  <c r="D768" i="1"/>
  <c r="D773" i="1"/>
  <c r="D778" i="1"/>
  <c r="D784" i="1"/>
  <c r="D789" i="1"/>
  <c r="D794" i="1"/>
  <c r="D800" i="1"/>
  <c r="D805" i="1"/>
  <c r="D810" i="1"/>
  <c r="D816" i="1"/>
  <c r="D821" i="1"/>
  <c r="D826" i="1"/>
  <c r="D832" i="1"/>
  <c r="D837" i="1"/>
  <c r="D842" i="1"/>
  <c r="D848" i="1"/>
  <c r="D853" i="1"/>
  <c r="D858" i="1"/>
  <c r="D864" i="1"/>
  <c r="D869" i="1"/>
  <c r="D874" i="1"/>
  <c r="D880" i="1"/>
  <c r="D885" i="1"/>
  <c r="D890" i="1"/>
  <c r="D896" i="1"/>
  <c r="D900" i="1"/>
  <c r="D904" i="1"/>
  <c r="D908" i="1"/>
  <c r="D912" i="1"/>
  <c r="D916" i="1"/>
  <c r="D920" i="1"/>
  <c r="D924" i="1"/>
  <c r="D928" i="1"/>
  <c r="D932" i="1"/>
  <c r="D936" i="1"/>
  <c r="D940" i="1"/>
  <c r="D944" i="1"/>
  <c r="D948" i="1"/>
  <c r="D952" i="1"/>
  <c r="D956" i="1"/>
  <c r="D960" i="1"/>
  <c r="D964" i="1"/>
  <c r="D968" i="1"/>
  <c r="D972" i="1"/>
  <c r="D976" i="1"/>
  <c r="D980" i="1"/>
  <c r="D984" i="1"/>
  <c r="D988" i="1"/>
  <c r="D992" i="1"/>
  <c r="D996" i="1"/>
  <c r="D1000" i="1"/>
  <c r="D618" i="1"/>
  <c r="D563" i="1"/>
  <c r="D657" i="1"/>
  <c r="D689" i="1"/>
  <c r="D721" i="1"/>
  <c r="D742" i="1"/>
  <c r="D764" i="1"/>
  <c r="D785" i="1"/>
  <c r="D806" i="1"/>
  <c r="D828" i="1"/>
  <c r="D849" i="1"/>
  <c r="D870" i="1"/>
  <c r="D892" i="1"/>
  <c r="D909" i="1"/>
  <c r="D925" i="1"/>
  <c r="D941" i="1"/>
  <c r="D957" i="1"/>
  <c r="D973" i="1"/>
  <c r="D989" i="1"/>
  <c r="D562" i="1"/>
  <c r="D620" i="1"/>
  <c r="B10" i="33255" s="1"/>
  <c r="D612" i="1"/>
  <c r="D616" i="1"/>
  <c r="D607" i="1"/>
  <c r="D602" i="1"/>
  <c r="D527" i="1"/>
  <c r="D535" i="1"/>
  <c r="D549" i="1"/>
  <c r="D568" i="1"/>
  <c r="D586" i="1"/>
  <c r="P10" i="33255" s="1"/>
  <c r="D592" i="1"/>
  <c r="F27" i="33255" s="1"/>
  <c r="D600" i="1"/>
  <c r="B36" i="33255" s="1"/>
  <c r="D528" i="1"/>
  <c r="D536" i="1"/>
  <c r="D548" i="1"/>
  <c r="D569" i="1"/>
  <c r="D585" i="1"/>
  <c r="O10" i="33255" s="1"/>
  <c r="D593" i="1"/>
  <c r="A8" i="33253"/>
  <c r="D509" i="1"/>
  <c r="A26" i="33258" s="1"/>
  <c r="D517" i="1"/>
  <c r="A34" i="33258" s="1"/>
  <c r="D508" i="1"/>
  <c r="A25" i="33258" s="1"/>
  <c r="D516" i="1"/>
  <c r="A33" i="33258" s="1"/>
  <c r="D160" i="1"/>
  <c r="D161" i="1"/>
  <c r="D244" i="1"/>
  <c r="D237" i="1"/>
  <c r="D238" i="1"/>
  <c r="D240" i="1"/>
  <c r="D247" i="1"/>
  <c r="D21" i="1"/>
  <c r="D18" i="1"/>
  <c r="G20" i="33257" s="1"/>
  <c r="D184" i="1"/>
  <c r="D233" i="1"/>
  <c r="D81" i="1"/>
  <c r="D177" i="1"/>
  <c r="D257" i="1"/>
  <c r="D449" i="1"/>
  <c r="M62" i="33257" s="1"/>
  <c r="D167" i="1"/>
  <c r="D265" i="1"/>
  <c r="D457" i="1"/>
  <c r="H98" i="33254" s="1"/>
  <c r="D166" i="1"/>
  <c r="D630" i="1"/>
  <c r="B35" i="33254" s="1"/>
  <c r="D665" i="1"/>
  <c r="D697" i="1"/>
  <c r="D726" i="1"/>
  <c r="D748" i="1"/>
  <c r="D769" i="1"/>
  <c r="D790" i="1"/>
  <c r="D812" i="1"/>
  <c r="D833" i="1"/>
  <c r="D854" i="1"/>
  <c r="D876" i="1"/>
  <c r="D897" i="1"/>
  <c r="D913" i="1"/>
  <c r="D929" i="1"/>
  <c r="D945" i="1"/>
  <c r="D961" i="1"/>
  <c r="D977" i="1"/>
  <c r="D993" i="1"/>
  <c r="D565" i="1"/>
  <c r="D613" i="1"/>
  <c r="D609" i="1"/>
  <c r="D608" i="1"/>
  <c r="D603" i="1"/>
  <c r="D579" i="1"/>
  <c r="C41" i="33254" s="1"/>
  <c r="D673" i="1"/>
  <c r="D705" i="1"/>
  <c r="D732" i="1"/>
  <c r="D753" i="1"/>
  <c r="D774" i="1"/>
  <c r="D796" i="1"/>
  <c r="D817" i="1"/>
  <c r="D838" i="1"/>
  <c r="D860" i="1"/>
  <c r="D881" i="1"/>
  <c r="D901" i="1"/>
  <c r="D917" i="1"/>
  <c r="D933" i="1"/>
  <c r="D949" i="1"/>
  <c r="D965" i="1"/>
  <c r="D981" i="1"/>
  <c r="D997" i="1"/>
  <c r="D564" i="1"/>
  <c r="D566" i="1"/>
  <c r="D610" i="1"/>
  <c r="D614" i="1"/>
  <c r="D605" i="1"/>
  <c r="D604" i="1"/>
  <c r="D523" i="1"/>
  <c r="D531" i="1"/>
  <c r="D539" i="1"/>
  <c r="D578" i="1"/>
  <c r="B39" i="33254" s="1"/>
  <c r="D596" i="1"/>
  <c r="B32" i="33255" s="1"/>
  <c r="D524" i="1"/>
  <c r="D532" i="1"/>
  <c r="D540" i="1"/>
  <c r="G3" i="33254" s="1"/>
  <c r="D558" i="1"/>
  <c r="B29" i="33254" s="1"/>
  <c r="D577" i="1"/>
  <c r="AN48" i="33254" s="1"/>
  <c r="D589" i="1"/>
  <c r="O12" i="33255" s="1"/>
  <c r="D597" i="1"/>
  <c r="B33" i="33255" s="1"/>
  <c r="D505" i="1"/>
  <c r="A22" i="33258" s="1"/>
  <c r="D513" i="1"/>
  <c r="A30" i="33258" s="1"/>
  <c r="D504" i="1"/>
  <c r="A21" i="33258" s="1"/>
  <c r="D512" i="1"/>
  <c r="A29" i="33258" s="1"/>
  <c r="D520" i="1"/>
  <c r="A37" i="33258" s="1"/>
  <c r="D249" i="1"/>
  <c r="D250" i="1"/>
  <c r="D251" i="1"/>
  <c r="D239" i="1"/>
  <c r="D220" i="1"/>
  <c r="D187" i="1"/>
  <c r="D189" i="1"/>
  <c r="D22" i="1"/>
  <c r="D26" i="1"/>
  <c r="D15" i="1"/>
  <c r="D24" i="1"/>
  <c r="R13" i="33254" s="1"/>
  <c r="Q14" i="33254" s="1"/>
  <c r="D168" i="1"/>
  <c r="D73" i="1"/>
  <c r="D361" i="1"/>
  <c r="D178" i="1"/>
  <c r="D305" i="1"/>
  <c r="D33" i="1"/>
  <c r="B16" i="33254" s="1"/>
  <c r="D385" i="1"/>
  <c r="D102" i="33254" s="1"/>
  <c r="D183" i="1"/>
  <c r="D105" i="1"/>
  <c r="D182" i="1"/>
  <c r="D713" i="1"/>
  <c r="D801" i="1"/>
  <c r="D886" i="1"/>
  <c r="D953" i="1"/>
  <c r="D601" i="1"/>
  <c r="B38" i="33255" s="1"/>
  <c r="D533" i="1"/>
  <c r="D557" i="1"/>
  <c r="B33" i="33254" s="1"/>
  <c r="D590" i="1"/>
  <c r="P12" i="33255" s="1"/>
  <c r="D526" i="1"/>
  <c r="D546" i="1"/>
  <c r="B20" i="33254" s="1"/>
  <c r="D581" i="1"/>
  <c r="I41" i="33254" s="1"/>
  <c r="D599" i="1"/>
  <c r="B35" i="33255" s="1"/>
  <c r="D515" i="1"/>
  <c r="A32" i="33258" s="1"/>
  <c r="D514" i="1"/>
  <c r="A31" i="33258" s="1"/>
  <c r="D190" i="1"/>
  <c r="D192" i="1"/>
  <c r="D194" i="1"/>
  <c r="D159" i="1"/>
  <c r="D28" i="1"/>
  <c r="D16" i="1"/>
  <c r="D137" i="1"/>
  <c r="D170" i="1"/>
  <c r="D185" i="1"/>
  <c r="D201" i="1"/>
  <c r="D174" i="1"/>
  <c r="D273" i="1"/>
  <c r="D489" i="1"/>
  <c r="A1" i="33258" s="1"/>
  <c r="D165" i="1"/>
  <c r="D281" i="1"/>
  <c r="D196" i="1"/>
  <c r="D65" i="1"/>
  <c r="D353" i="1"/>
  <c r="D179" i="1"/>
  <c r="D8" i="1"/>
  <c r="D56" i="1"/>
  <c r="D88" i="1"/>
  <c r="AK36" i="33254" s="1"/>
  <c r="D112" i="1"/>
  <c r="D144" i="1"/>
  <c r="D216" i="1"/>
  <c r="D264" i="1"/>
  <c r="D280" i="1"/>
  <c r="D312" i="1"/>
  <c r="D328" i="1"/>
  <c r="D344" i="1"/>
  <c r="C83" i="33255" s="1"/>
  <c r="D360" i="1"/>
  <c r="D400" i="1"/>
  <c r="D473" i="1"/>
  <c r="M56" i="33257" s="1"/>
  <c r="D50" i="1"/>
  <c r="D114" i="1"/>
  <c r="D146" i="1"/>
  <c r="D210" i="1"/>
  <c r="D258" i="1"/>
  <c r="D290" i="1"/>
  <c r="D322" i="1"/>
  <c r="B58" i="33255" s="1"/>
  <c r="D362" i="1"/>
  <c r="D410" i="1"/>
  <c r="D466" i="1"/>
  <c r="D19" i="1"/>
  <c r="D59" i="1"/>
  <c r="D115" i="1"/>
  <c r="D147" i="1"/>
  <c r="D219" i="1"/>
  <c r="D267" i="1"/>
  <c r="D299" i="1"/>
  <c r="D403" i="1"/>
  <c r="D427" i="1"/>
  <c r="H18" i="33257" s="1"/>
  <c r="D443" i="1"/>
  <c r="M46" i="33257" s="1"/>
  <c r="P44" i="33257" s="1"/>
  <c r="D459" i="1"/>
  <c r="D483" i="1"/>
  <c r="D36" i="1"/>
  <c r="D68" i="1"/>
  <c r="D92" i="1"/>
  <c r="AK40" i="33254" s="1"/>
  <c r="D124" i="1"/>
  <c r="D156" i="1"/>
  <c r="D236" i="1"/>
  <c r="D276" i="1"/>
  <c r="D308" i="1"/>
  <c r="D332" i="1"/>
  <c r="D372" i="1"/>
  <c r="B79" i="33254" s="1"/>
  <c r="D396" i="1"/>
  <c r="D420" i="1"/>
  <c r="B10" i="33257" s="1"/>
  <c r="D436" i="1"/>
  <c r="M43" i="33257" s="1"/>
  <c r="P41" i="33257" s="1"/>
  <c r="D460" i="1"/>
  <c r="D484" i="1"/>
  <c r="D5" i="1"/>
  <c r="K1" i="33257" s="1"/>
  <c r="D45" i="1"/>
  <c r="D77" i="1"/>
  <c r="D101" i="1"/>
  <c r="D133" i="1"/>
  <c r="D205" i="1"/>
  <c r="D253" i="1"/>
  <c r="D285" i="1"/>
  <c r="D317" i="1"/>
  <c r="D373" i="1"/>
  <c r="B80" i="33254" s="1"/>
  <c r="D397" i="1"/>
  <c r="D421" i="1"/>
  <c r="B11" i="33257" s="1"/>
  <c r="D437" i="1"/>
  <c r="M44" i="33257" s="1"/>
  <c r="P42" i="33257" s="1"/>
  <c r="D477" i="1"/>
  <c r="M67" i="33257" s="1"/>
  <c r="B45" i="33257" s="1"/>
  <c r="D493" i="1"/>
  <c r="A8" i="33258" s="1"/>
  <c r="D6" i="1"/>
  <c r="D54" i="1"/>
  <c r="D86" i="1"/>
  <c r="AK34" i="33254" s="1"/>
  <c r="D110" i="1"/>
  <c r="D142" i="1"/>
  <c r="D214" i="1"/>
  <c r="D262" i="1"/>
  <c r="D294" i="1"/>
  <c r="D318" i="1"/>
  <c r="G2" i="33257" s="1"/>
  <c r="D334" i="1"/>
  <c r="D350" i="1"/>
  <c r="D366" i="1"/>
  <c r="B73" i="33254" s="1"/>
  <c r="D382" i="1"/>
  <c r="B95" i="33254" s="1"/>
  <c r="D406" i="1"/>
  <c r="D454" i="1"/>
  <c r="D494" i="1"/>
  <c r="A9" i="33258" s="1"/>
  <c r="D7" i="1"/>
  <c r="D55" i="1"/>
  <c r="D87" i="1"/>
  <c r="AK35" i="33254" s="1"/>
  <c r="D111" i="1"/>
  <c r="D143" i="1"/>
  <c r="D215" i="1"/>
  <c r="D263" i="1"/>
  <c r="D279" i="1"/>
  <c r="D303" i="1"/>
  <c r="D391" i="1"/>
  <c r="B81" i="33254" s="1"/>
  <c r="D415" i="1"/>
  <c r="D479" i="1"/>
  <c r="D737" i="1"/>
  <c r="D822" i="1"/>
  <c r="D905" i="1"/>
  <c r="D969" i="1"/>
  <c r="D611" i="1"/>
  <c r="D537" i="1"/>
  <c r="D576" i="1"/>
  <c r="AM48" i="33254" s="1"/>
  <c r="D594" i="1"/>
  <c r="D530" i="1"/>
  <c r="D550" i="1"/>
  <c r="D587" i="1"/>
  <c r="O11" i="33255" s="1"/>
  <c r="D521" i="1"/>
  <c r="D519" i="1"/>
  <c r="A36" i="33258" s="1"/>
  <c r="D518" i="1"/>
  <c r="A35" i="33258" s="1"/>
  <c r="D242" i="1"/>
  <c r="D193" i="1"/>
  <c r="D246" i="1"/>
  <c r="D158" i="1"/>
  <c r="D441" i="1"/>
  <c r="M51" i="33257" s="1"/>
  <c r="D25" i="1"/>
  <c r="D153" i="1"/>
  <c r="D297" i="1"/>
  <c r="D145" i="1"/>
  <c r="D169" i="1"/>
  <c r="D329" i="1"/>
  <c r="D49" i="1"/>
  <c r="D337" i="1"/>
  <c r="B74" i="33255" s="1"/>
  <c r="D57" i="1"/>
  <c r="D345" i="1"/>
  <c r="B90" i="33255" s="1"/>
  <c r="D180" i="1"/>
  <c r="D129" i="1"/>
  <c r="D171" i="1"/>
  <c r="D32" i="1"/>
  <c r="D64" i="1"/>
  <c r="D120" i="1"/>
  <c r="D152" i="1"/>
  <c r="D224" i="1"/>
  <c r="D637" i="1"/>
  <c r="D24" i="33254" s="1"/>
  <c r="D644" i="1"/>
  <c r="D758" i="1"/>
  <c r="D844" i="1"/>
  <c r="D921" i="1"/>
  <c r="D985" i="1"/>
  <c r="D615" i="1"/>
  <c r="D525" i="1"/>
  <c r="D547" i="1"/>
  <c r="D598" i="1"/>
  <c r="B34" i="33255" s="1"/>
  <c r="D534" i="1"/>
  <c r="D567" i="1"/>
  <c r="D591" i="1"/>
  <c r="B27" i="33255" s="1"/>
  <c r="D507" i="1"/>
  <c r="A24" i="33258" s="1"/>
  <c r="D506" i="1"/>
  <c r="A23" i="33258" s="1"/>
  <c r="D503" i="1"/>
  <c r="A20" i="33258" s="1"/>
  <c r="D191" i="1"/>
  <c r="D188" i="1"/>
  <c r="D157" i="1"/>
  <c r="D313" i="1"/>
  <c r="D27" i="1"/>
  <c r="D89" i="1"/>
  <c r="AK37" i="33254" s="1"/>
  <c r="D23" i="1"/>
  <c r="Q13" i="33254" s="1"/>
  <c r="D425" i="1"/>
  <c r="B18" i="33257" s="1"/>
  <c r="D369" i="1"/>
  <c r="B76" i="33254" s="1"/>
  <c r="D97" i="1"/>
  <c r="D175" i="1"/>
  <c r="D393" i="1"/>
  <c r="D113" i="1"/>
  <c r="D181" i="1"/>
  <c r="D121" i="1"/>
  <c r="D172" i="1"/>
  <c r="D225" i="1"/>
  <c r="D417" i="1"/>
  <c r="D163" i="1"/>
  <c r="D40" i="1"/>
  <c r="D72" i="1"/>
  <c r="D96" i="1"/>
  <c r="D128" i="1"/>
  <c r="D200" i="1"/>
  <c r="D232" i="1"/>
  <c r="D296" i="1"/>
  <c r="D336" i="1"/>
  <c r="B73" i="33255" s="1"/>
  <c r="D352" i="1"/>
  <c r="D416" i="1"/>
  <c r="D448" i="1"/>
  <c r="D480" i="1"/>
  <c r="D481" i="1"/>
  <c r="D34" i="1"/>
  <c r="D74" i="1"/>
  <c r="D98" i="1"/>
  <c r="D130" i="1"/>
  <c r="D162" i="1"/>
  <c r="D226" i="1"/>
  <c r="D274" i="1"/>
  <c r="D306" i="1"/>
  <c r="D330" i="1"/>
  <c r="D394" i="1"/>
  <c r="D450" i="1"/>
  <c r="D482" i="1"/>
  <c r="D43" i="1"/>
  <c r="D75" i="1"/>
  <c r="D99" i="1"/>
  <c r="D131" i="1"/>
  <c r="D203" i="1"/>
  <c r="D235" i="1"/>
  <c r="D283" i="1"/>
  <c r="D315" i="1"/>
  <c r="D339" i="1"/>
  <c r="D363" i="1"/>
  <c r="D387" i="1"/>
  <c r="D419" i="1"/>
  <c r="B9" i="33257" s="1"/>
  <c r="D435" i="1"/>
  <c r="B44" i="33257" s="1"/>
  <c r="D475" i="1"/>
  <c r="G96" i="33254" s="1"/>
  <c r="D12" i="1"/>
  <c r="D52" i="1"/>
  <c r="D84" i="1"/>
  <c r="AK32" i="33254" s="1"/>
  <c r="D108" i="1"/>
  <c r="D140" i="1"/>
  <c r="D212" i="1"/>
  <c r="D260" i="1"/>
  <c r="D292" i="1"/>
  <c r="D324" i="1"/>
  <c r="D340" i="1"/>
  <c r="D364" i="1"/>
  <c r="B70" i="33254" s="1"/>
  <c r="D380" i="1"/>
  <c r="D412" i="1"/>
  <c r="B85" i="33254" s="1"/>
  <c r="D428" i="1"/>
  <c r="B28" i="33257" s="1"/>
  <c r="D476" i="1"/>
  <c r="I96" i="33254" s="1"/>
  <c r="D29" i="1"/>
  <c r="D61" i="1"/>
  <c r="D117" i="1"/>
  <c r="D149" i="1"/>
  <c r="D221" i="1"/>
  <c r="D269" i="1"/>
  <c r="D301" i="1"/>
  <c r="D365" i="1"/>
  <c r="B72" i="33254" s="1"/>
  <c r="D381" i="1"/>
  <c r="I93" i="33254" s="1"/>
  <c r="D413" i="1"/>
  <c r="G93" i="33254" s="1"/>
  <c r="D429" i="1"/>
  <c r="B35" i="33257" s="1"/>
  <c r="D461" i="1"/>
  <c r="D501" i="1"/>
  <c r="A18" i="33258" s="1"/>
  <c r="D38" i="1"/>
  <c r="D70" i="1"/>
  <c r="D94" i="1"/>
  <c r="D126" i="1"/>
  <c r="D198" i="1"/>
  <c r="D230" i="1"/>
  <c r="D278" i="1"/>
  <c r="D302" i="1"/>
  <c r="D326" i="1"/>
  <c r="D342" i="1"/>
  <c r="B81" i="33255" s="1"/>
  <c r="D358" i="1"/>
  <c r="I12" i="33254" s="1"/>
  <c r="D374" i="1"/>
  <c r="B83" i="33254" s="1"/>
  <c r="D390" i="1"/>
  <c r="D446" i="1"/>
  <c r="M42" i="33257" s="1"/>
  <c r="D478" i="1"/>
  <c r="D502" i="1"/>
  <c r="A19" i="33258" s="1"/>
  <c r="D39" i="1"/>
  <c r="D71" i="1"/>
  <c r="D95" i="1"/>
  <c r="D127" i="1"/>
  <c r="D199" i="1"/>
  <c r="D231" i="1"/>
  <c r="D295" i="1"/>
  <c r="D319" i="1"/>
  <c r="D399" i="1"/>
  <c r="D681" i="1"/>
  <c r="D529" i="1"/>
  <c r="D538" i="1"/>
  <c r="D510" i="1"/>
  <c r="A27" i="33258" s="1"/>
  <c r="D248" i="1"/>
  <c r="D9" i="1"/>
  <c r="D41" i="1"/>
  <c r="D173" i="1"/>
  <c r="D289" i="1"/>
  <c r="D80" i="1"/>
  <c r="D256" i="1"/>
  <c r="D304" i="1"/>
  <c r="D376" i="1"/>
  <c r="G3" i="33257" s="1"/>
  <c r="D424" i="1"/>
  <c r="B14" i="33257" s="1"/>
  <c r="D456" i="1"/>
  <c r="G98" i="33254" s="1"/>
  <c r="D488" i="1"/>
  <c r="K61" i="33257" s="1"/>
  <c r="D497" i="1"/>
  <c r="A12" i="33258" s="1"/>
  <c r="D82" i="1"/>
  <c r="AK30" i="33254" s="1"/>
  <c r="AL29" i="33254" s="1"/>
  <c r="D138" i="1"/>
  <c r="D234" i="1"/>
  <c r="D314" i="1"/>
  <c r="D354" i="1"/>
  <c r="D402" i="1"/>
  <c r="D442" i="1"/>
  <c r="M52" i="33257" s="1"/>
  <c r="M60" i="33257" s="1"/>
  <c r="D490" i="1"/>
  <c r="C3" i="33258" s="1"/>
  <c r="D51" i="1"/>
  <c r="D107" i="1"/>
  <c r="D211" i="1"/>
  <c r="D291" i="1"/>
  <c r="D347" i="1"/>
  <c r="B95" i="33255" s="1"/>
  <c r="D395" i="1"/>
  <c r="D20" i="1"/>
  <c r="D148" i="1"/>
  <c r="D268" i="1"/>
  <c r="D444" i="1"/>
  <c r="M53" i="33257" s="1"/>
  <c r="D37" i="1"/>
  <c r="D93" i="1"/>
  <c r="AK41" i="33254" s="1"/>
  <c r="D197" i="1"/>
  <c r="D277" i="1"/>
  <c r="D333" i="1"/>
  <c r="D445" i="1"/>
  <c r="M54" i="33257" s="1"/>
  <c r="D485" i="1"/>
  <c r="D46" i="1"/>
  <c r="D102" i="1"/>
  <c r="D206" i="1"/>
  <c r="D286" i="1"/>
  <c r="D398" i="1"/>
  <c r="D438" i="1"/>
  <c r="M47" i="33257" s="1"/>
  <c r="P45" i="33257" s="1"/>
  <c r="D470" i="1"/>
  <c r="M45" i="33257" s="1"/>
  <c r="P43" i="33257" s="1"/>
  <c r="D79" i="1"/>
  <c r="D135" i="1"/>
  <c r="D255" i="1"/>
  <c r="D343" i="1"/>
  <c r="B82" i="33255" s="1"/>
  <c r="D375" i="1"/>
  <c r="D431" i="1"/>
  <c r="B31" i="33257" s="1"/>
  <c r="D463" i="1"/>
  <c r="B93" i="33254" s="1"/>
  <c r="D495" i="1"/>
  <c r="A10" i="33258" s="1"/>
  <c r="D780" i="1"/>
  <c r="D551" i="1"/>
  <c r="B30" i="33254" s="1"/>
  <c r="D575" i="1"/>
  <c r="AL57" i="33254" s="1"/>
  <c r="D241" i="1"/>
  <c r="D377" i="1"/>
  <c r="B86" i="33254" s="1"/>
  <c r="D186" i="1"/>
  <c r="D217" i="1"/>
  <c r="D195" i="1"/>
  <c r="D104" i="1"/>
  <c r="D320" i="1"/>
  <c r="B2" i="33255" s="1"/>
  <c r="B41" i="33257" s="1"/>
  <c r="D384" i="1"/>
  <c r="B102" i="33254" s="1"/>
  <c r="D432" i="1"/>
  <c r="B37" i="33257" s="1"/>
  <c r="D464" i="1"/>
  <c r="B42" i="33257" s="1"/>
  <c r="D496" i="1"/>
  <c r="A11" i="33258" s="1"/>
  <c r="D10" i="1"/>
  <c r="D90" i="1"/>
  <c r="AK38" i="33254" s="1"/>
  <c r="D154" i="1"/>
  <c r="D266" i="1"/>
  <c r="D370" i="1"/>
  <c r="B77" i="33254" s="1"/>
  <c r="D418" i="1"/>
  <c r="B20" i="33257" s="1"/>
  <c r="D498" i="1"/>
  <c r="A14" i="33258" s="1"/>
  <c r="D67" i="1"/>
  <c r="D123" i="1"/>
  <c r="D227" i="1"/>
  <c r="D307" i="1"/>
  <c r="D355" i="1"/>
  <c r="D411" i="1"/>
  <c r="D491" i="1"/>
  <c r="A4" i="33258" s="1"/>
  <c r="D44" i="1"/>
  <c r="D100" i="1"/>
  <c r="D204" i="1"/>
  <c r="D284" i="1"/>
  <c r="D452" i="1"/>
  <c r="B97" i="33254" s="1"/>
  <c r="B40" i="33257" s="1"/>
  <c r="D492" i="1"/>
  <c r="A5" i="33258" s="1"/>
  <c r="D53" i="1"/>
  <c r="D109" i="1"/>
  <c r="D213" i="1"/>
  <c r="D293" i="1"/>
  <c r="D341" i="1"/>
  <c r="B80" i="33255" s="1"/>
  <c r="D453" i="1"/>
  <c r="D62" i="1"/>
  <c r="D118" i="1"/>
  <c r="D222" i="1"/>
  <c r="D414" i="1"/>
  <c r="B96" i="33254" s="1"/>
  <c r="D31" i="1"/>
  <c r="D151" i="1"/>
  <c r="D311" i="1"/>
  <c r="D351" i="1"/>
  <c r="D439" i="1"/>
  <c r="M48" i="33257" s="1"/>
  <c r="D471" i="1"/>
  <c r="M63" i="33257" s="1"/>
  <c r="H45" i="33257" s="1"/>
  <c r="D383" i="1"/>
  <c r="D58" i="1"/>
  <c r="D865" i="1"/>
  <c r="D606" i="1"/>
  <c r="D588" i="1"/>
  <c r="P11" i="33255" s="1"/>
  <c r="D595" i="1"/>
  <c r="B31" i="33255" s="1"/>
  <c r="D243" i="1"/>
  <c r="D17" i="1"/>
  <c r="D433" i="1"/>
  <c r="B38" i="33257" s="1"/>
  <c r="D209" i="1"/>
  <c r="D409" i="1"/>
  <c r="D30" i="1"/>
  <c r="D136" i="1"/>
  <c r="D272" i="1"/>
  <c r="D392" i="1"/>
  <c r="D440" i="1"/>
  <c r="M49" i="33257" s="1"/>
  <c r="P47" i="33257" s="1"/>
  <c r="D472" i="1"/>
  <c r="M65" i="33257" s="1"/>
  <c r="E45" i="33257" s="1"/>
  <c r="D465" i="1"/>
  <c r="D42" i="1"/>
  <c r="D106" i="1"/>
  <c r="D202" i="1"/>
  <c r="D282" i="1"/>
  <c r="D338" i="1"/>
  <c r="D378" i="1"/>
  <c r="B87" i="33254" s="1"/>
  <c r="D426" i="1"/>
  <c r="D18" i="33257" s="1"/>
  <c r="D458" i="1"/>
  <c r="D11" i="1"/>
  <c r="D83" i="1"/>
  <c r="AK31" i="33254" s="1"/>
  <c r="D139" i="1"/>
  <c r="D259" i="1"/>
  <c r="D323" i="1"/>
  <c r="D371" i="1"/>
  <c r="B78" i="33254" s="1"/>
  <c r="D451" i="1"/>
  <c r="D499" i="1"/>
  <c r="A16" i="33258" s="1"/>
  <c r="D60" i="1"/>
  <c r="D116" i="1"/>
  <c r="D228" i="1"/>
  <c r="D300" i="1"/>
  <c r="D348" i="1"/>
  <c r="B96" i="33255" s="1"/>
  <c r="D388" i="1"/>
  <c r="D500" i="1"/>
  <c r="D69" i="1"/>
  <c r="D125" i="1"/>
  <c r="D229" i="1"/>
  <c r="D309" i="1"/>
  <c r="D349" i="1"/>
  <c r="B100" i="33255" s="1"/>
  <c r="D389" i="1"/>
  <c r="D469" i="1"/>
  <c r="D78" i="1"/>
  <c r="D134" i="1"/>
  <c r="D254" i="1"/>
  <c r="D310" i="1"/>
  <c r="D422" i="1"/>
  <c r="B12" i="33257" s="1"/>
  <c r="D486" i="1"/>
  <c r="D47" i="1"/>
  <c r="D103" i="1"/>
  <c r="D207" i="1"/>
  <c r="D271" i="1"/>
  <c r="D327" i="1"/>
  <c r="D359" i="1"/>
  <c r="B13" i="33254" s="1"/>
  <c r="D407" i="1"/>
  <c r="D447" i="1"/>
  <c r="M58" i="33257" s="1"/>
  <c r="D937" i="1"/>
  <c r="D511" i="1"/>
  <c r="A28" i="33258" s="1"/>
  <c r="D401" i="1"/>
  <c r="D408" i="1"/>
  <c r="D66" i="1"/>
  <c r="D346" i="1"/>
  <c r="B93" i="33255" s="1"/>
  <c r="D35" i="1"/>
  <c r="D331" i="1"/>
  <c r="D4" i="1"/>
  <c r="D316" i="1"/>
  <c r="D468" i="1"/>
  <c r="D261" i="1"/>
  <c r="D150" i="1"/>
  <c r="D63" i="1"/>
  <c r="D287" i="1"/>
  <c r="D455" i="1"/>
  <c r="B99" i="33254" s="1"/>
  <c r="D245" i="1"/>
  <c r="D164" i="1"/>
  <c r="D288" i="1"/>
  <c r="D122" i="1"/>
  <c r="D386" i="1"/>
  <c r="D91" i="1"/>
  <c r="AK39" i="33254" s="1"/>
  <c r="D379" i="1"/>
  <c r="D76" i="1"/>
  <c r="D356" i="1"/>
  <c r="B12" i="33254" s="1"/>
  <c r="D13" i="1"/>
  <c r="D325" i="1"/>
  <c r="D270" i="1"/>
  <c r="D430" i="1"/>
  <c r="B30" i="33257" s="1"/>
  <c r="D119" i="1"/>
  <c r="D335" i="1"/>
  <c r="B72" i="33255" s="1"/>
  <c r="D487" i="1"/>
  <c r="K59" i="33257" s="1"/>
  <c r="D176" i="1"/>
  <c r="D48" i="1"/>
  <c r="D218" i="1"/>
  <c r="D434" i="1"/>
  <c r="B39" i="33257" s="1"/>
  <c r="D155" i="1"/>
  <c r="D132" i="1"/>
  <c r="D404" i="1"/>
  <c r="D85" i="1"/>
  <c r="AK33" i="33254" s="1"/>
  <c r="D357" i="1"/>
  <c r="D14" i="1"/>
  <c r="D462" i="1"/>
  <c r="F31" i="33257" s="1"/>
  <c r="A474" i="33253" s="1"/>
  <c r="D223" i="1"/>
  <c r="D367" i="1"/>
  <c r="B74" i="33254" s="1"/>
  <c r="D522" i="1"/>
  <c r="D321" i="1"/>
  <c r="B8" i="33255" s="1"/>
  <c r="D208" i="1"/>
  <c r="D368" i="1"/>
  <c r="B75" i="33254" s="1"/>
  <c r="D298" i="1"/>
  <c r="D474" i="1"/>
  <c r="D275" i="1"/>
  <c r="D467" i="1"/>
  <c r="D252" i="1"/>
  <c r="D141" i="1"/>
  <c r="D405" i="1"/>
  <c r="D423" i="1"/>
  <c r="B13" i="33257" s="1"/>
  <c r="M61" i="33257"/>
  <c r="N55" i="33257"/>
  <c r="S40" i="33257"/>
  <c r="S39" i="33257"/>
  <c r="Y41" i="33254"/>
  <c r="K48" i="33257"/>
  <c r="A510" i="33253" s="1"/>
  <c r="R42" i="33257"/>
  <c r="S82" i="33254"/>
  <c r="K39" i="33257" s="1"/>
  <c r="V40" i="33254"/>
  <c r="V39" i="33254"/>
  <c r="O87" i="33254"/>
  <c r="Z18" i="33254"/>
  <c r="F37" i="33257" s="1"/>
  <c r="A476" i="33253" s="1"/>
  <c r="P87" i="33254"/>
  <c r="W39" i="33254"/>
  <c r="W40" i="33254"/>
  <c r="A472" i="33253"/>
  <c r="A473" i="33253" s="1"/>
  <c r="R88" i="33254"/>
  <c r="A334" i="33253" s="1"/>
  <c r="R89" i="33254"/>
  <c r="A338" i="33253" s="1"/>
  <c r="A511" i="33253"/>
  <c r="AI64" i="33254"/>
  <c r="AI68" i="33254" s="1"/>
  <c r="N56" i="33257"/>
  <c r="K62" i="33257"/>
  <c r="A516" i="33253" s="1"/>
  <c r="N53" i="33257"/>
  <c r="K60" i="33257" s="1"/>
  <c r="A515" i="33253" s="1"/>
  <c r="S74" i="33254"/>
  <c r="S76" i="33254" s="1"/>
  <c r="AU37" i="33254" l="1"/>
  <c r="K37" i="33257"/>
  <c r="X41" i="33254"/>
  <c r="C14" i="33255"/>
  <c r="B61" i="33255"/>
  <c r="A17" i="33258"/>
  <c r="B18" i="33254"/>
  <c r="C15" i="33255"/>
  <c r="B62" i="33255"/>
  <c r="C13" i="33255"/>
  <c r="B60" i="33255"/>
  <c r="AK13" i="33254"/>
  <c r="AR19" i="33254" s="1"/>
  <c r="R10" i="33255"/>
  <c r="P37" i="33255" s="1"/>
  <c r="AK1" i="33254"/>
  <c r="N13" i="33254"/>
  <c r="Q54" i="33254"/>
  <c r="P54" i="33254"/>
  <c r="A30" i="33253"/>
  <c r="A28" i="33253"/>
  <c r="A34" i="33253"/>
  <c r="A52" i="33253"/>
  <c r="N60" i="33255"/>
  <c r="O60" i="33255" s="1"/>
  <c r="O54" i="33254"/>
  <c r="R54" i="33254"/>
  <c r="A32" i="33253"/>
  <c r="A48" i="33253"/>
  <c r="A50" i="33253"/>
  <c r="N80" i="33255"/>
  <c r="A54" i="33253"/>
  <c r="B17" i="33255"/>
  <c r="B65" i="33255"/>
  <c r="AR18" i="33254"/>
  <c r="AR22" i="33254"/>
  <c r="AK43" i="33254"/>
  <c r="G52" i="33254" s="1"/>
  <c r="B52" i="33254"/>
  <c r="W41" i="33254"/>
  <c r="C94" i="33255"/>
  <c r="C82" i="33255"/>
  <c r="S10" i="33255"/>
  <c r="P59" i="33255"/>
  <c r="B21" i="33255"/>
  <c r="B69" i="33255"/>
  <c r="AK53" i="33254"/>
  <c r="B46" i="33254"/>
  <c r="B45" i="33254"/>
  <c r="AK52" i="33254"/>
  <c r="C11" i="33255"/>
  <c r="B49" i="33254"/>
  <c r="AK55" i="33254"/>
  <c r="AK25" i="33254"/>
  <c r="B21" i="33254" s="1"/>
  <c r="AK22" i="33254"/>
  <c r="AK17" i="33254"/>
  <c r="AK24" i="33254"/>
  <c r="G21" i="33257"/>
  <c r="G12" i="33254"/>
  <c r="B22" i="33255"/>
  <c r="B70" i="33255"/>
  <c r="Q41" i="33257"/>
  <c r="Q55" i="33257" s="1"/>
  <c r="Q42" i="33257"/>
  <c r="H97" i="33254"/>
  <c r="I102" i="33254"/>
  <c r="C16" i="33255"/>
  <c r="B63" i="33255"/>
  <c r="B59" i="33255"/>
  <c r="B12" i="33255"/>
  <c r="B25" i="33255"/>
  <c r="B78" i="33255"/>
  <c r="H29" i="33257"/>
  <c r="H36" i="33257"/>
  <c r="N59" i="33255"/>
  <c r="R12" i="33255"/>
  <c r="B25" i="33254"/>
  <c r="AN13" i="33254"/>
  <c r="AQ13" i="33254"/>
  <c r="B28" i="33254"/>
  <c r="B23" i="33255"/>
  <c r="B71" i="33255"/>
  <c r="B44" i="33254"/>
  <c r="AK51" i="33254"/>
  <c r="AK56" i="33254"/>
  <c r="B50" i="33254"/>
  <c r="B27" i="33254"/>
  <c r="AP13" i="33254"/>
  <c r="B42" i="33254"/>
  <c r="AK49" i="33254"/>
  <c r="D45" i="33254"/>
  <c r="AL52" i="33254"/>
  <c r="D43" i="33254"/>
  <c r="AL50" i="33254"/>
  <c r="AL49" i="33254"/>
  <c r="D44" i="33254"/>
  <c r="D42" i="33254"/>
  <c r="AL51" i="33254"/>
  <c r="AK21" i="33254"/>
  <c r="AR21" i="33254" s="1"/>
  <c r="AK26" i="33254"/>
  <c r="Q88" i="33254"/>
  <c r="A333" i="33253" s="1"/>
  <c r="Q89" i="33254"/>
  <c r="A337" i="33253" s="1"/>
  <c r="K57" i="33257"/>
  <c r="K47" i="33257"/>
  <c r="K53" i="33257"/>
  <c r="K45" i="33257"/>
  <c r="K51" i="33257"/>
  <c r="K55" i="33257"/>
  <c r="K63" i="33257"/>
  <c r="K49" i="33257"/>
  <c r="F36" i="33257"/>
  <c r="F29" i="33257"/>
  <c r="B43" i="33254"/>
  <c r="AK50" i="33254"/>
  <c r="D49" i="33254"/>
  <c r="AL55" i="33254"/>
  <c r="B68" i="33255"/>
  <c r="B20" i="33255"/>
  <c r="S11" i="33255"/>
  <c r="P60" i="33255"/>
  <c r="S12" i="33255"/>
  <c r="P61" i="33255"/>
  <c r="AK54" i="33254"/>
  <c r="B48" i="33254"/>
  <c r="B18" i="33255"/>
  <c r="B66" i="33255"/>
  <c r="K36" i="33257"/>
  <c r="K29" i="33257"/>
  <c r="P62" i="33255"/>
  <c r="S13" i="33255"/>
  <c r="T13" i="33255" s="1"/>
  <c r="R11" i="33255"/>
  <c r="AL1" i="33254"/>
  <c r="K26" i="33257"/>
  <c r="P52" i="33254"/>
  <c r="N81" i="33255"/>
  <c r="AK14" i="33254"/>
  <c r="O52" i="33254"/>
  <c r="R52" i="33254"/>
  <c r="O13" i="33254"/>
  <c r="N14" i="33254" s="1"/>
  <c r="N61" i="33255"/>
  <c r="O61" i="33255" s="1"/>
  <c r="Q52" i="33254"/>
  <c r="AO13" i="33254"/>
  <c r="B26" i="33254"/>
  <c r="D50" i="33254"/>
  <c r="AL56" i="33254"/>
  <c r="D26" i="33254"/>
  <c r="D25" i="33254"/>
  <c r="D28" i="33254"/>
  <c r="D27" i="33254"/>
  <c r="B28" i="33255"/>
  <c r="B29" i="33255"/>
  <c r="B37" i="33255"/>
  <c r="AU19" i="33254"/>
  <c r="M1" i="33255"/>
  <c r="K1" i="33254"/>
  <c r="D48" i="33254"/>
  <c r="AL54" i="33254"/>
  <c r="AL53" i="33254"/>
  <c r="D46" i="33254"/>
  <c r="A478" i="33253"/>
  <c r="A479" i="33253" s="1"/>
  <c r="P88" i="33254"/>
  <c r="A332" i="33253" s="1"/>
  <c r="P89" i="33254"/>
  <c r="A336" i="33253" s="1"/>
  <c r="O88" i="33254"/>
  <c r="A331" i="33253" s="1"/>
  <c r="S87" i="33254"/>
  <c r="O89" i="33254"/>
  <c r="A335" i="33253" s="1"/>
  <c r="V41" i="33254"/>
  <c r="A486" i="33253"/>
  <c r="A487" i="33253" s="1"/>
  <c r="L39" i="33257"/>
  <c r="AI70" i="33254"/>
  <c r="AI71" i="33254"/>
  <c r="AR20" i="33254" l="1"/>
  <c r="AR17" i="33254"/>
  <c r="P55" i="33254"/>
  <c r="P60" i="33254"/>
  <c r="P56" i="33254"/>
  <c r="P57" i="33254"/>
  <c r="A552" i="33253" s="1"/>
  <c r="P79" i="33254"/>
  <c r="Q22" i="33255"/>
  <c r="Q23" i="33255"/>
  <c r="Q20" i="33255"/>
  <c r="Q21" i="33255"/>
  <c r="P35" i="33255"/>
  <c r="P31" i="33255"/>
  <c r="P34" i="33255"/>
  <c r="P30" i="33255"/>
  <c r="P33" i="33255"/>
  <c r="P20" i="33255"/>
  <c r="P21" i="33255"/>
  <c r="P32" i="33255"/>
  <c r="P23" i="33255"/>
  <c r="P22" i="33255"/>
  <c r="P29" i="33255"/>
  <c r="P28" i="33255"/>
  <c r="R23" i="33255"/>
  <c r="O20" i="33255"/>
  <c r="O21" i="33255"/>
  <c r="O23" i="33255"/>
  <c r="O22" i="33255"/>
  <c r="Q43" i="33257"/>
  <c r="B31" i="33254"/>
  <c r="AL16" i="33254"/>
  <c r="P66" i="33255"/>
  <c r="O66" i="33255"/>
  <c r="Q66" i="33255"/>
  <c r="N66" i="33255"/>
  <c r="AT17" i="33254"/>
  <c r="O98" i="33255"/>
  <c r="O83" i="33255"/>
  <c r="O90" i="33255" s="1"/>
  <c r="N83" i="33255"/>
  <c r="N90" i="33255" s="1"/>
  <c r="N95" i="33255"/>
  <c r="P96" i="33255"/>
  <c r="P98" i="33255"/>
  <c r="P97" i="33255"/>
  <c r="Q97" i="33255"/>
  <c r="N97" i="33255"/>
  <c r="P95" i="33255"/>
  <c r="Q95" i="33255"/>
  <c r="O96" i="33255"/>
  <c r="O97" i="33255"/>
  <c r="Q96" i="33255"/>
  <c r="P83" i="33255"/>
  <c r="P90" i="33255" s="1"/>
  <c r="Q83" i="33255"/>
  <c r="Q90" i="33255" s="1"/>
  <c r="Q98" i="33255"/>
  <c r="O95" i="33255"/>
  <c r="N96" i="33255"/>
  <c r="N98" i="33255"/>
  <c r="R60" i="33254"/>
  <c r="R79" i="33254"/>
  <c r="R56" i="33254"/>
  <c r="R55" i="33254"/>
  <c r="R57" i="33254"/>
  <c r="A554" i="33253" s="1"/>
  <c r="Q55" i="33254"/>
  <c r="Q56" i="33254"/>
  <c r="Q60" i="33254"/>
  <c r="Q57" i="33254"/>
  <c r="A553" i="33253" s="1"/>
  <c r="Q79" i="33254"/>
  <c r="AO56" i="33254"/>
  <c r="AP56" i="33254" s="1"/>
  <c r="AP14" i="33254"/>
  <c r="AO54" i="33254"/>
  <c r="AO14" i="33254"/>
  <c r="AO55" i="33254"/>
  <c r="AP55" i="33254" s="1"/>
  <c r="AQ14" i="33254"/>
  <c r="AN14" i="33254"/>
  <c r="AS22" i="33254"/>
  <c r="J105" i="33254"/>
  <c r="A360" i="33253" s="1"/>
  <c r="A361" i="33253" s="1"/>
  <c r="J103" i="33254"/>
  <c r="A352" i="33253" s="1"/>
  <c r="K106" i="33254"/>
  <c r="A364" i="33253" s="1"/>
  <c r="A365" i="33253" s="1"/>
  <c r="J111" i="33254"/>
  <c r="A378" i="33253" s="1"/>
  <c r="A379" i="33253" s="1"/>
  <c r="J109" i="33254"/>
  <c r="A372" i="33253" s="1"/>
  <c r="A373" i="33253" s="1"/>
  <c r="S68" i="33255"/>
  <c r="V75" i="33255"/>
  <c r="S76" i="33255"/>
  <c r="T75" i="33255"/>
  <c r="T71" i="33255"/>
  <c r="U68" i="33255"/>
  <c r="S69" i="33255"/>
  <c r="S77" i="33255"/>
  <c r="N76" i="33255"/>
  <c r="O76" i="33255"/>
  <c r="Q76" i="33255"/>
  <c r="Q69" i="33255"/>
  <c r="N68" i="33255"/>
  <c r="N70" i="33255"/>
  <c r="Q68" i="33255"/>
  <c r="P74" i="33255"/>
  <c r="Q72" i="33255"/>
  <c r="O73" i="33255"/>
  <c r="N72" i="33255"/>
  <c r="U75" i="33255"/>
  <c r="T68" i="33255"/>
  <c r="V68" i="33255"/>
  <c r="S71" i="33255"/>
  <c r="O59" i="33255"/>
  <c r="S70" i="33255"/>
  <c r="S75" i="33255"/>
  <c r="N75" i="33255"/>
  <c r="P75" i="33255"/>
  <c r="Q75" i="33255"/>
  <c r="O70" i="33255"/>
  <c r="Q71" i="33255"/>
  <c r="P68" i="33255"/>
  <c r="P70" i="33255"/>
  <c r="Q74" i="33255"/>
  <c r="Q73" i="33255"/>
  <c r="P72" i="33255"/>
  <c r="U71" i="33255"/>
  <c r="U76" i="33255"/>
  <c r="V70" i="33255"/>
  <c r="V71" i="33255"/>
  <c r="V76" i="33255"/>
  <c r="U77" i="33255"/>
  <c r="T70" i="33255"/>
  <c r="O75" i="33255"/>
  <c r="P76" i="33255"/>
  <c r="N77" i="33255"/>
  <c r="Q70" i="33255"/>
  <c r="N69" i="33255"/>
  <c r="O71" i="33255"/>
  <c r="O68" i="33255"/>
  <c r="O74" i="33255"/>
  <c r="N73" i="33255"/>
  <c r="T77" i="33255"/>
  <c r="N74" i="33255"/>
  <c r="P71" i="33255"/>
  <c r="P73" i="33255"/>
  <c r="T69" i="33255"/>
  <c r="V77" i="33255"/>
  <c r="O77" i="33255"/>
  <c r="N71" i="33255"/>
  <c r="O72" i="33255"/>
  <c r="V69" i="33255"/>
  <c r="U69" i="33255"/>
  <c r="P77" i="33255"/>
  <c r="P69" i="33255"/>
  <c r="T76" i="33255"/>
  <c r="U70" i="33255"/>
  <c r="Q77" i="33255"/>
  <c r="O69" i="33255"/>
  <c r="O56" i="33254"/>
  <c r="O57" i="33254"/>
  <c r="A551" i="33253" s="1"/>
  <c r="O79" i="33254"/>
  <c r="O55" i="33254"/>
  <c r="O60" i="33254"/>
  <c r="P34" i="33254"/>
  <c r="D25" i="33258" s="1"/>
  <c r="P35" i="33254"/>
  <c r="Q36" i="33254"/>
  <c r="Q34" i="33254"/>
  <c r="E25" i="33258" s="1"/>
  <c r="R35" i="33254"/>
  <c r="P36" i="33254"/>
  <c r="R34" i="33254"/>
  <c r="F25" i="33258" s="1"/>
  <c r="R36" i="33254"/>
  <c r="O35" i="33254"/>
  <c r="C27" i="33258" s="1"/>
  <c r="Q35" i="33254"/>
  <c r="O23" i="33254"/>
  <c r="O34" i="33254"/>
  <c r="O36" i="33254"/>
  <c r="C28" i="33258" s="1"/>
  <c r="Q19" i="33254"/>
  <c r="O19" i="33254"/>
  <c r="R42" i="33254"/>
  <c r="P23" i="33254"/>
  <c r="R41" i="33254"/>
  <c r="P19" i="33254"/>
  <c r="R19" i="33254"/>
  <c r="A224" i="33253"/>
  <c r="O43" i="33254"/>
  <c r="Q38" i="33254"/>
  <c r="Q37" i="33254"/>
  <c r="O40" i="33254"/>
  <c r="C32" i="33258" s="1"/>
  <c r="O39" i="33254"/>
  <c r="C31" i="33258" s="1"/>
  <c r="P41" i="33254"/>
  <c r="P39" i="33254"/>
  <c r="R38" i="33254"/>
  <c r="P18" i="33254"/>
  <c r="R18" i="33254"/>
  <c r="P42" i="33254"/>
  <c r="A232" i="33253"/>
  <c r="R23" i="33254"/>
  <c r="Q42" i="33254"/>
  <c r="O42" i="33254"/>
  <c r="C34" i="33258" s="1"/>
  <c r="O37" i="33254"/>
  <c r="C29" i="33258" s="1"/>
  <c r="P38" i="33254"/>
  <c r="A244" i="33253"/>
  <c r="Q41" i="33254"/>
  <c r="O41" i="33254"/>
  <c r="C33" i="33258" s="1"/>
  <c r="P37" i="33254"/>
  <c r="Q40" i="33254"/>
  <c r="P40" i="33254"/>
  <c r="R40" i="33254"/>
  <c r="Q18" i="33254"/>
  <c r="Q39" i="33254"/>
  <c r="R39" i="33254"/>
  <c r="R37" i="33254"/>
  <c r="O18" i="33254"/>
  <c r="Q23" i="33254"/>
  <c r="O38" i="33254"/>
  <c r="C30" i="33258" s="1"/>
  <c r="L38" i="33257"/>
  <c r="L43" i="33257"/>
  <c r="L41" i="33257"/>
  <c r="L40" i="33257"/>
  <c r="L30" i="33257"/>
  <c r="L37" i="33257"/>
  <c r="S88" i="33254"/>
  <c r="S89" i="33254"/>
  <c r="O24" i="33255" l="1"/>
  <c r="AG13" i="33254"/>
  <c r="Y68" i="33254"/>
  <c r="Y59" i="33254"/>
  <c r="R80" i="33254"/>
  <c r="R83" i="33254"/>
  <c r="R84" i="33254" s="1"/>
  <c r="R85" i="33254" s="1"/>
  <c r="R86" i="33254" s="1"/>
  <c r="R92" i="33254" s="1"/>
  <c r="S78" i="33255"/>
  <c r="A574" i="33253"/>
  <c r="F36" i="33258"/>
  <c r="Y50" i="33254"/>
  <c r="P80" i="33254"/>
  <c r="W59" i="33254"/>
  <c r="P83" i="33254"/>
  <c r="P84" i="33254" s="1"/>
  <c r="P85" i="33254" s="1"/>
  <c r="P86" i="33254" s="1"/>
  <c r="P92" i="33254" s="1"/>
  <c r="AE13" i="33254"/>
  <c r="W68" i="33254"/>
  <c r="E36" i="33258"/>
  <c r="X50" i="33254"/>
  <c r="A573" i="33253"/>
  <c r="N99" i="33255"/>
  <c r="P78" i="33255"/>
  <c r="P100" i="33255" s="1"/>
  <c r="K100" i="33255" s="1"/>
  <c r="A466" i="33253" s="1"/>
  <c r="A467" i="33253" s="1"/>
  <c r="W50" i="33254"/>
  <c r="D36" i="33258"/>
  <c r="A572" i="33253"/>
  <c r="T78" i="33255"/>
  <c r="O78" i="33255"/>
  <c r="O100" i="33255" s="1"/>
  <c r="J100" i="33255" s="1"/>
  <c r="A464" i="33253" s="1"/>
  <c r="A465" i="33253" s="1"/>
  <c r="S34" i="33254"/>
  <c r="C25" i="33258"/>
  <c r="Q99" i="33255"/>
  <c r="N78" i="33255"/>
  <c r="N100" i="33255" s="1"/>
  <c r="I100" i="33255" s="1"/>
  <c r="A462" i="33253" s="1"/>
  <c r="A463" i="33253" s="1"/>
  <c r="AN24" i="33254"/>
  <c r="AR23" i="33254" s="1"/>
  <c r="G36" i="33254" s="1"/>
  <c r="AM20" i="33254"/>
  <c r="AM21" i="33254"/>
  <c r="AM22" i="33254"/>
  <c r="AM19" i="33254"/>
  <c r="AM17" i="33254"/>
  <c r="AM18" i="33254"/>
  <c r="D29" i="33254"/>
  <c r="AP45" i="33254"/>
  <c r="AR52" i="33254" s="1"/>
  <c r="B42" i="33255"/>
  <c r="P24" i="33255"/>
  <c r="X68" i="33254"/>
  <c r="X59" i="33254"/>
  <c r="Q83" i="33254"/>
  <c r="Q84" i="33254" s="1"/>
  <c r="AF13" i="33254"/>
  <c r="Q80" i="33254"/>
  <c r="AD13" i="33254"/>
  <c r="AD16" i="33254" s="1"/>
  <c r="AH16" i="33254" s="1"/>
  <c r="V68" i="33254"/>
  <c r="O83" i="33254"/>
  <c r="O84" i="33254" s="1"/>
  <c r="O80" i="33254"/>
  <c r="V59" i="33254"/>
  <c r="Z59" i="33254" s="1"/>
  <c r="Z63" i="33254" s="1"/>
  <c r="C36" i="33258"/>
  <c r="V50" i="33254"/>
  <c r="A571" i="33253"/>
  <c r="V78" i="33255"/>
  <c r="U78" i="33255"/>
  <c r="AR14" i="33254"/>
  <c r="AP54" i="33254"/>
  <c r="AP57" i="33254" s="1"/>
  <c r="AP58" i="33254" s="1"/>
  <c r="I39" i="33254" s="1"/>
  <c r="AO57" i="33254"/>
  <c r="O99" i="33255"/>
  <c r="P99" i="33255"/>
  <c r="Q78" i="33255"/>
  <c r="Q100" i="33255" s="1"/>
  <c r="L100" i="33255" s="1"/>
  <c r="A468" i="33253" s="1"/>
  <c r="A469" i="33253" s="1"/>
  <c r="Q24" i="33255"/>
  <c r="K10" i="33255" s="1"/>
  <c r="Z68" i="33254" l="1"/>
  <c r="V69" i="33254"/>
  <c r="Z69" i="33254" s="1"/>
  <c r="V60" i="33254"/>
  <c r="Z60" i="33254" s="1"/>
  <c r="Q85" i="33254"/>
  <c r="Q86" i="33254" s="1"/>
  <c r="Q92" i="33254" s="1"/>
  <c r="W60" i="33254"/>
  <c r="W69" i="33254"/>
  <c r="S84" i="33254"/>
  <c r="O85" i="33254"/>
  <c r="O86" i="33254" s="1"/>
  <c r="S86" i="33254" s="1"/>
  <c r="AF35" i="33254"/>
  <c r="AG35" i="33254"/>
  <c r="AF19" i="33254"/>
  <c r="AF18" i="33254"/>
  <c r="AE35" i="33254"/>
  <c r="AD18" i="33254"/>
  <c r="AH18" i="33254" s="1"/>
  <c r="AD35" i="33254"/>
  <c r="AH35" i="33254" s="1"/>
  <c r="AG18" i="33254"/>
  <c r="AG19" i="33254"/>
  <c r="H42" i="33257"/>
  <c r="AE18" i="33254"/>
  <c r="AE19" i="33254"/>
  <c r="AD19" i="33254"/>
  <c r="AH33" i="33254"/>
  <c r="Y69" i="33254"/>
  <c r="Y60" i="33254"/>
  <c r="X69" i="33254"/>
  <c r="X60" i="33254"/>
  <c r="AV17" i="33254"/>
  <c r="D33" i="33254"/>
  <c r="G33" i="33254"/>
  <c r="AW17" i="33254"/>
  <c r="AU17" i="33254"/>
  <c r="D35" i="33254"/>
  <c r="G35" i="33254" s="1"/>
  <c r="B32" i="33254"/>
  <c r="P93" i="33254"/>
  <c r="P94" i="33254"/>
  <c r="P95" i="33254"/>
  <c r="A557" i="33253" s="1"/>
  <c r="R95" i="33254"/>
  <c r="A559" i="33253" s="1"/>
  <c r="R93" i="33254"/>
  <c r="R94" i="33254"/>
  <c r="Q95" i="33254" l="1"/>
  <c r="A558" i="33253" s="1"/>
  <c r="Q93" i="33254"/>
  <c r="Q94" i="33254"/>
  <c r="AD20" i="33254"/>
  <c r="AD37" i="33254"/>
  <c r="AH19" i="33254"/>
  <c r="AG20" i="33254"/>
  <c r="AG21" i="33254" s="1"/>
  <c r="AG37" i="33254"/>
  <c r="AG38" i="33254" s="1"/>
  <c r="A532" i="33253"/>
  <c r="AE20" i="33254"/>
  <c r="AE21" i="33254" s="1"/>
  <c r="AE37" i="33254"/>
  <c r="AE38" i="33254" s="1"/>
  <c r="O92" i="33254"/>
  <c r="I15" i="33254"/>
  <c r="B54" i="33254"/>
  <c r="B40" i="33255"/>
  <c r="AF37" i="33254"/>
  <c r="AF38" i="33254" s="1"/>
  <c r="AF20" i="33254"/>
  <c r="AF21" i="33254" s="1"/>
  <c r="AH20" i="33254" l="1"/>
  <c r="AD21" i="33254"/>
  <c r="AH21" i="33254" s="1"/>
  <c r="AH39" i="33254" s="1"/>
  <c r="O93" i="33254"/>
  <c r="S93" i="33254" s="1"/>
  <c r="O94" i="33254"/>
  <c r="O95" i="33254"/>
  <c r="A556" i="33253" s="1"/>
  <c r="AH37" i="33254"/>
  <c r="AD38" i="33254"/>
  <c r="AH38" i="33254" s="1"/>
  <c r="F42" i="33257" s="1"/>
  <c r="A531" i="33253" l="1"/>
  <c r="K42" i="33257"/>
  <c r="A533" i="33253" l="1"/>
  <c r="A534" i="33253" s="1"/>
  <c r="L42" i="33257"/>
</calcChain>
</file>

<file path=xl/comments1.xml><?xml version="1.0" encoding="utf-8"?>
<comments xmlns="http://schemas.openxmlformats.org/spreadsheetml/2006/main">
  <authors>
    <author>arthur</author>
  </authors>
  <commentList>
    <comment ref="B105" authorId="0" shapeId="0">
      <text>
        <r>
          <rPr>
            <sz val="9"/>
            <color indexed="81"/>
            <rFont val="Segoe UI"/>
            <family val="2"/>
          </rPr>
          <t>Gilt für Kategorien ‚Restaurants’, ‚Sportbauten’ und ‚Hallenbäder’:
20% mit erneuerbarer Energie erbringen.
Valable pour les catégories "Restaurants", "Installations sportives" et "Piscines couvertes" :
20% des besoins en ECS par des énergies renouvelables
Vale per le categorie "ristoranti", "impianti sportivi" e "piscine coperte":
20% fornito con energie rinnovabili</t>
        </r>
      </text>
    </comment>
    <comment ref="B109" authorId="0" shapeId="0">
      <text>
        <r>
          <rPr>
            <sz val="9"/>
            <color indexed="81"/>
            <rFont val="Segoe UI"/>
            <family val="2"/>
          </rPr>
          <t>Gilt für Kategorie "Hallenbad"
Valable pour la catégorie "Piscine couverte"
Vale per la categoria "Piscine coperte"</t>
        </r>
      </text>
    </comment>
  </commentList>
</comments>
</file>

<file path=xl/comments2.xml><?xml version="1.0" encoding="utf-8"?>
<comments xmlns="http://schemas.openxmlformats.org/spreadsheetml/2006/main">
  <authors>
    <author>Fuchs Daniel</author>
    <author>Arthur Huber</author>
  </authors>
  <commentList>
    <comment ref="B67" authorId="0" shapeId="0">
      <text>
        <r>
          <rPr>
            <sz val="9"/>
            <color indexed="81"/>
            <rFont val="Tahoma"/>
            <family val="2"/>
          </rPr>
          <t>g-Wert und Produktebezeichnung
valeur g (taux de transmission d'énergie) et nom du produit utilisé.
valori g, descrizione del prodotto</t>
        </r>
      </text>
    </comment>
    <comment ref="B68" authorId="1" shapeId="0">
      <text>
        <r>
          <rPr>
            <sz val="8"/>
            <color indexed="81"/>
            <rFont val="Tahoma"/>
            <family val="2"/>
          </rPr>
          <t>Wenn S14 zutrifft, ist in S11 n.a. anzuwählen.
Si S14 s'avère exact, "n.a." doit être sélectionné dans S11.
Se in S14 si risponde Si, in S11 bisogna rispondere n.a.</t>
        </r>
      </text>
    </comment>
    <comment ref="B71" authorId="1" shapeId="0">
      <text>
        <r>
          <rPr>
            <sz val="8"/>
            <color indexed="81"/>
            <rFont val="Tahoma"/>
            <family val="2"/>
          </rPr>
          <t>Wenn Beschreibung zutrifft, ist Bedingung 'Glasanteil' nicht relevant. Wenn eine der beschriebenen Eigenschaften nicht zutrifft, ist n.a. anzuwählen.
Si la description est exacte, la condition "taux de surface vitrée" n'est pas significative. Si l'une des caractéristiques ne correspond pas, "n.a." doit être sélectionné.
Se si riscontra questa situazione, la percentuale di vetro non è rilevante. Se una delle caratteristiche elencate non è presente, bisogna rispondere n.a.</t>
        </r>
      </text>
    </comment>
  </commentList>
</comments>
</file>

<file path=xl/comments3.xml><?xml version="1.0" encoding="utf-8"?>
<comments xmlns="http://schemas.openxmlformats.org/spreadsheetml/2006/main">
  <authors>
    <author>Arthur Huber</author>
  </authors>
  <commentList>
    <comment ref="B64" authorId="0" shapeId="0">
      <text>
        <r>
          <rPr>
            <sz val="8"/>
            <color indexed="81"/>
            <rFont val="Tahoma"/>
            <family val="2"/>
          </rPr>
          <t>Gilt für MINERGIE-P und MINERGIE-A.</t>
        </r>
      </text>
    </comment>
  </commentList>
</comments>
</file>

<file path=xl/sharedStrings.xml><?xml version="1.0" encoding="utf-8"?>
<sst xmlns="http://schemas.openxmlformats.org/spreadsheetml/2006/main" count="4390" uniqueCount="3172">
  <si>
    <t>Verwaltung</t>
  </si>
  <si>
    <t>Erfüllung der Anforderungen:</t>
  </si>
  <si>
    <t>Klimastation</t>
  </si>
  <si>
    <t>Kanton</t>
  </si>
  <si>
    <t>Pelletfeuerung</t>
  </si>
  <si>
    <t>Hinweis: Im Blatt 'Eingaben' wurde ein Lüftungsgerät mit integrierter Wärmepumpe gewählt</t>
  </si>
  <si>
    <t>Deckungsgrad zu hoch</t>
  </si>
  <si>
    <t>Heizung ausgewählt</t>
  </si>
  <si>
    <t>Warmwasser ausgewählt</t>
  </si>
  <si>
    <t>Berechnung beilege</t>
  </si>
  <si>
    <t>Anzahl Personen</t>
  </si>
  <si>
    <t>Therm. wirksamer Aussenl.-Volumenstr.</t>
  </si>
  <si>
    <t>Berechneter Wert</t>
  </si>
  <si>
    <t>Erfüllt?</t>
  </si>
  <si>
    <t>Fällt Abwärme an?</t>
  </si>
  <si>
    <t>Abwärme</t>
  </si>
  <si>
    <t>Abluft-Wärmepumpe ohne ZUL</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</si>
  <si>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</si>
  <si>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</si>
  <si>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</si>
  <si>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</si>
  <si>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t>Débit d'air spécifique thermiquement actif Vth selon SIA 380/1: cette valeur doit correspondre à celle donnée pour le calcul de la demande d'énergie de chauffage avec aération effective.</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</si>
  <si>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</si>
  <si>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</si>
  <si>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</si>
  <si>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</si>
  <si>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</si>
  <si>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</si>
  <si>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</si>
  <si>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</si>
  <si>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</si>
  <si>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</si>
  <si>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</si>
  <si>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</si>
  <si>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</si>
  <si>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</si>
  <si>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</si>
  <si>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</si>
  <si>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</si>
  <si>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</si>
  <si>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</si>
  <si>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</si>
  <si>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</si>
  <si>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</si>
  <si>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</si>
  <si>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</si>
  <si>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</si>
  <si>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</si>
  <si>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</si>
  <si>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</si>
  <si>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</si>
  <si>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</si>
  <si>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</si>
  <si>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</si>
  <si>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</si>
  <si>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</si>
  <si>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</si>
  <si>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</si>
  <si>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</si>
  <si>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</si>
  <si>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</si>
  <si>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</si>
  <si>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</si>
  <si>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</si>
  <si>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</si>
  <si>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Choisir "Aération avec PAC air repris"</t>
  </si>
  <si>
    <t>Choisir "Aération avec PAC air repris/fourni sans récup. de chaleur" ou PAC compacte avec air fourni/repris et ECS sans récup. de chaleur"</t>
  </si>
  <si>
    <t>Befeuchtung</t>
  </si>
  <si>
    <t>Kühl. + Bef.</t>
  </si>
  <si>
    <t>E37</t>
  </si>
  <si>
    <t>Spezifischer, thermisch wirksamer Aussenluftvolumenstrom Vth nach SIA 380/1: Dieser Wert muss mit der Eingabe für die Berechnung für den Heizwärmebedarf mit effektivem Luftwechsel übereinstimmen.</t>
  </si>
  <si>
    <t>Neubau:</t>
  </si>
  <si>
    <t>Ja</t>
  </si>
  <si>
    <t>Nein</t>
  </si>
  <si>
    <t>Wärmerückgewinnungs-Wärmetauscher</t>
  </si>
  <si>
    <t>Kreislauf-KVS</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</si>
  <si>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</si>
  <si>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</si>
  <si>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</si>
  <si>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</si>
  <si>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</si>
  <si>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</si>
  <si>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</si>
  <si>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Strombedarf Klima und Befeuchtung</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</si>
  <si>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</si>
  <si>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</si>
  <si>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</si>
  <si>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</si>
  <si>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</si>
  <si>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</si>
  <si>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</si>
  <si>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</si>
  <si>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</si>
  <si>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</si>
  <si>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Remarque: dans la feuille 'Entrée' une installation de ventilation avec PAC intégrée a été choisie
-&gt; choisir une PAC avec air fourni comme mode de production de chaleur</t>
  </si>
  <si>
    <t>Besoins d'électricité exploitation</t>
  </si>
  <si>
    <t>Biomasse, connectée</t>
  </si>
  <si>
    <t>Biomasse, connectée au réseau hydraulique</t>
  </si>
  <si>
    <t>Wärmeerzeugung:</t>
  </si>
  <si>
    <t>Objektwert</t>
  </si>
  <si>
    <t>Optimierter Betrieb Hallenbad</t>
  </si>
  <si>
    <t>Gebäudehüllzahl</t>
  </si>
  <si>
    <t>Auswahl:</t>
  </si>
  <si>
    <t>andere</t>
  </si>
  <si>
    <t>Strombedarf Lüftung + Vereisungsschutz</t>
  </si>
  <si>
    <t>Kleinanlagen mit Standardwerten</t>
  </si>
  <si>
    <t>Elektrospeicher-Zentralheizung</t>
  </si>
  <si>
    <t>Zusätzlich Elektro-Wassererwärmer wählen</t>
  </si>
  <si>
    <t>eff. Heizwärmebedarf mit Lüftungsanlage</t>
  </si>
  <si>
    <t>Abwärme aus gewerblicher Kälte</t>
  </si>
  <si>
    <t xml:space="preserve"> </t>
  </si>
  <si>
    <t>Gebäudedaten, Lüftung und Grenzwert:</t>
  </si>
  <si>
    <t>Ölfeuerung</t>
  </si>
  <si>
    <t>Gasfeuerung</t>
  </si>
  <si>
    <t>Gas - Wassererwärmer</t>
  </si>
  <si>
    <t>Anzahl Räume mit Zuluft</t>
  </si>
  <si>
    <t>keine WRG</t>
  </si>
  <si>
    <t>n.a.</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</si>
  <si>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</si>
  <si>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</si>
  <si>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</si>
  <si>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</si>
  <si>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</si>
  <si>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</si>
  <si>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</si>
  <si>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</si>
  <si>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</si>
  <si>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Zone 3</t>
  </si>
  <si>
    <t>Zone 4</t>
  </si>
  <si>
    <t>Verkauf</t>
  </si>
  <si>
    <t>Spitäler</t>
  </si>
  <si>
    <t>Lager</t>
  </si>
  <si>
    <t>Sportbau</t>
  </si>
  <si>
    <t>Heizung</t>
  </si>
  <si>
    <t>Warmwasser</t>
  </si>
  <si>
    <t>m.ü.M.</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</si>
  <si>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</si>
  <si>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</si>
  <si>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</si>
  <si>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</si>
  <si>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</si>
  <si>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</si>
  <si>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</si>
  <si>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</si>
  <si>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</si>
  <si>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</si>
  <si>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Schaffhausen</t>
  </si>
  <si>
    <t>St. Gallen</t>
  </si>
  <si>
    <t>Bern</t>
  </si>
  <si>
    <t>Luzern</t>
  </si>
  <si>
    <t>Fribourg</t>
  </si>
  <si>
    <t>Genève</t>
  </si>
  <si>
    <t>Neuchâtel</t>
  </si>
  <si>
    <t>Glarus</t>
  </si>
  <si>
    <t>ja</t>
  </si>
  <si>
    <t>nein</t>
  </si>
  <si>
    <t>Zone</t>
  </si>
  <si>
    <t>MINERGIE</t>
  </si>
  <si>
    <t>Deckungsgrad [%]</t>
  </si>
  <si>
    <t>Wärmeerzeugung</t>
  </si>
  <si>
    <t>Holzfeuerung</t>
  </si>
  <si>
    <t>Photovoltaik</t>
  </si>
  <si>
    <t>Andere</t>
  </si>
  <si>
    <t>m2</t>
  </si>
  <si>
    <t>Solarenergie thermisch, Heizung</t>
  </si>
  <si>
    <t>Wärmeerzeugung A</t>
  </si>
  <si>
    <t>Wärmeerzeugung D</t>
  </si>
  <si>
    <t>Wärmeerzeugung C</t>
  </si>
  <si>
    <t>Wärmeerzeugung B</t>
  </si>
  <si>
    <t>Tag
B31</t>
  </si>
  <si>
    <t>oui</t>
  </si>
  <si>
    <t>non</t>
  </si>
  <si>
    <t>Gebäudekategorie</t>
  </si>
  <si>
    <t>MFH</t>
  </si>
  <si>
    <t>EFH</t>
  </si>
  <si>
    <t>Ventilatorantrieb mit</t>
  </si>
  <si>
    <t>Schule</t>
  </si>
  <si>
    <t>Bemerkungen</t>
  </si>
  <si>
    <t>AH</t>
  </si>
  <si>
    <t>Lüftungsgerät mit Abluft-Wärmepumpe (keine Zuluft)</t>
  </si>
  <si>
    <t>Kreuzstrom</t>
  </si>
  <si>
    <t>Gegenstrom</t>
  </si>
  <si>
    <t>Kompakt-WP ohne WRG, WW</t>
  </si>
  <si>
    <t>Kompakt-WP mit Zu- &amp; Abluft / WW plus WRG</t>
  </si>
  <si>
    <t>Version geändert</t>
  </si>
  <si>
    <t>Mit Warmwasser ?</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</si>
  <si>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</si>
  <si>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</si>
  <si>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</si>
  <si>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</si>
  <si>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</si>
  <si>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</si>
  <si>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</si>
  <si>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</si>
  <si>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</si>
  <si>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B38</t>
  </si>
  <si>
    <t>WKK - thermischer+elektr. Anteil</t>
  </si>
  <si>
    <t>E13</t>
  </si>
  <si>
    <t>E16</t>
  </si>
  <si>
    <t>E17</t>
  </si>
  <si>
    <t>E18</t>
  </si>
  <si>
    <t>E19</t>
  </si>
  <si>
    <t>E21</t>
  </si>
  <si>
    <t>E23</t>
  </si>
  <si>
    <t>E24</t>
  </si>
  <si>
    <t>E31</t>
  </si>
  <si>
    <t>N11</t>
  </si>
  <si>
    <t>Wallis</t>
  </si>
  <si>
    <t>Zug</t>
  </si>
  <si>
    <t>Zürich</t>
  </si>
  <si>
    <t>Thurgau</t>
  </si>
  <si>
    <t>Jura</t>
  </si>
  <si>
    <t>Neuenburg</t>
  </si>
  <si>
    <t>Grundwasser-WP, indir, Warmw.</t>
  </si>
  <si>
    <t>B37</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</si>
  <si>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</si>
  <si>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</si>
  <si>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</si>
  <si>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</si>
  <si>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</si>
  <si>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</si>
  <si>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</si>
  <si>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</si>
  <si>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</si>
  <si>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</si>
  <si>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</si>
  <si>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</si>
  <si>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</si>
  <si>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</si>
  <si>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B14</t>
  </si>
  <si>
    <t>Ölheizung kondensierend</t>
  </si>
  <si>
    <t>Ölfeuerung kondens. Warmwasser</t>
  </si>
  <si>
    <t>Gasheizung kondensierend</t>
  </si>
  <si>
    <t>Gas kondensierend Warmwasser</t>
  </si>
  <si>
    <t>Luft-Wärmepumpe, Heizung</t>
  </si>
  <si>
    <t>Luft-Wärmepumpe, Warmwasser</t>
  </si>
  <si>
    <t>Strombedarf Hilfsbetriebe</t>
  </si>
  <si>
    <t>B39</t>
  </si>
  <si>
    <t>B19</t>
  </si>
  <si>
    <t>Gebäudedaten</t>
  </si>
  <si>
    <t>Summe</t>
  </si>
  <si>
    <t>Industrie</t>
  </si>
  <si>
    <t>(Mittel)</t>
  </si>
  <si>
    <t>EBF</t>
  </si>
  <si>
    <t>Anforderung</t>
  </si>
  <si>
    <t>Strombedarf Lüftungsanlage</t>
  </si>
  <si>
    <t>B25</t>
  </si>
  <si>
    <t>Biomasse, eingebunden</t>
  </si>
  <si>
    <t>Biomasse, hydraulisch eingebunden</t>
  </si>
  <si>
    <t>Strom Klima + Hilfsbetriebe</t>
  </si>
  <si>
    <t>B31</t>
  </si>
  <si>
    <t>Lüftung-Klima-Kälteanlagen</t>
  </si>
  <si>
    <t>Grundwasser-WP direkt, Heizung</t>
  </si>
  <si>
    <t>Grundwasser-WP dir. Warmwasser</t>
  </si>
  <si>
    <t>Solarenergie therm. Warmwasser</t>
  </si>
  <si>
    <t>Solarenergie Heizung + WW</t>
  </si>
  <si>
    <t>kWh/m2</t>
  </si>
  <si>
    <t>ww</t>
  </si>
  <si>
    <t>WRG mit WP bei Lüftung, WRG aus Badwasser</t>
  </si>
  <si>
    <t>Datum</t>
  </si>
  <si>
    <t>geprüft durch</t>
  </si>
  <si>
    <t>Angabe fehlt</t>
  </si>
  <si>
    <t>Thermisch wirksame Aussenluftrate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</si>
  <si>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</si>
  <si>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</si>
  <si>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</si>
  <si>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</si>
  <si>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</si>
  <si>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</si>
  <si>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</si>
  <si>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</si>
  <si>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Spezial</t>
  </si>
  <si>
    <t>A125</t>
  </si>
  <si>
    <t>B21</t>
  </si>
  <si>
    <t>B23</t>
  </si>
  <si>
    <t>B24</t>
  </si>
  <si>
    <t>Nenn-Luftvolumenstrom</t>
  </si>
  <si>
    <t>Massgebender Grenzwert</t>
  </si>
  <si>
    <t>Zone 1</t>
  </si>
  <si>
    <t>Zone 2</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</si>
  <si>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</si>
  <si>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</si>
  <si>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</si>
  <si>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</si>
  <si>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</si>
  <si>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</si>
  <si>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</si>
  <si>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</si>
  <si>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</si>
  <si>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</si>
  <si>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</si>
  <si>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</si>
  <si>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</si>
  <si>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</si>
  <si>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</si>
  <si>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</si>
  <si>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</si>
  <si>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</si>
  <si>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</si>
  <si>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</si>
  <si>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</si>
  <si>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</si>
  <si>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</si>
  <si>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PAC air fourni/repris avec récup. de chaleur</t>
  </si>
  <si>
    <t>PAC air fourni/repris sans récup. de chaleur</t>
  </si>
  <si>
    <t>PAC air repris sans air fourni</t>
  </si>
  <si>
    <t>PAC compacte avec récup. de chaleur</t>
  </si>
  <si>
    <t>PAC compacte sans récup. de chaleur, chauffage</t>
  </si>
  <si>
    <t>G56</t>
  </si>
  <si>
    <t>Aargau</t>
  </si>
  <si>
    <t>Appenzell Innerrhoden</t>
  </si>
  <si>
    <t>Appenzell Ausserrhoden</t>
  </si>
  <si>
    <t>Basel Land</t>
  </si>
  <si>
    <t>Basel Stadt</t>
  </si>
  <si>
    <t>Waadt</t>
  </si>
  <si>
    <t>Fürstentum Liechtenstein</t>
  </si>
  <si>
    <t>Kanton:</t>
  </si>
  <si>
    <t>Blatt</t>
  </si>
  <si>
    <t>Zelle</t>
  </si>
  <si>
    <t>Standardwerte</t>
  </si>
  <si>
    <t>Choisir "Aération avec PAC air repris/fourni avec récup. de chaleur" ou PAC compacte avec air fourni/repris et ECS avec récup. de chaleur"</t>
  </si>
  <si>
    <t>Apport annuel net par kWp (valeur standard)</t>
  </si>
  <si>
    <t>Rotations-WT</t>
  </si>
  <si>
    <t>Kategorie:</t>
  </si>
  <si>
    <t>Standard-Lüftungsanlagentyp</t>
  </si>
  <si>
    <t>Lüftung</t>
  </si>
  <si>
    <t>AC-Motor</t>
  </si>
  <si>
    <t>DC/EC-Motor</t>
  </si>
  <si>
    <t>(Heizung + Warmwasser)</t>
  </si>
  <si>
    <t xml:space="preserve">Total/Mittel </t>
  </si>
  <si>
    <t>Neubau</t>
  </si>
  <si>
    <t>MINERGIE-P</t>
  </si>
  <si>
    <t>Grenzwert</t>
  </si>
  <si>
    <t>kWh</t>
  </si>
  <si>
    <t>erfüllt</t>
  </si>
  <si>
    <t>nicht erfüllt</t>
  </si>
  <si>
    <t>Übertrag</t>
  </si>
  <si>
    <t>Deckungsgrad</t>
  </si>
  <si>
    <t>Total:</t>
  </si>
  <si>
    <t>oder JAZ</t>
  </si>
  <si>
    <t>Beleuchtung</t>
  </si>
  <si>
    <t>Auswahl</t>
  </si>
  <si>
    <t>Übertrag weitere Wärmeerzeugungen</t>
  </si>
  <si>
    <t>Heizwärmebedarf mit Standardluftwechsel</t>
  </si>
  <si>
    <t>B44</t>
  </si>
  <si>
    <t>Nachweis</t>
  </si>
  <si>
    <t>WKK (fossil) - thermischer + elektrischer Anteil</t>
  </si>
  <si>
    <t>keine</t>
  </si>
  <si>
    <t>L7</t>
  </si>
  <si>
    <t>Klimastation:</t>
  </si>
  <si>
    <t>Wärme</t>
  </si>
  <si>
    <t>Strom</t>
  </si>
  <si>
    <t>Eingabe</t>
  </si>
  <si>
    <t>Rechenwert</t>
  </si>
  <si>
    <t>Deckungsgrad total:</t>
  </si>
  <si>
    <t>Nutzungsgrad elektrisch (Berechnung beilegen)</t>
  </si>
  <si>
    <t>Absorberfläche [m2]</t>
  </si>
  <si>
    <t>Netto-Ertrag pro m2 Absorberfläche  [kWh/m2]</t>
  </si>
  <si>
    <t>Nennleistung [kWp]</t>
  </si>
  <si>
    <t>Energienachweis</t>
  </si>
  <si>
    <t>Rechnerische Lösung</t>
  </si>
  <si>
    <t>Beilagen (alle Beilagen der linken Spalte einreichen)</t>
  </si>
  <si>
    <t>Zutreffendes ankreuzen</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</si>
  <si>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</si>
  <si>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</si>
  <si>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</si>
  <si>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</si>
  <si>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</si>
  <si>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</si>
  <si>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</si>
  <si>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</si>
  <si>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</si>
  <si>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Externe Berechnung</t>
  </si>
  <si>
    <t>Schema Heizung und Lüftung</t>
  </si>
  <si>
    <t>Externe Berechnungen und Datenblätter</t>
  </si>
  <si>
    <t>Nutzungsgrad / JAZ</t>
  </si>
  <si>
    <t>Gleiche Person</t>
  </si>
  <si>
    <t>oder:</t>
  </si>
  <si>
    <t>Zugeführte Elektrizität (ungewichtet)</t>
  </si>
  <si>
    <t>Zugeführte Energie (ohne Strom, gewichtet)</t>
  </si>
  <si>
    <t>Hallenbad</t>
  </si>
  <si>
    <t xml:space="preserve">Gemeinde:             </t>
  </si>
  <si>
    <t xml:space="preserve">Bauvorhaben:            </t>
  </si>
  <si>
    <t xml:space="preserve">Geb.-Nr.:  </t>
  </si>
  <si>
    <t xml:space="preserve">Parz.-Nr.:  </t>
  </si>
  <si>
    <t>Warmwasser mit mindestens 20% erneuerbarer Energie erzeugt (für Restaurants / Sportbauten / Hallenbäder)</t>
  </si>
  <si>
    <t>keine Lüftung</t>
  </si>
  <si>
    <t>Lüftung+WRG</t>
  </si>
  <si>
    <t>Lüftung+WP</t>
  </si>
  <si>
    <t>Abluft - WP</t>
  </si>
  <si>
    <t>Zu- / Abluft</t>
  </si>
  <si>
    <t>nur Abluft</t>
  </si>
  <si>
    <t>( aus SIA 380/1 )</t>
  </si>
  <si>
    <t>Art des Nachweises</t>
  </si>
  <si>
    <t>behördlicher Nachweis</t>
  </si>
  <si>
    <t>MINERGIE-A</t>
  </si>
  <si>
    <t xml:space="preserve">Gebäudestandort: </t>
  </si>
  <si>
    <t xml:space="preserve">Art des Nachweises: </t>
  </si>
  <si>
    <t>Restaurant</t>
  </si>
  <si>
    <t>Vers.-Lokal</t>
  </si>
  <si>
    <t>fehlende Eingabe</t>
  </si>
  <si>
    <t>falsche Eingabe</t>
  </si>
  <si>
    <t xml:space="preserve">Angaben bei Standard-Lüftungsanlagen </t>
  </si>
  <si>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</si>
  <si>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</si>
  <si>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</si>
  <si>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</si>
  <si>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</si>
  <si>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</si>
  <si>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</si>
  <si>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</si>
  <si>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</si>
  <si>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</si>
  <si>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</si>
  <si>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</si>
  <si>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</si>
  <si>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</si>
  <si>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</si>
  <si>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</si>
  <si>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</si>
  <si>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</si>
  <si>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</si>
  <si>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</si>
  <si>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</si>
  <si>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</si>
  <si>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</si>
  <si>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</si>
  <si>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</si>
  <si>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</si>
  <si>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</si>
  <si>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</si>
  <si>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</si>
  <si>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</si>
  <si>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</si>
  <si>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</si>
  <si>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</si>
  <si>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</si>
  <si>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</si>
  <si>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</si>
  <si>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</si>
  <si>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</si>
  <si>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</si>
  <si>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</si>
  <si>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</si>
  <si>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</si>
  <si>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</si>
  <si>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</si>
  <si>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</si>
  <si>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</si>
  <si>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Zwingende Eingabe Qh,eff oder Qh,korr:
Heizwärmebedarf Qh,eff mit effektivem, thermisch wirksamen Aussenluftvolumenstrom Vth aus der Berechnung SIA 380/1:2009 übertragen.</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</si>
  <si>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</si>
  <si>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</si>
  <si>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</si>
  <si>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</si>
  <si>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</si>
  <si>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</si>
  <si>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</si>
  <si>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</si>
  <si>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</si>
  <si>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</si>
  <si>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</si>
  <si>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</si>
  <si>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</si>
  <si>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</si>
  <si>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</si>
  <si>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</si>
  <si>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</si>
  <si>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</si>
  <si>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</si>
  <si>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</si>
  <si>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</si>
  <si>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</si>
  <si>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</si>
  <si>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</si>
  <si>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</si>
  <si>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</si>
  <si>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</si>
  <si>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</si>
  <si>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</si>
  <si>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</si>
  <si>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</si>
  <si>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</si>
  <si>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</si>
  <si>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</si>
  <si>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</si>
  <si>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</si>
  <si>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</si>
  <si>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</si>
  <si>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</si>
  <si>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</si>
  <si>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</si>
  <si>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</si>
  <si>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</si>
  <si>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</si>
  <si>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</si>
  <si>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</si>
  <si>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</si>
  <si>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</si>
  <si>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</si>
  <si>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</si>
  <si>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</si>
  <si>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</si>
  <si>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</si>
  <si>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</si>
  <si>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</si>
  <si>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</si>
  <si>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</si>
  <si>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</si>
  <si>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</si>
  <si>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</si>
  <si>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</si>
  <si>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</si>
  <si>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</si>
  <si>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</si>
  <si>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</si>
  <si>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</si>
  <si>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</si>
  <si>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</si>
  <si>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</si>
  <si>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</si>
  <si>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</si>
  <si>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</si>
  <si>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</si>
  <si>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</si>
  <si>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</si>
  <si>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</si>
  <si>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</si>
  <si>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</si>
  <si>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</si>
  <si>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</si>
  <si>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</si>
  <si>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</si>
  <si>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</si>
  <si>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</si>
  <si>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</si>
  <si>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</si>
  <si>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</si>
  <si>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</si>
  <si>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</si>
  <si>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</si>
  <si>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</si>
  <si>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</si>
  <si>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</si>
  <si>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</si>
  <si>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</si>
  <si>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</si>
  <si>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</si>
  <si>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</si>
  <si>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</si>
  <si>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</si>
  <si>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</si>
  <si>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</si>
  <si>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</si>
  <si>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</si>
  <si>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</si>
  <si>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</si>
  <si>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</si>
  <si>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</si>
  <si>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</si>
  <si>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</si>
  <si>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</si>
  <si>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</si>
  <si>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</si>
  <si>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</si>
  <si>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</si>
  <si>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</si>
  <si>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</si>
  <si>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</si>
  <si>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</si>
  <si>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</si>
  <si>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</si>
  <si>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</si>
  <si>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</si>
  <si>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</si>
  <si>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</si>
  <si>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</si>
  <si>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</si>
  <si>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</si>
  <si>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</si>
  <si>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</si>
  <si>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</si>
  <si>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</si>
  <si>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</si>
  <si>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</si>
  <si>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</si>
  <si>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</si>
  <si>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</si>
  <si>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</si>
  <si>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</si>
  <si>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</si>
  <si>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</si>
  <si>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</si>
  <si>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</si>
  <si>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</si>
  <si>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</si>
  <si>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</si>
  <si>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</si>
  <si>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</si>
  <si>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</si>
  <si>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</si>
  <si>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</si>
  <si>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</si>
  <si>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</si>
  <si>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</si>
  <si>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</si>
  <si>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</si>
  <si>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</si>
  <si>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</si>
  <si>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</si>
  <si>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</si>
  <si>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</si>
  <si>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</si>
  <si>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</si>
  <si>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</si>
  <si>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</si>
  <si>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</si>
  <si>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</si>
  <si>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</si>
  <si>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</si>
  <si>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</si>
  <si>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</si>
  <si>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</si>
  <si>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</si>
  <si>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</si>
  <si>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</si>
  <si>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</si>
  <si>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</si>
  <si>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</si>
  <si>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</si>
  <si>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</si>
  <si>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</si>
  <si>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</si>
  <si>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</si>
  <si>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</si>
  <si>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</si>
  <si>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</si>
  <si>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</si>
  <si>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</si>
  <si>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</si>
  <si>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</si>
  <si>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</si>
  <si>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</si>
  <si>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</si>
  <si>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</si>
  <si>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Zwingende Eingabe Qh,eff oder Qh,korr:
Heizwärmebedarf Qh,eff mit effektivem, thermisch wirksamen Aussenluftvolumenstrom Vth aus der Berechnung SIA 380/1:2009 übertragen.
Fakultativ darf anstelle von Qh,eff auch der raumhöhenkorrigierte Wert Qh,korr (Korrektur gemäss Angaben MINERGIE) hier eingetragen werden.</t>
  </si>
  <si>
    <t>Entrée obligatoire: Qh,eff ou Qh,corr
à reporter du calcul SIA 380/1:2009 les besoins de chaleur pour le chauffage Qh,eff avec débit d’air neuf thermiquement actif Vth.
Facultatif: la valeur corrigée pour la hauteur d'étage Qh,corr (correction selon indications MINERGIE) peut être introduite à la place de Qh,eff</t>
  </si>
  <si>
    <t>Aenderungen / Geprüfter Bereich</t>
  </si>
  <si>
    <t>Version 0.8 erstellt</t>
  </si>
  <si>
    <t>B1</t>
  </si>
  <si>
    <t>Parz.-Nr.</t>
  </si>
  <si>
    <t>Gebäudestandort m.ü.M.</t>
  </si>
  <si>
    <t>Sprachversion</t>
  </si>
  <si>
    <t>Gebäudekategorie1</t>
  </si>
  <si>
    <t>Gebäudekategorie4</t>
  </si>
  <si>
    <t>Gebäudekategorie3</t>
  </si>
  <si>
    <t>Gebäudekategorie2</t>
  </si>
  <si>
    <t>Warmwasser1</t>
  </si>
  <si>
    <t>Warmwasser2</t>
  </si>
  <si>
    <t>Warmwasser3</t>
  </si>
  <si>
    <t>Warmwasser4</t>
  </si>
  <si>
    <t>EBF1</t>
  </si>
  <si>
    <t>EBF2</t>
  </si>
  <si>
    <t>EBF3</t>
  </si>
  <si>
    <t>EBF4</t>
  </si>
  <si>
    <t>Neubau1</t>
  </si>
  <si>
    <t>Neubau4</t>
  </si>
  <si>
    <t>Neubau3</t>
  </si>
  <si>
    <t>Neubau2</t>
  </si>
  <si>
    <t>Standardlüftung1</t>
  </si>
  <si>
    <t>Standardlüftung4</t>
  </si>
  <si>
    <t>Standardlüftung3</t>
  </si>
  <si>
    <t>Standardlüftung2</t>
  </si>
  <si>
    <t>Räume mit Zuluft oder Anzahl Personen Nr.1</t>
  </si>
  <si>
    <t>Räume mit Zuluft oder Anzahl Personen Nr.4</t>
  </si>
  <si>
    <t>Räume mit Zuluft oder Anzahl Personen Nr.3</t>
  </si>
  <si>
    <t>Räume mit Zuluft oder Anzahl Personen Nr.2</t>
  </si>
  <si>
    <t>Kühlung oder Befeuchtung 1</t>
  </si>
  <si>
    <t>Kühlung oder Befeuchtung 4</t>
  </si>
  <si>
    <t>Kühlung oder Befeuchtung 3</t>
  </si>
  <si>
    <t>Kühlung oder Befeuchtung 2</t>
  </si>
  <si>
    <t>Thermisch Wirksame Aussenluftrate1</t>
  </si>
  <si>
    <t>Thermisch Wirksame Aussenluftrate2</t>
  </si>
  <si>
    <t>Thermisch Wirksame Aussenluftrate3</t>
  </si>
  <si>
    <t>Thermisch Wirksame Aussenluftrate4</t>
  </si>
  <si>
    <t>Strom Lüftung1</t>
  </si>
  <si>
    <t>Strom Lüftung2</t>
  </si>
  <si>
    <t>Strom Lüftung3</t>
  </si>
  <si>
    <t>Strom Lüftung4</t>
  </si>
  <si>
    <t xml:space="preserve">1) Externe Berechnung beilegen und Werte in Zellen F40 - I43 eintragen </t>
  </si>
  <si>
    <t>1) Joindre un calcul externe et introduire les valeurs aux cellules F40 - I43</t>
  </si>
  <si>
    <t>Strom Klima und Befeuchtung1</t>
  </si>
  <si>
    <t>Strom Klima und Befeuchtung2</t>
  </si>
  <si>
    <t>Strom Klima und Befeuchtung3</t>
  </si>
  <si>
    <t>Strom Klima und Befeuchtung4</t>
  </si>
  <si>
    <t>Ström Wärme und Kälteförderung1</t>
  </si>
  <si>
    <t>Ström Wärme und Kälteförderung2</t>
  </si>
  <si>
    <t>Ström Wärme und Kälteförderung3</t>
  </si>
  <si>
    <t>Ström Wärme und Kälteförderung4</t>
  </si>
  <si>
    <t>Einheit Heizwärmebedarf Qh und Qh,eff</t>
  </si>
  <si>
    <t>WärmeerzeugungA</t>
  </si>
  <si>
    <t>WärmeerzeugungB</t>
  </si>
  <si>
    <t>WärmeerzeugungC</t>
  </si>
  <si>
    <t>WärmeerzeugungD</t>
  </si>
  <si>
    <t>Eingabewert Nutzungsgrad Wärmeerzeugung A</t>
  </si>
  <si>
    <t>Eingabewert Nutzungsgrad Wärmeerzeugung B</t>
  </si>
  <si>
    <t>Eingabewert Nutzungsgrad Wärmeerzeugung C</t>
  </si>
  <si>
    <t>Eingabewert Nutzungsgrad Wärmeerzeugung D</t>
  </si>
  <si>
    <t>Deckungsgrad Heizung Wärmeerzeugung A</t>
  </si>
  <si>
    <t>Deckungsgrad Warmwasser Wärmeerzeugung A</t>
  </si>
  <si>
    <t>Deckungsgrad Heizung Wärmeerzeugung B</t>
  </si>
  <si>
    <t>Deckungsgrad Warmwasser Wärmeerzeugung B</t>
  </si>
  <si>
    <t>Deckungsgrad Heizung Wärmeerzeugung C</t>
  </si>
  <si>
    <t>Deckungsgrad Warmwasser Wärmeerzeugung C</t>
  </si>
  <si>
    <t>Deckungsgrad Heizung Wärmeerzeugung D</t>
  </si>
  <si>
    <t>Deckungsgrad Warmwasser Wärmeerzeugung D</t>
  </si>
  <si>
    <t>Zusatzangabe1 Wärmeerzeugung A (Absorberfläche, WKK-Nutzungsgrad elektrisch, Nennleistung kWp)</t>
  </si>
  <si>
    <t>Zusatzangabe2 Wärmeerzeugung A (Ertrag pro m2 Absorberfläche, Ertrag pro kWp)</t>
  </si>
  <si>
    <t>Zusatzangabe1 Wärmeerzeugung B (Absorberfläche, WKK-Nutzungsgrad elektrisch, Nennleistung kWp)</t>
  </si>
  <si>
    <t>Zusatzangabe2 Wärmeerzeugung B (Ertrag pro m2 Absorberfläche, Ertrag pro kWp)</t>
  </si>
  <si>
    <t>Zusatzangabe1 Wärmeerzeugung C (Absorberfläche, WKK-Nutzungsgrad elektrisch, Nennleistung kWp)</t>
  </si>
  <si>
    <t>Zusatzangabe2 Wärmeerzeugung C (Ertrag pro m2 Absorberfläche, Ertrag pro kWp)</t>
  </si>
  <si>
    <t>Zusatzangabe1 Wärmeerzeugung D (Absorberfläche, WKK-Nutzungsgrad elektrisch, Nennleistung kWp)</t>
  </si>
  <si>
    <t>Zusatzangabe2 Wärmeerzeugung D (Ertrag pro m2 Absorberfläche, Ertrag pro kWp)</t>
  </si>
  <si>
    <t>Deckungsgrad &lt;&gt; 100%</t>
  </si>
  <si>
    <t>J28</t>
  </si>
  <si>
    <t>Netto-Jahresertrag [kWh/kWp] (Berechnung beilegen)</t>
  </si>
  <si>
    <t>Deckungsgrad Heizung weitere Wärmeerzeugung</t>
  </si>
  <si>
    <t>Deckungsgrad Warmwasser weitere Wärmeerzeugung</t>
  </si>
  <si>
    <t>Zugeführter Strom weitere Wärmeerzeugung</t>
  </si>
  <si>
    <t>Zugeführte Energie (gewichtet) weitere Wärmeerzeugung</t>
  </si>
  <si>
    <t>Beilage Schema Heizung und Lüftung (x=beiliegend)</t>
  </si>
  <si>
    <t>Beilage externe Berechnungen und Datenblätter (x=beiliegend)</t>
  </si>
  <si>
    <t>Beilage 3 (x=beiliegend)</t>
  </si>
  <si>
    <t>Bezeichnung Beilage 3</t>
  </si>
  <si>
    <t>Beilage 4 (x=beiliegend)</t>
  </si>
  <si>
    <t>Bezeichnung Beilage 4</t>
  </si>
  <si>
    <t>Rechenwert Nutzungsgrad / JAZ Wärmeerzeugung A</t>
  </si>
  <si>
    <t>Rechenwert Nutzungsgrad / JAZ Wärmeerzeugung B</t>
  </si>
  <si>
    <t>Rechenwert Nutzungsgrad / JAZ Wärmeerzeugung C</t>
  </si>
  <si>
    <t>Rechenwert Nutzungsgrad / JAZ Wärmeerzeugung D</t>
  </si>
  <si>
    <t>Deckungsgrad Heizung total</t>
  </si>
  <si>
    <t>Deckungsgrad Warmwasser total</t>
  </si>
  <si>
    <t>Qh mit effektivem Luftwechsel Zone1  [kWh/m2]</t>
  </si>
  <si>
    <t>Qh mit effektivem Luftwechsel Zone2  [kWh/m2]</t>
  </si>
  <si>
    <t>Qh mit effektivem Luftwechsel Zone3  [kWh/m2]</t>
  </si>
  <si>
    <t>Qh mit effektivem Luftwechsel Zone4  [kWh/m2]</t>
  </si>
  <si>
    <t>Qh mit effektivem Luftwechsel total [kWh/m2]</t>
  </si>
  <si>
    <t>Qww Wärmebedarf Warmwasser Zone1  [kWh/m2]</t>
  </si>
  <si>
    <t>Qww Wärmebedarf Warmwasser Zone2  [kWh/m2]</t>
  </si>
  <si>
    <t>Qww Wärmebedarf Warmwasser Zone3  [kWh/m2]</t>
  </si>
  <si>
    <t>Qww Wärmebedarf Warmwasser Zone4  [kWh/m2]</t>
  </si>
  <si>
    <t>Qww Wärmebedarf Warmwasser total  [kWh/m2]</t>
  </si>
  <si>
    <t>Strombedarf Lüftungsanlage Zone1 [kWh/m2]</t>
  </si>
  <si>
    <t>Strombedarf Lüftungsanlage Zone2 [kWh/m2]</t>
  </si>
  <si>
    <t>Strombedarf Lüftungsanlage Zone3 [kWh/m2]</t>
  </si>
  <si>
    <t>Strombedarf Lüftungsanlage Zone4 [kWh/m2]</t>
  </si>
  <si>
    <t>Strombedarf Lüftungsanlage total [kWh/m2]</t>
  </si>
  <si>
    <t>Strombedarf für Klima + Hilfsbetriebe</t>
  </si>
  <si>
    <t>Strombedarf für Klima + Hilfsbetriebe Zone1  [kWh/m2]</t>
  </si>
  <si>
    <t>Strombedarf für Klima + Hilfsbetriebe Zone2  [kWh/m2]</t>
  </si>
  <si>
    <t>Strombedarf für Klima + Hilfsbetriebe Zone3  [kWh/m2]</t>
  </si>
  <si>
    <t>Strombedarf für Klima + Hilfsbetriebe Zone4  [kWh/m2]</t>
  </si>
  <si>
    <t>Strombedarf für Klima + Hilfsbetriebe total  [kWh/m2]</t>
  </si>
  <si>
    <t>Massgebender Grenzwert total  [kWh/m2]</t>
  </si>
  <si>
    <t>Strom für Klima + Hilfsbetriebe</t>
  </si>
  <si>
    <t>Rechenwert Deckungsgrad Heizung Wärmeerzeugung A</t>
  </si>
  <si>
    <t>Rechenwert Deckungsgrad Heizung Wärmeerzeugung B</t>
  </si>
  <si>
    <t>Rechenwert Deckungsgrad Heizung Wärmeerzeugung D</t>
  </si>
  <si>
    <t>Rechenwert Deckungsgrad Heizung Wärmeerzeugung C</t>
  </si>
  <si>
    <t>Rechenwert Deckungsgrad Heizung weitere Wärmeerzeuger</t>
  </si>
  <si>
    <t>Rechenwert Deckungsgrad Warmwasser Wärmeerzeugung A</t>
  </si>
  <si>
    <t>Rechenwert Deckungsgrad Warmwasser Wärmeerzeugung D</t>
  </si>
  <si>
    <t>Rechenwert Deckungsgrad Warmwasser Wärmeerzeugung B</t>
  </si>
  <si>
    <t>Rechenwert Deckungsgrad Warmwasser Wärmeerzeugung C</t>
  </si>
  <si>
    <t>Rechenwert Deckungsgrad Warmwasser weitere Wärmeerzeuger</t>
  </si>
  <si>
    <t>Gewichtungsfaktor Wärmeerzeugung A</t>
  </si>
  <si>
    <t>Gewichtungsfaktor Wärmeerzeugung B</t>
  </si>
  <si>
    <t>Gewichtungsfaktor Wärmeerzeugung C</t>
  </si>
  <si>
    <t>Gewichtungsfaktor Wärmeerzeugung D</t>
  </si>
  <si>
    <t>Mind. 20% erneuerbare Energie für WW bei Rest. / Sportbauten / Hallenbäder</t>
  </si>
  <si>
    <t>J8</t>
  </si>
  <si>
    <t xml:space="preserve">EGID:  </t>
  </si>
  <si>
    <t>G7</t>
  </si>
  <si>
    <t>Blatt Nachweis, P8, P12, P16, P20, J47-J50: gewichtete Endenergie neu ohne Strom</t>
  </si>
  <si>
    <t>Blatt Nachweis, N24: Formel korrigiert</t>
  </si>
  <si>
    <t>falsche Einheit bei Qh. Korrigiert.</t>
  </si>
  <si>
    <t>Blatt Standardwerte: Klimakorrektur-Werte wie in MINERGIE-Nachweis eingefüllt</t>
  </si>
  <si>
    <t>Klima-Korrektur - Tabellen bisher beim MUKEN-Nachweis noch nicht eingefüllt</t>
  </si>
  <si>
    <t>Blatt Standardwerte: AB153 auf 1 gesetzt</t>
  </si>
  <si>
    <t>Bei Fernwärme &gt; 75% erneuerbar erscheint WW nicht gelb</t>
  </si>
  <si>
    <t>Aussenluftvolumenstrom vo neu als Variable _vo eingeführt</t>
  </si>
  <si>
    <t>Blatt Eingaben: F45-I45, vo neu als Variable, Blatt Standardwerte: U3, Definition von _vo</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</si>
  <si>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</si>
  <si>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</si>
  <si>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</si>
  <si>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</si>
  <si>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</si>
  <si>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</si>
  <si>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</si>
  <si>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</si>
  <si>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</si>
  <si>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Blatt Standardwerte: Reihenfolge bei der Fermwärme gemäss MuKEN angepasst</t>
  </si>
  <si>
    <t>Reihenfolge und Text bei der Erzeugung sollen möglichst nahe an der MuKEn sein.</t>
  </si>
  <si>
    <t>AD118</t>
  </si>
  <si>
    <t>Strom für Wärmepumpen ist doppelt zu gewichten</t>
  </si>
  <si>
    <t>Neu Bemerkungsfeld in Nachweis einprogrammiert / Bezug auf Standardwert AL108:AL153</t>
  </si>
  <si>
    <t>Blatt Nachweis: A9, A13, A17, A21: Wenn 2, dann keine Eingabe (gelb) in Kolonne G</t>
  </si>
  <si>
    <t>Verifica energetica</t>
  </si>
  <si>
    <t>Soluzione tramite calcolo</t>
  </si>
  <si>
    <t>Comune:</t>
  </si>
  <si>
    <t>Part. n.:</t>
  </si>
  <si>
    <t>Fabbr. n.:</t>
  </si>
  <si>
    <t>Cantone:</t>
  </si>
  <si>
    <t>Oggetto:</t>
  </si>
  <si>
    <t>Dati dell'edificio</t>
  </si>
  <si>
    <t>Altitudine:</t>
  </si>
  <si>
    <t>msm</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</si>
  <si>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</si>
  <si>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</si>
  <si>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</si>
  <si>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</si>
  <si>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</si>
  <si>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</si>
  <si>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</si>
  <si>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</si>
  <si>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</si>
  <si>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</si>
  <si>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</si>
  <si>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</si>
  <si>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</si>
  <si>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</si>
  <si>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</si>
  <si>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</si>
  <si>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</si>
  <si>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</si>
  <si>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</si>
  <si>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</si>
  <si>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</si>
  <si>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</si>
  <si>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</si>
  <si>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</si>
  <si>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Portata d'aria esterna termicamente determinante Vth secondo la SIA 380/1. Questo valore deve corrispondere al dato per il calcolo del fabbisogno termico con portata d'aria esterna termicamente determinante.</t>
  </si>
  <si>
    <t>Fabb. calore effettivo per il risc. con aeraz.</t>
  </si>
  <si>
    <t>Valore richiesto per Qh,eff. o Qh,corr.:
inserire fabbisogno di calore per il riscaldamento Qh,eff. con portata d'aria esterna termicamente determinante Vth secondo calcolo SIA 380/1:2009.</t>
  </si>
  <si>
    <t>Risultati da calcoli esterni, es. foglio di calcolo esterno per l'aerazione, sono da inserire in questa parte.
Sono richiesti i valori per gli impianti di climatizzazione.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</si>
  <si>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</si>
  <si>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</si>
  <si>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</si>
  <si>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</si>
  <si>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</si>
  <si>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Scelta dell'aerazione: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</si>
  <si>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</si>
  <si>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</si>
  <si>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</si>
  <si>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</si>
  <si>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</si>
  <si>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</si>
  <si>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</si>
  <si>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</si>
  <si>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</si>
  <si>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</si>
  <si>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</si>
  <si>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</si>
  <si>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</si>
  <si>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</si>
  <si>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</si>
  <si>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</si>
  <si>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</si>
  <si>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</si>
  <si>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</si>
  <si>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</si>
  <si>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</si>
  <si>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</si>
  <si>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</si>
  <si>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</si>
  <si>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</si>
  <si>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</si>
  <si>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</si>
  <si>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</si>
  <si>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</si>
  <si>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</si>
  <si>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</si>
  <si>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</si>
  <si>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</si>
  <si>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</si>
  <si>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</si>
  <si>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</si>
  <si>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</si>
  <si>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</si>
  <si>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</si>
  <si>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</si>
  <si>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</si>
  <si>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</si>
  <si>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</si>
  <si>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</si>
  <si>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</si>
  <si>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</si>
  <si>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</si>
  <si>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</si>
  <si>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</si>
  <si>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</si>
  <si>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</si>
  <si>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</si>
  <si>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</si>
  <si>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</si>
  <si>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</si>
  <si>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</si>
  <si>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</si>
  <si>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</si>
  <si>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</si>
  <si>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</si>
  <si>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</si>
  <si>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</si>
  <si>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</si>
  <si>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</si>
  <si>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</si>
  <si>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</si>
  <si>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</si>
  <si>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</si>
  <si>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</si>
  <si>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</si>
  <si>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</si>
  <si>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</si>
  <si>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</si>
  <si>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</si>
  <si>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</si>
  <si>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</si>
  <si>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</si>
  <si>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</si>
  <si>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</si>
  <si>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</si>
  <si>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</si>
  <si>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</si>
  <si>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</si>
  <si>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</si>
  <si>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</si>
  <si>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</si>
  <si>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</si>
  <si>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</si>
  <si>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</si>
  <si>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</si>
  <si>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</si>
  <si>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</si>
  <si>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</si>
  <si>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</si>
  <si>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</si>
  <si>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</si>
  <si>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</si>
  <si>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</si>
  <si>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</si>
  <si>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</si>
  <si>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</si>
  <si>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</si>
  <si>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</si>
  <si>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</si>
  <si>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</si>
  <si>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</si>
  <si>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</si>
  <si>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</si>
  <si>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</si>
  <si>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</si>
  <si>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</si>
  <si>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</si>
  <si>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</si>
  <si>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</si>
  <si>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</si>
  <si>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</si>
  <si>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</si>
  <si>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</si>
  <si>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</si>
  <si>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</si>
  <si>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</si>
  <si>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</si>
  <si>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</si>
  <si>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</si>
  <si>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</si>
  <si>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</si>
  <si>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</si>
  <si>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</si>
  <si>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</si>
  <si>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</si>
  <si>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</si>
  <si>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</si>
  <si>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</si>
  <si>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</si>
  <si>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</si>
  <si>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</si>
  <si>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</si>
  <si>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</si>
  <si>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</si>
  <si>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</si>
  <si>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</si>
  <si>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</si>
  <si>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</si>
  <si>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</si>
  <si>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</si>
  <si>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</si>
  <si>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</si>
  <si>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</si>
  <si>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</si>
  <si>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</si>
  <si>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</si>
  <si>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</si>
  <si>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</si>
  <si>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</si>
  <si>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</si>
  <si>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</si>
  <si>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</si>
  <si>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</si>
  <si>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</si>
  <si>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</si>
  <si>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</si>
  <si>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</si>
  <si>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</si>
  <si>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</si>
  <si>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</si>
  <si>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</si>
  <si>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</si>
  <si>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</si>
  <si>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</si>
  <si>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</si>
  <si>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</si>
  <si>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</si>
  <si>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</si>
  <si>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</si>
  <si>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</si>
  <si>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</si>
  <si>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</si>
  <si>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</si>
  <si>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</si>
  <si>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</si>
  <si>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</si>
  <si>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</si>
  <si>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</si>
  <si>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</si>
  <si>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</si>
  <si>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</si>
  <si>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</si>
  <si>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</si>
  <si>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</si>
  <si>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</si>
  <si>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</si>
  <si>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</si>
  <si>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</si>
  <si>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</si>
  <si>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</si>
  <si>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</si>
  <si>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</si>
  <si>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</si>
  <si>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</si>
  <si>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</si>
  <si>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</si>
  <si>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ACS prodotta con almeno 20% di energie rinnovabili (per ristoranti/impianti sportivi/piscine)</t>
  </si>
  <si>
    <t>Copertura &lt;&gt; 100%</t>
  </si>
  <si>
    <t>Apporto annuale netto per kWp (valore standard)</t>
  </si>
  <si>
    <t>Valore richiesto per Qh,eff. O Qh,corr.:
inserire fabbisogno di calore per il riscaldamento Qh,eff. con portata d'aria esterna termicamente determinante Vth secondo calcolo SIA 380/1:2009.
Facoltativo: invece di Qh,eff. può essere inserito Qh,corr. che considera anche la correzione dell'altezza del locale (corrzione secondo indicazioni MINERGIE)</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</si>
  <si>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</si>
  <si>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</si>
  <si>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</si>
  <si>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</si>
  <si>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</si>
  <si>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</si>
  <si>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</si>
  <si>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</si>
  <si>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</si>
  <si>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</si>
  <si>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</si>
  <si>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</si>
  <si>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</si>
  <si>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</si>
  <si>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</si>
  <si>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</si>
  <si>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</si>
  <si>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</si>
  <si>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</si>
  <si>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</si>
  <si>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</si>
  <si>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</si>
  <si>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</si>
  <si>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</si>
  <si>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</si>
  <si>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</si>
  <si>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</si>
  <si>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</si>
  <si>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</si>
  <si>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</si>
  <si>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</si>
  <si>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</si>
  <si>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</si>
  <si>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</si>
  <si>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</si>
  <si>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</si>
  <si>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</si>
  <si>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</si>
  <si>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</si>
  <si>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</si>
  <si>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</si>
  <si>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</si>
  <si>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</si>
  <si>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</si>
  <si>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</si>
  <si>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</si>
  <si>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 xml:space="preserve">Entrée obligatoire: Qh,eff ou Qh,corr
à reporter du calcul SIA 380/1:2009 les besoins de chaleur pour le chauffage Qh,eff avec débit d’air neuf thermiquement actif Vth.
</t>
  </si>
  <si>
    <t>Indiquer ici le résulat d'un calcul externe (sur une feuille séparée).
Entrée obligatoire pour les installation de climatisation.</t>
  </si>
  <si>
    <t>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</si>
  <si>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</si>
  <si>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</si>
  <si>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</si>
  <si>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Nombre de pièces avec air fourni:
Données obligatoires que pour l'habitat.
Nombre de personnes (total par zone).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</si>
  <si>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t>
  </si>
  <si>
    <t>Données pour les petites installations avec des valeurs standard:
Moteurs des ventilateurs: à courant alternatif (AC) ou à courant continu (DC)</t>
  </si>
  <si>
    <t>donnée manquante</t>
  </si>
  <si>
    <t>donnée fausse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</si>
  <si>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</si>
  <si>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</si>
  <si>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</si>
  <si>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</si>
  <si>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</si>
  <si>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</si>
  <si>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</si>
  <si>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</si>
  <si>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</si>
  <si>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</si>
  <si>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</si>
  <si>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</si>
  <si>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</si>
  <si>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</si>
  <si>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Fourni/repris</t>
  </si>
  <si>
    <t>Double flux</t>
  </si>
  <si>
    <t>FOU/REP+PAC</t>
  </si>
  <si>
    <t>REP</t>
  </si>
  <si>
    <t>REP+PAC</t>
  </si>
  <si>
    <t>Local</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</si>
  <si>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</si>
  <si>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</si>
  <si>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</si>
  <si>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</si>
  <si>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</si>
  <si>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</si>
  <si>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</si>
  <si>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</si>
  <si>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</si>
  <si>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</si>
  <si>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</si>
  <si>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</si>
  <si>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</si>
  <si>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</si>
  <si>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</si>
  <si>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</si>
  <si>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</si>
  <si>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</si>
  <si>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</si>
  <si>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</si>
  <si>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</si>
  <si>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</si>
  <si>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</si>
  <si>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</si>
  <si>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</si>
  <si>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</si>
  <si>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</si>
  <si>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</si>
  <si>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</si>
  <si>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</si>
  <si>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</si>
  <si>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</si>
  <si>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</si>
  <si>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</si>
  <si>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</si>
  <si>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</si>
  <si>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</si>
  <si>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</si>
  <si>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</si>
  <si>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</si>
  <si>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</si>
  <si>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</si>
  <si>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</si>
  <si>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</si>
  <si>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</si>
  <si>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</si>
  <si>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</si>
  <si>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</si>
  <si>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</si>
  <si>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</si>
  <si>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</si>
  <si>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</si>
  <si>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</si>
  <si>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</si>
  <si>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</si>
  <si>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</si>
  <si>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</si>
  <si>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</si>
  <si>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</si>
  <si>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</si>
  <si>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</si>
  <si>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</si>
  <si>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</si>
  <si>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</si>
  <si>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</si>
  <si>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</si>
  <si>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</si>
  <si>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</si>
  <si>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</si>
  <si>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</si>
  <si>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</si>
  <si>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</si>
  <si>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</si>
  <si>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</si>
  <si>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</si>
  <si>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</si>
  <si>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</si>
  <si>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</si>
  <si>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</si>
  <si>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</si>
  <si>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</si>
  <si>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</si>
  <si>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</si>
  <si>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</si>
  <si>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</si>
  <si>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</si>
  <si>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</si>
  <si>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</si>
  <si>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</si>
  <si>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</si>
  <si>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</si>
  <si>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</si>
  <si>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</si>
  <si>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</si>
  <si>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</si>
  <si>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</si>
  <si>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</si>
  <si>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</si>
  <si>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</si>
  <si>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</si>
  <si>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</si>
  <si>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</si>
  <si>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</si>
  <si>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</si>
  <si>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</si>
  <si>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</si>
  <si>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</si>
  <si>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</si>
  <si>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</si>
  <si>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</si>
  <si>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</si>
  <si>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</si>
  <si>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</si>
  <si>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</si>
  <si>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</si>
  <si>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</si>
  <si>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</si>
  <si>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</si>
  <si>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</si>
  <si>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</si>
  <si>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</si>
  <si>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</si>
  <si>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</si>
  <si>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</si>
  <si>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</si>
  <si>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</si>
  <si>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</si>
  <si>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</si>
  <si>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</si>
  <si>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</si>
  <si>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</si>
  <si>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</si>
  <si>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</si>
  <si>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Eau chaude avec min. 20% d'énergie renouvelable (pour restaurants, installations sportives, piscines couvertes)</t>
  </si>
  <si>
    <t>Taux de couverture &lt;&gt; 100%</t>
  </si>
  <si>
    <t>L'électricité pour les PAC doit être pondérée double</t>
  </si>
  <si>
    <t>Definitive Version 1.0 in deutsch, französisch und italienisch erstellt.</t>
  </si>
  <si>
    <t>1.0</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</si>
  <si>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</si>
  <si>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</si>
  <si>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</si>
  <si>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</si>
  <si>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</si>
  <si>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</si>
  <si>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</si>
  <si>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</si>
  <si>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</si>
  <si>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</si>
  <si>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Blatt Nachweis: T2, Formel angepasst. EBF_MUKEN neu immer ohne Altbauten</t>
  </si>
  <si>
    <t>Bei Altbauten wurde bisher EBF mitgezählt.</t>
  </si>
  <si>
    <t>Elektrizität</t>
  </si>
  <si>
    <t>Alle Kühl- und Gefrierschränke A+++</t>
  </si>
  <si>
    <t>Alle Geschirrspüler Klasse A+++</t>
  </si>
  <si>
    <t>Alle Waschmaschinen Klasse A+++</t>
  </si>
  <si>
    <t>Alle Wäschetrockner Klasse A+++</t>
  </si>
  <si>
    <t>Alles Induktionskochherde</t>
  </si>
  <si>
    <t>Feste Wohnungsbeleuchtung LED A++</t>
  </si>
  <si>
    <t>Allg. Beleuchtung LED A++ &amp; Regelung</t>
  </si>
  <si>
    <t>Angaben für Wohnungsnutzung:</t>
  </si>
  <si>
    <t>Photovoltaik-Anlage</t>
  </si>
  <si>
    <t>Jahresertrag [kWh/m2]</t>
  </si>
  <si>
    <t>Zusatzangaben für den</t>
  </si>
  <si>
    <t>Blatt Nachweis: AA10,AA14,AA18,AA22,X8,X12,X16,X20,X10,X14,X18,X22,Y10,Y14,Y18,Y22 angepasst.</t>
  </si>
  <si>
    <t>Formeln für Solarertrag nach MINERGIE, Qh falsch von MJ in kWh umgerechnet.</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</si>
  <si>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</si>
  <si>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</si>
  <si>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</si>
  <si>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</si>
  <si>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</si>
  <si>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</si>
  <si>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</si>
  <si>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</si>
  <si>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</si>
  <si>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S4</t>
  </si>
  <si>
    <t>- interne Wärmelasten nicht höher als die Standardwerte im Merkblatt SIA 2024.</t>
  </si>
  <si>
    <t>Prüfung ob nicht alle Eingaben "n.a."</t>
  </si>
  <si>
    <t>Erfüllen die Räume in der Zone die Kriterien?</t>
  </si>
  <si>
    <t>S10</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</si>
  <si>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</si>
  <si>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</si>
  <si>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</si>
  <si>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</si>
  <si>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</si>
  <si>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</si>
  <si>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</si>
  <si>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</si>
  <si>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</si>
  <si>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</si>
  <si>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2.1.3</t>
  </si>
  <si>
    <t>Anforderungen an den Sonnenschutz sind gemäss Zusatzformular sommerlicher Wärmeschutz erfüllt.</t>
  </si>
  <si>
    <t>S22</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</si>
  <si>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</si>
  <si>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</si>
  <si>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</si>
  <si>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</si>
  <si>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</si>
  <si>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</si>
  <si>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</si>
  <si>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</si>
  <si>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</si>
  <si>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</si>
  <si>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</si>
  <si>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</si>
  <si>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</si>
  <si>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</si>
  <si>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</si>
  <si>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</si>
  <si>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</si>
  <si>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</si>
  <si>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</si>
  <si>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</si>
  <si>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</si>
  <si>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</si>
  <si>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</si>
  <si>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</si>
  <si>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</si>
  <si>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</si>
  <si>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</si>
  <si>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</si>
  <si>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</si>
  <si>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</si>
  <si>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</si>
  <si>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</si>
  <si>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</si>
  <si>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</si>
  <si>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</si>
  <si>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</si>
  <si>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</si>
  <si>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</si>
  <si>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</si>
  <si>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Blatt Sommer eingefügt, Uebersetzungstext in Blatt Übersetzung</t>
  </si>
  <si>
    <t>Projektname:</t>
  </si>
  <si>
    <t>I8</t>
  </si>
  <si>
    <t xml:space="preserve">MOP - Nr.: </t>
  </si>
  <si>
    <t>Gebäudeadresse:</t>
  </si>
  <si>
    <t>Grenzwert für Endenergiebedarf ohne PV</t>
  </si>
  <si>
    <t>Grenzwert für 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</si>
  <si>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</si>
  <si>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</si>
  <si>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</si>
  <si>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</si>
  <si>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</si>
  <si>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</si>
  <si>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</si>
  <si>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</si>
  <si>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</si>
  <si>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</si>
  <si>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</si>
  <si>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</si>
  <si>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</si>
  <si>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</si>
  <si>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</si>
  <si>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</si>
  <si>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</si>
  <si>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</si>
  <si>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</si>
  <si>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</si>
  <si>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</si>
  <si>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r>
      <t>MKZ</t>
    </r>
    <r>
      <rPr>
        <vertAlign val="subscript"/>
        <sz val="9"/>
        <rFont val="Arial"/>
        <family val="2"/>
      </rPr>
      <t>HLK</t>
    </r>
    <r>
      <rPr>
        <sz val="9"/>
        <rFont val="Arial"/>
        <family val="2"/>
      </rPr>
      <t xml:space="preserve"> = </t>
    </r>
  </si>
  <si>
    <t>Zone =</t>
  </si>
  <si>
    <r>
      <t>MKZ</t>
    </r>
    <r>
      <rPr>
        <vertAlign val="subscript"/>
        <sz val="9"/>
        <rFont val="Arial"/>
        <family val="2"/>
      </rPr>
      <t>ww</t>
    </r>
    <r>
      <rPr>
        <sz val="9"/>
        <rFont val="Arial"/>
        <family val="2"/>
      </rPr>
      <t xml:space="preserve"> = </t>
    </r>
  </si>
  <si>
    <r>
      <t>f</t>
    </r>
    <r>
      <rPr>
        <vertAlign val="subscript"/>
        <sz val="9"/>
        <rFont val="Arial"/>
        <family val="2"/>
      </rPr>
      <t>A</t>
    </r>
    <r>
      <rPr>
        <sz val="9"/>
        <rFont val="Arial"/>
        <family val="2"/>
      </rPr>
      <t xml:space="preserve"> =</t>
    </r>
  </si>
  <si>
    <r>
      <t>f</t>
    </r>
    <r>
      <rPr>
        <vertAlign val="subscript"/>
        <sz val="9"/>
        <rFont val="Arial"/>
        <family val="2"/>
      </rPr>
      <t>W</t>
    </r>
    <r>
      <rPr>
        <sz val="9"/>
        <rFont val="Arial"/>
        <family val="2"/>
      </rPr>
      <t xml:space="preserve"> =</t>
    </r>
  </si>
  <si>
    <t xml:space="preserve"> - Abminderung Armaturen</t>
  </si>
  <si>
    <t xml:space="preserve"> - Abminderung Warmhaltung</t>
  </si>
  <si>
    <t>Mittelwert</t>
  </si>
  <si>
    <t>Energieeff.</t>
  </si>
  <si>
    <t>Geschirrsp.</t>
  </si>
  <si>
    <t>Kühlschrank</t>
  </si>
  <si>
    <t>Waschm.</t>
  </si>
  <si>
    <t>Wäschetr.</t>
  </si>
  <si>
    <t>Induktionsk.</t>
  </si>
  <si>
    <t>LED</t>
  </si>
  <si>
    <t>allg. LED:</t>
  </si>
  <si>
    <t>Wohnung:</t>
  </si>
  <si>
    <t>EBF wohnen:</t>
  </si>
  <si>
    <r>
      <t>E</t>
    </r>
    <r>
      <rPr>
        <vertAlign val="subscript"/>
        <sz val="9"/>
        <rFont val="Arial"/>
        <family val="2"/>
      </rPr>
      <t>Aufzug</t>
    </r>
  </si>
  <si>
    <t xml:space="preserve"> - Länge Warmhaltebänder</t>
  </si>
  <si>
    <r>
      <t>E</t>
    </r>
    <r>
      <rPr>
        <vertAlign val="subscript"/>
        <sz val="9"/>
        <rFont val="Arial"/>
        <family val="2"/>
      </rPr>
      <t>Heizband</t>
    </r>
    <r>
      <rPr>
        <sz val="9"/>
        <rFont val="Arial"/>
        <family val="2"/>
      </rPr>
      <t xml:space="preserve"> =</t>
    </r>
  </si>
  <si>
    <t>Wohnfl. Aw</t>
  </si>
  <si>
    <t>Mittelwert / 
Summe</t>
  </si>
  <si>
    <r>
      <t>MKZ</t>
    </r>
    <r>
      <rPr>
        <vertAlign val="subscript"/>
        <sz val="9"/>
        <rFont val="Arial"/>
        <family val="2"/>
      </rPr>
      <t>El,Wohnen</t>
    </r>
    <r>
      <rPr>
        <sz val="9"/>
        <rFont val="Arial"/>
        <family val="2"/>
      </rPr>
      <t xml:space="preserve"> = </t>
    </r>
  </si>
  <si>
    <t>Wohnbauten:</t>
  </si>
  <si>
    <t>Beleuchtung: Umfassende Sanierung?</t>
  </si>
  <si>
    <t>B50</t>
  </si>
  <si>
    <t>K62</t>
  </si>
  <si>
    <t>I62</t>
  </si>
  <si>
    <t>D62</t>
  </si>
  <si>
    <t>B62</t>
  </si>
  <si>
    <t>G54</t>
  </si>
  <si>
    <t>Q13</t>
  </si>
  <si>
    <t>R13</t>
  </si>
  <si>
    <r>
      <t>MKZ</t>
    </r>
    <r>
      <rPr>
        <vertAlign val="subscript"/>
        <sz val="9"/>
        <rFont val="Arial"/>
        <family val="2"/>
      </rPr>
      <t>Bel,gross</t>
    </r>
  </si>
  <si>
    <r>
      <t>r</t>
    </r>
    <r>
      <rPr>
        <vertAlign val="subscript"/>
        <sz val="9"/>
        <rFont val="Arial"/>
        <family val="2"/>
      </rPr>
      <t>Bel</t>
    </r>
    <r>
      <rPr>
        <sz val="9"/>
        <rFont val="Arial"/>
        <family val="2"/>
      </rPr>
      <t xml:space="preserve"> =</t>
    </r>
  </si>
  <si>
    <r>
      <t>MKZ</t>
    </r>
    <r>
      <rPr>
        <vertAlign val="subscript"/>
        <sz val="9"/>
        <rFont val="Arial"/>
        <family val="2"/>
      </rPr>
      <t>Bel,Standard</t>
    </r>
  </si>
  <si>
    <t>Geräte</t>
  </si>
  <si>
    <t>Geräte bei Zweckbauten</t>
  </si>
  <si>
    <r>
      <t>MKZ</t>
    </r>
    <r>
      <rPr>
        <vertAlign val="subscript"/>
        <sz val="9"/>
        <color theme="1"/>
        <rFont val="Arial"/>
        <family val="2"/>
      </rPr>
      <t>Geräte</t>
    </r>
    <r>
      <rPr>
        <sz val="9"/>
        <color theme="1"/>
        <rFont val="Arial"/>
        <family val="2"/>
      </rPr>
      <t xml:space="preserve"> =</t>
    </r>
  </si>
  <si>
    <t>Allgemeine Gebäudetechnik</t>
  </si>
  <si>
    <r>
      <t>MKZ</t>
    </r>
    <r>
      <rPr>
        <vertAlign val="subscript"/>
        <sz val="9"/>
        <color theme="1"/>
        <rFont val="Arial"/>
        <family val="2"/>
      </rPr>
      <t>AGT</t>
    </r>
    <r>
      <rPr>
        <sz val="9"/>
        <color theme="1"/>
        <rFont val="Arial"/>
        <family val="2"/>
      </rPr>
      <t xml:space="preserve"> =</t>
    </r>
  </si>
  <si>
    <t>Strom-Eigenproduktion</t>
  </si>
  <si>
    <r>
      <t>MKZ</t>
    </r>
    <r>
      <rPr>
        <vertAlign val="subscript"/>
        <sz val="9"/>
        <color theme="1"/>
        <rFont val="Arial"/>
        <family val="2"/>
      </rPr>
      <t>Prod</t>
    </r>
    <r>
      <rPr>
        <sz val="9"/>
        <color theme="1"/>
        <rFont val="Arial"/>
        <family val="2"/>
      </rPr>
      <t xml:space="preserve"> =</t>
    </r>
  </si>
  <si>
    <r>
      <t>E</t>
    </r>
    <r>
      <rPr>
        <vertAlign val="subscript"/>
        <sz val="10"/>
        <rFont val="Arial"/>
        <family val="2"/>
      </rPr>
      <t>EB</t>
    </r>
    <r>
      <rPr>
        <sz val="10"/>
        <rFont val="Arial"/>
        <family val="2"/>
      </rPr>
      <t xml:space="preserve"> =</t>
    </r>
  </si>
  <si>
    <r>
      <t>E</t>
    </r>
    <r>
      <rPr>
        <vertAlign val="subscript"/>
        <sz val="10"/>
        <rFont val="Arial"/>
        <family val="2"/>
      </rPr>
      <t>Netz</t>
    </r>
    <r>
      <rPr>
        <sz val="10"/>
        <rFont val="Arial"/>
        <family val="2"/>
      </rPr>
      <t xml:space="preserve"> =</t>
    </r>
  </si>
  <si>
    <t>kWp</t>
  </si>
  <si>
    <t>W/m2</t>
  </si>
  <si>
    <t>spezifische, installierte Leistung pro m2 EBF:</t>
  </si>
  <si>
    <t xml:space="preserve">MKZ = </t>
  </si>
  <si>
    <t>Berechnung Objkektwert der MINERGIE-Kennzahl:</t>
  </si>
  <si>
    <t>Berechnung des Grenzwertes der MINERGIE-Kennzahl:</t>
  </si>
  <si>
    <r>
      <t>MKZ</t>
    </r>
    <r>
      <rPr>
        <vertAlign val="subscript"/>
        <sz val="9"/>
        <rFont val="Arial"/>
        <family val="2"/>
      </rPr>
      <t>li</t>
    </r>
    <r>
      <rPr>
        <sz val="9"/>
        <rFont val="Arial"/>
        <family val="2"/>
      </rPr>
      <t xml:space="preserve"> = </t>
    </r>
  </si>
  <si>
    <r>
      <t>E</t>
    </r>
    <r>
      <rPr>
        <vertAlign val="subscript"/>
        <sz val="9"/>
        <rFont val="Arial"/>
        <family val="2"/>
      </rPr>
      <t>Bel,Standard</t>
    </r>
    <r>
      <rPr>
        <sz val="9"/>
        <rFont val="Arial"/>
        <family val="2"/>
      </rPr>
      <t xml:space="preserve"> =</t>
    </r>
  </si>
  <si>
    <r>
      <t>E</t>
    </r>
    <r>
      <rPr>
        <vertAlign val="subscript"/>
        <sz val="9"/>
        <rFont val="Arial"/>
        <family val="2"/>
      </rPr>
      <t>SIA380/4,ta</t>
    </r>
    <r>
      <rPr>
        <sz val="9"/>
        <rFont val="Arial"/>
        <family val="2"/>
      </rPr>
      <t xml:space="preserve"> =</t>
    </r>
  </si>
  <si>
    <r>
      <t>MKZ</t>
    </r>
    <r>
      <rPr>
        <vertAlign val="subscript"/>
        <sz val="9"/>
        <rFont val="Arial"/>
        <family val="2"/>
      </rPr>
      <t>li,ZB</t>
    </r>
  </si>
  <si>
    <t>Klimazu. =</t>
  </si>
  <si>
    <r>
      <t>MKZ</t>
    </r>
    <r>
      <rPr>
        <vertAlign val="subscript"/>
        <sz val="9"/>
        <rFont val="Arial"/>
        <family val="2"/>
      </rPr>
      <t>li,o</t>
    </r>
    <r>
      <rPr>
        <sz val="9"/>
        <rFont val="Arial"/>
        <family val="2"/>
      </rPr>
      <t xml:space="preserve"> = </t>
    </r>
  </si>
  <si>
    <t>Blatt Standardwerte, Zelle Z123, neu 0.5</t>
  </si>
  <si>
    <t>Gewichtungsfaktor WKK Holz von 0.7 auf 0.5 geändert.</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</si>
  <si>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</si>
  <si>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</si>
  <si>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</si>
  <si>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</si>
  <si>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</si>
  <si>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</si>
  <si>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</si>
  <si>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</si>
  <si>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</si>
  <si>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</si>
  <si>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</si>
  <si>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</si>
  <si>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</si>
  <si>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</si>
  <si>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</si>
  <si>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</si>
  <si>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Berechnung der Primäranforderung MINERGIE:</t>
  </si>
  <si>
    <r>
      <t>Q</t>
    </r>
    <r>
      <rPr>
        <vertAlign val="subscript"/>
        <sz val="9"/>
        <rFont val="Arial"/>
        <family val="2"/>
      </rPr>
      <t>h,li</t>
    </r>
    <r>
      <rPr>
        <sz val="9"/>
        <rFont val="Arial"/>
        <family val="2"/>
      </rPr>
      <t xml:space="preserve"> = </t>
    </r>
  </si>
  <si>
    <r>
      <t>Q</t>
    </r>
    <r>
      <rPr>
        <vertAlign val="subscript"/>
        <sz val="9"/>
        <rFont val="Arial"/>
        <family val="2"/>
      </rPr>
      <t>h,li</t>
    </r>
    <r>
      <rPr>
        <sz val="9"/>
        <rFont val="Arial"/>
        <family val="2"/>
      </rPr>
      <t xml:space="preserve"> (Neu)</t>
    </r>
  </si>
  <si>
    <t>Anforderung Heizwärmebedarf Qh:</t>
  </si>
  <si>
    <t>M42</t>
  </si>
  <si>
    <t>M43</t>
  </si>
  <si>
    <t>M44</t>
  </si>
  <si>
    <t>M45</t>
  </si>
  <si>
    <t>M46</t>
  </si>
  <si>
    <t>Endenergiebedarf</t>
  </si>
  <si>
    <t>M49</t>
  </si>
  <si>
    <t>M50</t>
  </si>
  <si>
    <t>kWh/m3</t>
  </si>
  <si>
    <t>kWh/m4</t>
  </si>
  <si>
    <t>M47</t>
  </si>
  <si>
    <t>M51</t>
  </si>
  <si>
    <t>M52</t>
  </si>
  <si>
    <t>M55</t>
  </si>
  <si>
    <t>M57</t>
  </si>
  <si>
    <t>kWh/m5</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</si>
  <si>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</si>
  <si>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</si>
  <si>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</si>
  <si>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</si>
  <si>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</si>
  <si>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</si>
  <si>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</si>
  <si>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</si>
  <si>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</si>
  <si>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</si>
  <si>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</si>
  <si>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</si>
  <si>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</si>
  <si>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Eigenstromerzeugung:</t>
  </si>
  <si>
    <t>EBF Neubau:</t>
  </si>
  <si>
    <t>EBF Altbau:</t>
  </si>
  <si>
    <t>PV-befreit:</t>
  </si>
  <si>
    <t>Min-Anforder:</t>
  </si>
  <si>
    <t>MKZ:</t>
  </si>
  <si>
    <t>Luftdichtigkeit der Hüllfläche, Neubau</t>
  </si>
  <si>
    <t>Luftdichtigkeit der Hüllfläche, Erneuerung</t>
  </si>
  <si>
    <t>BA9</t>
  </si>
  <si>
    <t>BA10</t>
  </si>
  <si>
    <t>Einsatz erneuerbarer Energien</t>
  </si>
  <si>
    <t>Maximal 30% fossile Spitzenlast?</t>
  </si>
  <si>
    <t>Monitoringkonzept</t>
  </si>
  <si>
    <t>Monitoringkonzept:</t>
  </si>
  <si>
    <t>AF13, AF14</t>
  </si>
  <si>
    <t>Grosse Eingriffe in  Gebäudetechnik?</t>
  </si>
  <si>
    <t>Monitor?</t>
  </si>
  <si>
    <t>BA14</t>
  </si>
  <si>
    <t>Monitoringkonzept beigelegt?</t>
  </si>
  <si>
    <t>Blatt "Uebersicht" und "MINERGIE" eingefügt</t>
  </si>
  <si>
    <t>MINERGIE-Nachweis-Anpassungen</t>
  </si>
  <si>
    <t>Art des Nachweises, Auswahl-Nr. (1=behördlicher Nachweis, 2=MINERGIE, 3=MINERGIE-P, 4=MINERGIE-A)</t>
  </si>
  <si>
    <t>Projektname (MINERGIE) / Gemeinde (behördlicher Nachweis)</t>
  </si>
  <si>
    <t>MOP-Nr. (MINERGIE) / Geb.-Nr. (behördlicher Nachweis)</t>
  </si>
  <si>
    <t>EGID (behördlicher Nachweis)</t>
  </si>
  <si>
    <t>Gebäudeadresse (MINERGIE) / Bauvorhaben (behördlicher Nachweis)</t>
  </si>
  <si>
    <t>Klimastation, Auswahl-Nr. (1: leer; 2: Adelboden; etc.)</t>
  </si>
  <si>
    <t>Gebäudehüllzahl1</t>
  </si>
  <si>
    <t>Gebäudehüllzahl2</t>
  </si>
  <si>
    <t>Gebäudehüllzahl3</t>
  </si>
  <si>
    <t>Gebäudehüllzahl4</t>
  </si>
  <si>
    <t>Heizwärmebedarf mit Standardluftwechsel, Qh1  (kWh/m2)</t>
  </si>
  <si>
    <t>Heizwärmebedarf mit Standardluftwechsel, Qh2  (kWh/m2)</t>
  </si>
  <si>
    <t>Heizwärmebedarf mit Standardluftwechsel, Qh3  (kWh/m2)</t>
  </si>
  <si>
    <t>Heizwärmebedarf mit Standardluftwechsel, Qh4  (kWh/m2)</t>
  </si>
  <si>
    <t>Lüftungsart1 (nur wenn Standardlüftung1 = wahr)</t>
  </si>
  <si>
    <t>Lüftungsart2 (nur wenn Standardlüftung2 = wahr)</t>
  </si>
  <si>
    <t>Lüftungsart3 (nur wenn Standardlüftung3 = wahr)</t>
  </si>
  <si>
    <t>Lüftungsart4 (nur wenn Standardlüftung4 = wahr)</t>
  </si>
  <si>
    <t>WRG1 (nur wenn Standardlüftung1 = wahr)</t>
  </si>
  <si>
    <t>WRG2 (nur wenn Standardlüftung1 = wahr)</t>
  </si>
  <si>
    <t>WRG3 (nur wenn Standardlüftung1 = wahr)</t>
  </si>
  <si>
    <t>WRG4 (nur wenn Standardlüftung1 = wahr)</t>
  </si>
  <si>
    <t>Ventilator-Motortyp1 (nur wenn Standardlüftung1 = wahr)</t>
  </si>
  <si>
    <t>Ventilator-Motortyp4 (nur wenn Standardlüftung4 = wahr)</t>
  </si>
  <si>
    <t>Ventilator-Motortyp2 (nur wenn Standardlüftung2 = wahr)</t>
  </si>
  <si>
    <t>Ventilator-Motortyp3 (nur wenn Standardlüftung3 = wahr)</t>
  </si>
  <si>
    <t>Einheit Heizwärmebedarf Qh  und Qh,eff, Auswahl-Nr.  (1: MJ/m2;  2: kWh/m2)</t>
  </si>
  <si>
    <t>eff. Heizwärmebedarf mit Lüftungsanlage, Qh,eff1  (kWh/m2)</t>
  </si>
  <si>
    <t>eff. Heizwärmebedarf mit Lüftungsanlage, Qh,eff2  (kWh/m2)</t>
  </si>
  <si>
    <t>eff. Heizwärmebedarf mit Lüftungsanlage, Qh,eff3  (kWh/m2)</t>
  </si>
  <si>
    <t>eff. Heizwärmebedarf mit Lüftungsanlage, Qh,eff4  (kWh/m2)</t>
  </si>
  <si>
    <t>Thermisch wirksamer Aussenluft-Volumenstrom1</t>
  </si>
  <si>
    <t>Thermisch wirksamer Aussenluft-Volumenstrom4</t>
  </si>
  <si>
    <t>Thermisch wirksamer Aussenluft-Volumenstrom3</t>
  </si>
  <si>
    <t>Thermisch wirksamer Aussenluft-Volumenstrom2</t>
  </si>
  <si>
    <t>Übertrag weitere Wärmeerzeugung: Bezeichnung</t>
  </si>
  <si>
    <t>Massgebender Grenzwert Zone1 für Endenergiebedarf ohne PV [kWh/m2]</t>
  </si>
  <si>
    <t>Massgebender Grenzwert Zone2  für Endenergiebedarf ohne PV  [kWh/m2]</t>
  </si>
  <si>
    <t>Massgebender Grenzwert Zone3  für Endenergiebedarf ohne PV  [kWh/m2]</t>
  </si>
  <si>
    <t>Massgebender Grenzwert Zone4  für Endenergiebedarf ohne PV  [kWh/m2]</t>
  </si>
  <si>
    <t>Anforderung Endenergie ohne PV eingehalten</t>
  </si>
  <si>
    <t>Kanton, Auswahl-Nr. ( 1: leer; 2: Aargau; etc.)</t>
  </si>
  <si>
    <t>Anforderung Grenzwert Endenergie ohne PV  [kWh/m2]</t>
  </si>
  <si>
    <t>Berechneter Wert Endenergie ohne PV  [kWh/m2]</t>
  </si>
  <si>
    <t>Anforderung MKZ  [kWh/m2]</t>
  </si>
  <si>
    <t>Berechneter Wert MKZ  [kWh/m2]</t>
  </si>
  <si>
    <t>Anforderung MKZ eingehalten</t>
  </si>
  <si>
    <t>Massgebender Grenzwert Zone1 für MKZ [kWh/m2]</t>
  </si>
  <si>
    <t>Massgebender Grenzwert Zone2 für MKZ [kWh/m2]</t>
  </si>
  <si>
    <t>Massgebender Grenzwert Zone3 für MKZ [kWh/m2]</t>
  </si>
  <si>
    <t>Massgebender Grenzwert Zone4 für MKZ [kWh/m2]</t>
  </si>
  <si>
    <t>Warmwasser, Abminderung Armaturen Zone1</t>
  </si>
  <si>
    <t>Warmwasser, Abminderung Armaturen Zone2</t>
  </si>
  <si>
    <t>Warmwasser, Abminderung Armaturen Zone3</t>
  </si>
  <si>
    <t>Warmwasser, Abminderung Armaturen Zone4</t>
  </si>
  <si>
    <t>Warmwasser, Abminderung Warmhaltung Zone1</t>
  </si>
  <si>
    <t>Warmwasser, Abminderung Warmhaltung Zone4</t>
  </si>
  <si>
    <t>Warmwasser, Abminderung Warmhaltung Zone3</t>
  </si>
  <si>
    <t>Warmwasser, Abminderung Warmhaltung Zone2</t>
  </si>
  <si>
    <t>Anzahl Wohnungen Zone1</t>
  </si>
  <si>
    <t>Anzahl Wohnungen Zone4</t>
  </si>
  <si>
    <t>Anzahl Wohnungen Zone2</t>
  </si>
  <si>
    <t>Anzahl Wohnungen Zone3</t>
  </si>
  <si>
    <t>Aufzugsanlage / Lift vorhanden?</t>
  </si>
  <si>
    <t>Lift vorhanden, Zone1</t>
  </si>
  <si>
    <t>Lift vorhanden, Zone4</t>
  </si>
  <si>
    <t>Lift vorhanden, Zone2</t>
  </si>
  <si>
    <t>Lift vorhanden, Zone3</t>
  </si>
  <si>
    <t>Alle Geschirrspüler Klasse A+++, Zone1</t>
  </si>
  <si>
    <t>Alle Geschirrspüler Klasse A+++, Zone2</t>
  </si>
  <si>
    <t>Alle Geschirrspüler Klasse A+++, Zone3</t>
  </si>
  <si>
    <t>Alle Geschirrspüler Klasse A+++, Zone4</t>
  </si>
  <si>
    <t>Alle Kühl- und Gefrierschränke A+++, Zone1</t>
  </si>
  <si>
    <t>Alle Kühl- und Gefrierschränke A+++, Zone2</t>
  </si>
  <si>
    <t>Alle Kühl- und Gefrierschränke A+++, Zone3</t>
  </si>
  <si>
    <t>Alle Kühl- und Gefrierschränke A+++, Zone4</t>
  </si>
  <si>
    <t>Alle Waschmaschinen Klasse A+++, Zone1</t>
  </si>
  <si>
    <t>Alle Waschmaschinen Klasse A+++, Zone2</t>
  </si>
  <si>
    <t>Alle Waschmaschinen Klasse A+++, Zone3</t>
  </si>
  <si>
    <t>Alle Waschmaschinen Klasse A+++, Zone4</t>
  </si>
  <si>
    <t>Alle Wäschetrockner Klasse A+++, Zone1</t>
  </si>
  <si>
    <t>Alle Wäschetrockner Klasse A+++, Zone2</t>
  </si>
  <si>
    <t>Alle Wäschetrockner Klasse A+++, Zone3</t>
  </si>
  <si>
    <t>Alle Wäschetrockner Klasse A+++, Zone4</t>
  </si>
  <si>
    <t>Alles Induktionskochherde, Zone1</t>
  </si>
  <si>
    <t>Alles Induktionskochherde, Zone2</t>
  </si>
  <si>
    <t>Alles Induktionskochherde, Zone3</t>
  </si>
  <si>
    <t>Alles Induktionskochherde, Zone4</t>
  </si>
  <si>
    <t>Feste Wohnungsbeleuchtung LED A++, Zone1</t>
  </si>
  <si>
    <t>Feste Wohnungsbeleuchtung LED A++, Zone2</t>
  </si>
  <si>
    <t>Feste Wohnungsbeleuchtung LED A++, Zone3</t>
  </si>
  <si>
    <t>Feste Wohnungsbeleuchtung LED A++, Zone4</t>
  </si>
  <si>
    <t>Allg. Beleuchtung LED A++ &amp; Regelung, Zone1</t>
  </si>
  <si>
    <t>Allg. Beleuchtung LED A++ &amp; Regelung, Zone2</t>
  </si>
  <si>
    <t>Allg. Beleuchtung LED A++ &amp; Regelung, Zone3</t>
  </si>
  <si>
    <t>Allg. Beleuchtung LED A++ &amp; Regelung, Zone4</t>
  </si>
  <si>
    <t>Beleuchtung: Umfassende Sanierung?, Zone1</t>
  </si>
  <si>
    <t>Beleuchtung: Umfassende Sanierung?, Zone2</t>
  </si>
  <si>
    <t>Beleuchtung: Umfassende Sanierung?, Zone3</t>
  </si>
  <si>
    <t>Beleuchtung: Umfassende Sanierung?, Zone4</t>
  </si>
  <si>
    <t>Leuchten: Minergie-Modul oder Klasse A+, Zone1</t>
  </si>
  <si>
    <t>Leuchten: Minergie-Modul oder Klasse A+, Zone2</t>
  </si>
  <si>
    <t>Leuchten: Minergie-Modul oder Klasse A+, Zone3</t>
  </si>
  <si>
    <t>Leuchten: Minergie-Modul oder Klasse A+, Zone4</t>
  </si>
  <si>
    <t>Lichtsteuerung Klasse A++, Zone1</t>
  </si>
  <si>
    <t>Lichtsteuerung Klasse A++, Zone2</t>
  </si>
  <si>
    <t>Lichtsteuerung Klasse A++, Zone3</t>
  </si>
  <si>
    <t>Lichtsteuerung Klasse A++, Zone4</t>
  </si>
  <si>
    <t>Beleuchtung: Zielwert SIA 380/4, Zone1</t>
  </si>
  <si>
    <t>Beleuchtung: Projektwert SIA 380/4, Zone1</t>
  </si>
  <si>
    <t>Beleuchtung: Zielwert SIA 380/4, Zone2</t>
  </si>
  <si>
    <t>Beleuchtung: Zielwert SIA 380/4, Zone3</t>
  </si>
  <si>
    <t>Beleuchtung: Zielwert SIA 380/4, Zone4</t>
  </si>
  <si>
    <t>Beleuchtung: Projektwert SIA 380/4, Zone2</t>
  </si>
  <si>
    <t>Beleuchtung: Projektwert SIA 380/4, Zone3</t>
  </si>
  <si>
    <t>Beleuchtung: Projektwert SIA 380/4, Zone4</t>
  </si>
  <si>
    <t>Jahresertrag PV [kWh/kWp], Eingabewert</t>
  </si>
  <si>
    <t>Jahresertrag PV [kWh/kWp], Rechenwert</t>
  </si>
  <si>
    <t>Eigenbedarf PV [%], Eingabewert</t>
  </si>
  <si>
    <t>Eigenbedarf PV [%], Rechenwert</t>
  </si>
  <si>
    <t>Anforderung Luftdichtigkeit der Hüllfläche, Neubau [m3/(h*m2)]</t>
  </si>
  <si>
    <t>Eingabewert Luftdichtigkeit der Hüllfläche, Neubau [m3/(h*m2)]</t>
  </si>
  <si>
    <t>Anforderung Luftdichtigkeit der Hüllfläche, Erneuerung [m3/(h*m2)]</t>
  </si>
  <si>
    <t>Eingabewert Luftdichtigkeit der Hüllfläche, Erneuerung [m3/(h*m2)]</t>
  </si>
  <si>
    <t>20% mit erneuerbarer Energie gedeckt?  (Restaurant, Sportbauten, Hallenbäder)</t>
  </si>
  <si>
    <t>20% mit erneuerbarer Energie gedeckt?  (Restaurant, Sportbauten, Hallenbäder): Anforderung erfüllt?</t>
  </si>
  <si>
    <t>Einsatz erneuerbarer Energien, Maximal 30% fossile Spitzenlast?</t>
  </si>
  <si>
    <t>Einsatz erneuerbarer Energien, Maximal 30% fossile Spitzenlast: Anforderung erfüllt?</t>
  </si>
  <si>
    <t>Optimierter Badebetrieb (Reserve)</t>
  </si>
  <si>
    <t>Optimierter Badebetrieb (Reserve): Anforderung erfüllt?</t>
  </si>
  <si>
    <t>Monitoringkonzept: Anforderung erfüllt?</t>
  </si>
  <si>
    <t>Aussenliegender beweglicher Sonnenschutz. Zone2</t>
  </si>
  <si>
    <t>Aussenliegender beweglicher Sonnenschutz. Zone1</t>
  </si>
  <si>
    <t>Aussenliegender beweglicher Sonnenschutz. Zone3</t>
  </si>
  <si>
    <t>Aussenliegender beweglicher Sonnenschutz. Zone4</t>
  </si>
  <si>
    <t>Anderer Sonnenschutz (Text)</t>
  </si>
  <si>
    <t>Wohnen (EFH, MFH), Räume mit 1 Fassade, Betondecke (&gt;80% frei): - Glasanteil &lt;70%, Zone1</t>
  </si>
  <si>
    <t>Wohnen (EFH, MFH), Räume mit 1 Fassade, Betondecke (&gt;80% frei): - Glasanteil &lt;70%, Zone2</t>
  </si>
  <si>
    <t>Wohnen (EFH, MFH), Räume mit 1 Fassade, Betondecke (&gt;80% frei): - Glasanteil &lt;70%, Zone3</t>
  </si>
  <si>
    <t>Wohnen (EFH, MFH), Räume mit 1 Fassade, Betondecke (&gt;80% frei): - Glasanteil &lt;70%, Zone4</t>
  </si>
  <si>
    <t>Wohnen (EFH,MFH), Eckzimmer; Betondecke (&gt;80% frei):- Glasanteil pro Fassade &lt;50%. Zone1</t>
  </si>
  <si>
    <t>Wohnen (EFH,MFH), Eckzimmer; Betondecke (&gt;80% frei):- Glasanteil pro Fassade &lt;50%. Zone2</t>
  </si>
  <si>
    <t>Wohnen (EFH,MFH), Eckzimmer; Betondecke (&gt;80% frei):- Glasanteil pro Fassade &lt;50%. Zone3</t>
  </si>
  <si>
    <t>Wohnen (EFH,MFH), Eckzimmer; Betondecke (&gt;80% frei):- Glasanteil pro Fassade &lt;50%. Zone4</t>
  </si>
  <si>
    <t>Wohnen (EFH, MFH), 1 Fassade oder Eckzimmer: - Glasanteil &lt;40%, Zone1</t>
  </si>
  <si>
    <t>Wohnen (EFH, MFH), 1 Fassade oder Eckzimmer: - Glasanteil &lt;40%, Zone2</t>
  </si>
  <si>
    <t>Wohnen (EFH, MFH), 1 Fassade oder Eckzimmer: - Glasanteil &lt;40%, Zone3</t>
  </si>
  <si>
    <t>Wohnen (EFH, MFH), 1 Fassade oder Eckzimmer: - Glasanteil &lt;40%, Zone4</t>
  </si>
  <si>
    <t>Wohnen (EFH, MFH), Räume mit 1 Fassade, Süd-Orientierung und Verschattung durch Balkon von min. 1 m Tiefe. Zone1</t>
  </si>
  <si>
    <t>Wohnen (EFH, MFH), Räume mit 1 Fassade, Süd-Orientierung und Verschattung durch Balkon von min. 1 m Tiefe. Zone2</t>
  </si>
  <si>
    <t>Wohnen (EFH, MFH), Räume mit 1 Fassade, Süd-Orientierung und Verschattung durch Balkon von min. 1 m Tiefe. Zone3</t>
  </si>
  <si>
    <t>Wohnen (EFH, MFH), Räume mit 1 Fassade, Süd-Orientierung und Verschattung durch Balkon von min. 1 m Tiefe. Zone4</t>
  </si>
  <si>
    <t>Einzelbüro, Gruppenbüro, Sitzungszimmer mit 1 Fassade, Betondecke:- Glasanteil &lt;50% und MSR Sonnenschutzes,  Zone1</t>
  </si>
  <si>
    <t>Einzelbüro, Gruppenbüro, Sitzungszimmer mit 1 Fassade, Betondecke:- Glasanteil &lt;50% und MSR Sonnenschutzes,  Zone2</t>
  </si>
  <si>
    <t>Einzelbüro, Gruppenbüro, Sitzungszimmer mit 1 Fassade, Betondecke:- Glasanteil &lt;50% und MSR Sonnenschutzes,  Zone3</t>
  </si>
  <si>
    <t>Einzelbüro, Gruppenbüro, Sitzungszimmer mit 1 Fassade, Betondecke:- Glasanteil &lt;50% und MSR Sonnenschutzes,  Zone4</t>
  </si>
  <si>
    <t>Einzelbüro, Gruppenbüro, Sitzungszimmer als Eckzimmer, Betondecke: - Glasanteil &lt;35% und MSR Sonnenschutzes, Zone1</t>
  </si>
  <si>
    <t>Einzelbüro, Gruppenbüro, Sitzungszimmer als Eckzimmer, Betondecke: - Glasanteil &lt;35% und MSR Sonnenschutzes, Zone2</t>
  </si>
  <si>
    <t>Einzelbüro, Gruppenbüro, Sitzungszimmer als Eckzimmer, Betondecke: - Glasanteil &lt;35% und MSR Sonnenschutzes, Zone3</t>
  </si>
  <si>
    <t>Einzelbüro, Gruppenbüro, Sitzungszimmer als Eckzimmer, Betondecke: - Glasanteil &lt;35% und MSR Sonnenschutzes, Zone4</t>
  </si>
  <si>
    <t>Sommerlicher Wärmeschutz ohne Kühlung erfüllt.  Zone1</t>
  </si>
  <si>
    <t>Sommerlicher Wärmeschutz ohne Kühlung erfüllt.  Zone2</t>
  </si>
  <si>
    <t>Sommerlicher Wärmeschutz ohne Kühlung erfüllt.  Zone3</t>
  </si>
  <si>
    <t>Sommerlicher Wärmeschutz ohne Kühlung erfüllt.  Zone4</t>
  </si>
  <si>
    <t>Bemerkung sommerlicher Wärmeschutz ohen Kühlung (Text)</t>
  </si>
  <si>
    <t>Die Grenzwertkurve SIA 382/1wird ohne Kühlung an weniger als 100 h überschritten. Zone1</t>
  </si>
  <si>
    <t>Die Grenzwertkurve SIA 382/1wird ohne Kühlung an weniger als 100 h überschritten. Zone2</t>
  </si>
  <si>
    <t>Die Grenzwertkurve SIA 382/1wird ohne Kühlung an weniger als 100 h überschritten. Zone3</t>
  </si>
  <si>
    <t>Die Grenzwertkurve SIA 382/1wird ohne Kühlung an weniger als 100 h überschritten. Zone4</t>
  </si>
  <si>
    <t>Die Zone ist gekühlt und OK. Zone1</t>
  </si>
  <si>
    <t>Die Zone ist gekühlt und OK. Zone2</t>
  </si>
  <si>
    <t>Die Zone ist gekühlt und OK. Zone3</t>
  </si>
  <si>
    <t>Die Zone ist gekühlt und OK. Zone4</t>
  </si>
  <si>
    <t>Wärmeschutz erfüllt, Zone1</t>
  </si>
  <si>
    <t>Wärmeschutz erfüllt, Zone2</t>
  </si>
  <si>
    <t>Wärmeschutz erfüllt, Zone3</t>
  </si>
  <si>
    <t>Wärmeschutz erfüllt, Zone4</t>
  </si>
  <si>
    <t>Sprachversions-Nr.  (1=deutsch / 2=französisch / 3=italienisch)</t>
  </si>
  <si>
    <t>Minergi-Kennzahl MKZ, Anforderung (kWh/m2)</t>
  </si>
  <si>
    <t>MKZ erfüllt?</t>
  </si>
  <si>
    <t>MKZ in CO2, Anforderung</t>
  </si>
  <si>
    <t>MKZ in CO2, Berechneter Wert</t>
  </si>
  <si>
    <t>Heizwärmebedarf, Anforderung (kWh/m2)</t>
  </si>
  <si>
    <t>Heizwärmebedarf, berechneter Wert (kWh/m2)</t>
  </si>
  <si>
    <t>Minergi-Kennzahl MKZ, berechneter Wert (kWh/m2)</t>
  </si>
  <si>
    <t>Heizwärmebedarf efüllt?</t>
  </si>
  <si>
    <t>Endenergie ohne PV, Anforderung  (kWh/m2)</t>
  </si>
  <si>
    <t>Endenergie ohne PV, berechneter Wert  (kWh/m2)</t>
  </si>
  <si>
    <t>Endenergie ohne PV erfüllt?</t>
  </si>
  <si>
    <t>Beleuchtung, Anforderung (kWh/m2)</t>
  </si>
  <si>
    <t>Beleuchtung, berechneter Wert (kWh/m2)</t>
  </si>
  <si>
    <t>Beleuchtung erfüllt?</t>
  </si>
  <si>
    <t>Nachweis erarbeitet Durch: Firma (Text)</t>
  </si>
  <si>
    <t>private Kontrolle: Firma (Text)</t>
  </si>
  <si>
    <t>Nachweis erarbeitet Durch: Name (Text)</t>
  </si>
  <si>
    <t>private Kontrolle: Name (Text)</t>
  </si>
  <si>
    <t>private Kontrolle: Ort / Datum / Unterschrift (Text)</t>
  </si>
  <si>
    <t>Nachweis erarbeitet Durch: Ort  / Datum / Unterschrift (Text)</t>
  </si>
  <si>
    <t>Ausführungskontrolle: Gleiche Person</t>
  </si>
  <si>
    <t>Ausführungskontrolle: Andere Person (Text)</t>
  </si>
  <si>
    <t>G53</t>
  </si>
  <si>
    <t>I53</t>
  </si>
  <si>
    <t>G62. G57</t>
  </si>
  <si>
    <t>Teilkennzahl
Bedarf</t>
  </si>
  <si>
    <t>G58</t>
  </si>
  <si>
    <t>H58</t>
  </si>
  <si>
    <t>Anforderung PV (gewichtet)</t>
  </si>
  <si>
    <t>F29</t>
  </si>
  <si>
    <t>Produktion PV (gewichtet)</t>
  </si>
  <si>
    <t>H29</t>
  </si>
  <si>
    <t>MUKEN-Versionsnummer</t>
  </si>
  <si>
    <t>Jahr Nachweisformular</t>
  </si>
  <si>
    <t>Jahresversion Nachweisformular</t>
  </si>
  <si>
    <t>Version Nachweisformular</t>
  </si>
  <si>
    <t>Minergie-Nachweis: Jahresversion und Jahr</t>
  </si>
  <si>
    <t>Gebäudekategorie1, Auswahl-Nr.  (0: leer; 1:MFH; 2: EFH; 3:Verwaltung; 4: Schule; 5: Verkauf; 6: Restaurant; 7: Versammlungslokal; 8: Spital; 9: Industrie; 10: Lager; 11: Sportbau; 12: Hallenbad)</t>
  </si>
  <si>
    <t>Gebäudekategorie4, Auswahl-Nr.  (0: leer; 1:MFH; 2: EFH; 3:Verwaltung; 4: Schule; 5: Verkauf; 6: Restaurant; 7: Versammlungslokal; 8: Spital; 9: Industrie; 10: Lager; 11: Sportbau; 12: Hallenbad)</t>
  </si>
  <si>
    <t>Gebäudekategorie2, Auswahl-Nr.  (0: leer; 1:MFH; 2: EFH; 3:Verwaltung; 4: Schule; 5: Verkauf; 6: Restaurant; 7: Versammlungslokal; 8: Spital; 9: Industrie; 10: Lager; 11: Sportbau; 12: Hallenbad)</t>
  </si>
  <si>
    <t>Gebäudekategorie3, Auswahl-Nr.  (0: leer; 1:MFH; 2: EFH; 3:Verwaltung; 4: Schule; 5: Verkauf; 6: Restaurant; 7: Versammlungslokal; 8: Spital; 9: Industrie; 10: Lager; 11: Sportbau; 12: Hallenbad)</t>
  </si>
  <si>
    <t>Warmwasser1, Auswahl-Nr. (0: leer; 1: Ja; 2:Nein)</t>
  </si>
  <si>
    <t>Warmwasser4, Auswahl-Nr. (0: leer; 1: Ja; 2:Nein)</t>
  </si>
  <si>
    <t>Warmwasser3, Auswahl-Nr. (0: leer; 1: Ja; 2:Nein)</t>
  </si>
  <si>
    <t>Warmwasser2, Auswahl-Nr. (0: leer; 1: Ja; 2:Nein)</t>
  </si>
  <si>
    <t>Neubau1, Auswahl-Nr. (0: leer;  1: Ja;  2: Nein)</t>
  </si>
  <si>
    <t>Neubau4, Auswahl-Nr. (0: leer;  1: Ja;  2: Nein)</t>
  </si>
  <si>
    <t>Neubau2, Auswahl-Nr. (0: leer;  1: Ja;  2: Nein)</t>
  </si>
  <si>
    <t>Neubau3, Auswahl-Nr. (0: leer;  1: Ja;  2: Nein)</t>
  </si>
  <si>
    <t>Standardlüftung1, Auswahl-Nr.  (0: leer; 1: Ja; 2:Nein)</t>
  </si>
  <si>
    <t>Standardlüftung2, Auswahl-Nr.  (0: leer; 1: Ja; 2:Nein)</t>
  </si>
  <si>
    <t>Standardlüftung3, Auswahl-Nr.  (0: leer; 1: Ja; 2:Nein)</t>
  </si>
  <si>
    <t>Standardlüftung4, Auswahl-Nr.  (0: leer; 1: Ja; 2:Nein)</t>
  </si>
  <si>
    <t>Lüftungsart1, Auswahl-Nr.  (0: leer; 1: keine Lüftung; 2: Zu-/Abluft; 3: Lüftung+WRG; 4: Lüftung+WP; 5: nur Abluft; 6: Abluft-WP; 7: Einzelraumlüftung; 8: Aut Fensterl.)</t>
  </si>
  <si>
    <t>Lüftungsart4, Auswahl-Nr.  (0: leer; 1: keine Lüftung; 2: Zu-/Abluft; 3: Lüftung+WRG; 4: Lüftung+WP; 5: nur Abluft; 6: Abluft-WP; 7: Einzelraumlüftung; 8: Aut Fensterl.)</t>
  </si>
  <si>
    <t>Lüftungsart2, Auswahl-Nr.  (0: leer; 1: keine Lüftung; 2: Zu-/Abluft; 3: Lüftung+WRG; 4: Lüftung+WP; 5: nur Abluft; 6: Abluft-WP; 7: Einzelraumlüftung; 8: Aut Fensterl.)</t>
  </si>
  <si>
    <t>Lüftungsart3, Auswahl-Nr.  (0: leer; 1: keine Lüftung; 2: Zu-/Abluft; 3: Lüftung+WRG; 4: Lüftung+WP; 5: nur Abluft; 6: Abluft-WP; 7: Einzelraumlüftung; 8: Aut Fensterl.)</t>
  </si>
  <si>
    <t>WRG1, Auswahl-Nr. (0: leer;  1: keine WRG;  2: Kreuzstrom;  3: Gegensstrom;  4: Rotations-WT;  5: Kreislauf-KVS)</t>
  </si>
  <si>
    <t>WRG2, Auswahl-Nr. (0: leer;  1: keine WRG;  2: Kreuzstrom;  3: Gegensstrom;  4: Rotations-WT;  5: Kreislauf-KVS)</t>
  </si>
  <si>
    <t>WRG3, Auswahl-Nr. (0: leer;  1: keine WRG;  2: Kreuzstrom;  3: Gegensstrom;  4: Rotations-WT;  5: Kreislauf-KVS)</t>
  </si>
  <si>
    <t>WRG4, Auswahl-Nr. (0: leer;  1: keine WRG;  2: Kreuzstrom;  3: Gegensstrom;  4: Rotations-WT;  5: Kreislauf-KVS)</t>
  </si>
  <si>
    <t>Ventilator-Motortyp4, Auswahl-Nr. (0: leer;  1: AC-Motor;  2: DC/EC-Motor)</t>
  </si>
  <si>
    <t>Ventilator-Motortyp1, Auswahl-Nr. (0: leer;  1: AC-Motor;  2: DC/EC-Motor)</t>
  </si>
  <si>
    <t>Ventilator-Motortyp2, Auswahl-Nr. (0: leer;  1: AC-Motor;  2: DC/EC-Motor)</t>
  </si>
  <si>
    <t>Ventilator-Motortyp3, Auswahl-Nr. (0: leer;  1: AC-Motor;  2: DC/EC-Motor)</t>
  </si>
  <si>
    <t>Kühlung oder Befeuchtung 4, Auswahl-Nr. (0: leer;  1: Kühlung;  2: Befeuchtung;  3: Kühl. + Bef.;  4: keine )</t>
  </si>
  <si>
    <t>Kühlung oder Befeuchtung 1, Auswahl-Nr. (0: leer;  1: Kühlung;  2: Befeuchtung;  3: Kühl. + Bef.;  4: keine )</t>
  </si>
  <si>
    <t>Kühlung oder Befeuchtung 2, Auswahl-Nr. (0: leer;  1: Kühlung;  2: Befeuchtung;  3: Kühl. + Bef.;  4: keine )</t>
  </si>
  <si>
    <t>Kühlung oder Befeuchtung 3, Auswahl-Nr. (0: leer;  1: Kühlung;  2: Befeuchtung;  3: Kühl. + Bef.;  4: keine )</t>
  </si>
  <si>
    <t>Anforderung Endenergie ohne PV eingehalten, Auswahl-Nr. (0=leer / 1=Ja / 2=Nein)</t>
  </si>
  <si>
    <t>Mind. 20% erneuerbare Energie für WW bei Rest. / Sportbauten / Hallenbäder, Auswahl-Nr. (0 = leer / 1=Ja / 2=Nein)</t>
  </si>
  <si>
    <t>Anforderung MKZ eingehalten, Auswahl-Nr. (0=leer / 1=Ja / 2=Nein)</t>
  </si>
  <si>
    <t>Warmwasser, Abminderung Armaturen Zone1, Auswahl-Nr. (0=leer / 1=Ja / 2=Nein)</t>
  </si>
  <si>
    <t>Warmwasser, Abminderung Armaturen Zone4, Auswahl-Nr. (0=leer / 1=Ja / 2=Nein)</t>
  </si>
  <si>
    <t>Warmwasser, Abminderung Armaturen Zone3, Auswahl-Nr. (0=leer / 1=Ja / 2=Nein)</t>
  </si>
  <si>
    <t>Warmwasser, Abminderung Armaturen Zone2, Auswahl-Nr. (0=leer / 1=Ja / 2=Nein)</t>
  </si>
  <si>
    <t>Warmwasser, Abminderung Warmhaltung Zone1, Auswahl-Nr.  (0=leer / 1=Ja / 2=Nein)</t>
  </si>
  <si>
    <t>Warmwasser, Abminderung Warmhaltung Zone2, Auswahl-Nr.  (0=leer / 1=Ja / 2=Nein)</t>
  </si>
  <si>
    <t>Warmwasser, Abminderung Warmhaltung Zone3, Auswahl-Nr.  (0=leer / 1=Ja / 2=Nein)</t>
  </si>
  <si>
    <t>Warmwasser, Abminderung Warmhaltung Zone4, Auswahl-Nr. (0=leer / 1=Ja / 2=Nein)</t>
  </si>
  <si>
    <t>Lift vorhanden, Zone1, Auswahl-Nr.  (0=leer / 1=Ja / 2=Nein)</t>
  </si>
  <si>
    <t>Lift vorhanden, Zone2, Auswahl-Nr.  (0=leer / 1=Ja / 2=Nein)</t>
  </si>
  <si>
    <t>Lift vorhanden, Zone3, Auswahl-Nr.  (0=leer / 1=Ja / 2=Nein)</t>
  </si>
  <si>
    <t>Lift vorhanden, Zone4, Auswahl-Nr. (0=leer / 1=Ja / 2=Nein)</t>
  </si>
  <si>
    <t>Alle Geschirrspüler Klasse A+++, Zone1  (0=leer / 1=Ja / 2=Nein)</t>
  </si>
  <si>
    <t>Alle Geschirrspüler Klasse A+++, Zone2 (0=leer / 1=Ja / 2=Nein)</t>
  </si>
  <si>
    <t>Alle Geschirrspüler Klasse A+++, Zone3  (0=leer / 1=Ja / 2=Nein)</t>
  </si>
  <si>
    <t>Alle Geschirrspüler Klasse A+++, Zone4 (0=leer / 1=Ja / 2=Nein)</t>
  </si>
  <si>
    <t>Alle Kühl- und Gefrierschränke A+++, Zone1  (0=leer / 1=Ja / 2=Nein)</t>
  </si>
  <si>
    <t>Alle Kühl- und Gefrierschränke A+++, Zone2  (0=leer / 1=Ja / 2=Nein)</t>
  </si>
  <si>
    <t>Alle Kühl- und Gefrierschränke A+++, Zone3 (0=leer / 1=Ja / 2=Nein)</t>
  </si>
  <si>
    <t>Alle Kühl- und Gefrierschränke A+++, Zone4  (0=leer / 1=Ja / 2=Nein)</t>
  </si>
  <si>
    <t>Alle Waschmaschinen Klasse A+++, Zone1  (0=leer / 1=Ja / 2=Nein)</t>
  </si>
  <si>
    <t>Alle Waschmaschinen Klasse A+++, Zone2 (0=leer / 1=Ja / 2=Nein)</t>
  </si>
  <si>
    <t>Alle Waschmaschinen Klasse A+++, Zone3 (0=leer / 1=Ja / 2=Nein)</t>
  </si>
  <si>
    <t>Alle Waschmaschinen Klasse A+++, Zone4 (0=leer / 1=Ja / 2=Nein)</t>
  </si>
  <si>
    <t>Alle Wäschetrockner Klasse A+++, Zone1 (0=leer / 1=Ja / 2=Nein)</t>
  </si>
  <si>
    <t>Alle Wäschetrockner Klasse A+++, Zone2 (0=leer / 1=Ja / 2=Nein)</t>
  </si>
  <si>
    <t>Alle Wäschetrockner Klasse A+++, Zone3 (0=leer / 1=Ja / 2=Nein)</t>
  </si>
  <si>
    <t>Alle Wäschetrockner Klasse A+++, Zone4 (0=leer / 1=Ja / 2=Nein)</t>
  </si>
  <si>
    <t>Alles Induktionskochherde, Zone1 (0=leer / 1=Ja / 2=Nein)</t>
  </si>
  <si>
    <t>Alles Induktionskochherde, Zone2  (0=leer / 1=Ja / 2=Nein)</t>
  </si>
  <si>
    <t>Alles Induktionskochherde, Zone3  (0=leer / 1=Ja / 2=Nein)</t>
  </si>
  <si>
    <t>Alles Induktionskochherde, Zone4 (0=leer / 1=Ja / 2=Nein)</t>
  </si>
  <si>
    <t>Feste Wohnungsbeleuchtung LED A++, Zone1 (0=leer / 1=Ja / 2=Nein)</t>
  </si>
  <si>
    <t>Feste Wohnungsbeleuchtung LED A++, Zone2 (0=leer / 1=Ja / 2=Nein)</t>
  </si>
  <si>
    <t>Feste Wohnungsbeleuchtung LED A++, Zone3 (0=leer / 1=Ja / 2=Nein)</t>
  </si>
  <si>
    <t>Feste Wohnungsbeleuchtung LED A++, Zone4 (0=leer / 1=Ja / 2=Nein)</t>
  </si>
  <si>
    <t>Allg. Beleuchtung LED A++ &amp; Regelung, Zone1 (0=leer / 1=Ja / 2=Nein)</t>
  </si>
  <si>
    <t>Allg. Beleuchtung LED A++ &amp; Regelung, Zone2 (0=leer / 1=Ja / 2=Nein)</t>
  </si>
  <si>
    <t>Allg. Beleuchtung LED A++ &amp; Regelung, Zone3 (0=leer / 1=Ja / 2=Nein)</t>
  </si>
  <si>
    <t>Allg. Beleuchtung LED A++ &amp; Regelung, Zone4 (0=leer / 1=Ja / 2=Nein)</t>
  </si>
  <si>
    <t>Beleuchtung: Umfassende Sanierung?, Zone1 (0=leer / 1=Ja / 2=Nein)</t>
  </si>
  <si>
    <t>Beleuchtung: Umfassende Sanierung?, Zone2 (0=leer / 1=Ja / 2=Nein)</t>
  </si>
  <si>
    <t>Beleuchtung: Umfassende Sanierung?, Zone3 (0=leer / 1=Ja / 2=Nein)</t>
  </si>
  <si>
    <t>Beleuchtung: Umfassende Sanierung?, Zone4 (0=leer / 1=Ja / 2=Nein)</t>
  </si>
  <si>
    <t>Leuchten: Minergie-Modul oder Klasse A+, Zone1 (0=leer / 1=Ja / 2=Nein)</t>
  </si>
  <si>
    <t>Leuchten: Minergie-Modul oder Klasse A+, Zone2 (0=leer / 1=Ja / 2=Nein)</t>
  </si>
  <si>
    <t>Leuchten: Minergie-Modul oder Klasse A+, Zone3 (0=leer / 1=Ja / 2=Nein)</t>
  </si>
  <si>
    <t>Leuchten: Minergie-Modul oder Klasse A+, Zone4  (0=leer / 1=Ja / 2=Nein)</t>
  </si>
  <si>
    <t>Lichtsteuerung Klasse A++, Zone1 (0=leer / 1=Ja / 2=Nein)</t>
  </si>
  <si>
    <t>Lichtsteuerung Klasse A++, Zone2 (0=leer / 1=Ja / 2=Nein)</t>
  </si>
  <si>
    <t>Lichtsteuerung Klasse A++, Zone3 (0=leer / 1=Ja / 2=Nein)</t>
  </si>
  <si>
    <t>Lichtsteuerung Klasse A++, Zone4 (0=leer / 1=Ja / 2=Nein)</t>
  </si>
  <si>
    <t>Anforderung Beleuchtung eingehalten? (0=leer / 1=efüllt / 2=nicht erfüllt)</t>
  </si>
  <si>
    <t>Luftdichtigkeit der Hüllfläche, Neubau (0=leer / 1=Ja / 2=Nein)</t>
  </si>
  <si>
    <t>Luftdichtigkeit der Hüllfläche, Erneuerung (0=leer / 1=Ja / 2=Nein)</t>
  </si>
  <si>
    <t>20% mit erneuerbarer Energie gedeckt?  (Restaurant, Sportbauten, Hallenbäder) (0=leer / 1=Ja / 2=Nein)</t>
  </si>
  <si>
    <t>Einsatz erneuerbarer Energien, Maximal 30% fossile Spitzenlast: Anforderung erfüllt?  (0=leer / 1=efüllt / 2=nicht erfüllt)</t>
  </si>
  <si>
    <t>Einsatz erneuerbarer Energien, Maximal 30% fossile Spitzenlast? (0=leer / 1=Ja / 2=Nein)</t>
  </si>
  <si>
    <t>20% mit erneuerbarer Energie gedeckt?  (Restaurant, Sportbauten, Hallenbäder): Anforderung erfüllt?  (0=leer / 1=efüllt / 2=nicht erfüllt)</t>
  </si>
  <si>
    <t>Fällt Abwärme an? (0=leer / 1=Ja / 2=Nein)</t>
  </si>
  <si>
    <t>Wird die Abwärme genutzt? (0=leer / 1=Ja / 2=Nein)</t>
  </si>
  <si>
    <t>Optimierter Badebetrieb (Reserve) (0=leer / 1=Ja / 2=Nein)</t>
  </si>
  <si>
    <t>Optimierter Badebetrieb (Reserve): Anforderung erfüllt?  (0=leer / 1=efüllt / 2=nicht erfüllt)</t>
  </si>
  <si>
    <t>Grosse Eingriffe in  Gebäudetechnik?  (0=leer / 1=Ja / 2=Nein)</t>
  </si>
  <si>
    <t>Monitoringkonzept  (0=leer / 1=Ja / 2=Nein)</t>
  </si>
  <si>
    <t>Monitoringkonzept: Anforderung erfüllt?  (0=leer / 1=efüllt / 2=nicht erfüllt)</t>
  </si>
  <si>
    <t>Aussenliegender beweglicher Sonnenschutz. Zone4 (0=leer / 1=Rolläden / 2=Rafflamellen / 3=Modul MINERGIE / 4=andere)</t>
  </si>
  <si>
    <t>Aussenliegender beweglicher Sonnenschutz. Zone1 (0=leer / 1=Rolläden / 2=Rafflamellen / 3=Modul MINERGIE / 4=andere)</t>
  </si>
  <si>
    <t>Aussenliegender beweglicher Sonnenschutz. Zone2 (0=leer / 1=Rolläden / 2=Rafflamellen / 3=Modul MINERGIE / 4=andere)</t>
  </si>
  <si>
    <t>Aussenliegender beweglicher Sonnenschutz. Zone3 (0=leer / 1=Rolläden / 2=Rafflamellen / 3=Modul MINERGIE / 4=andere)</t>
  </si>
  <si>
    <t>Wohnen (EFH, MFH), Räume mit 1 Fassade, Betondecke (&gt;80% frei): - Glasanteil &lt;70%, Zone4  (0=leer / 1=Ja / 2=Nein/ 3=n.a.)</t>
  </si>
  <si>
    <t>Wohnen (EFH, MFH), Räume mit 1 Fassade, Betondecke (&gt;80% frei): - Glasanteil &lt;70%, Zone1  (0=leer / 1=Ja / 2=Nein/ 3=n.a.)</t>
  </si>
  <si>
    <t>Wohnen (EFH, MFH), Räume mit 1 Fassade, Betondecke (&gt;80% frei): - Glasanteil &lt;70%, Zone2  (0=leer / 1=Ja / 2=Nein/ 3=n.a.)</t>
  </si>
  <si>
    <t>Wohnen (EFH, MFH), Räume mit 1 Fassade, Betondecke (&gt;80% frei): - Glasanteil &lt;70%, Zone3  (0=leer / 1=Ja / 2=Nein/ 3=n.a.)</t>
  </si>
  <si>
    <t>Wärmeschutz erfüllt, Zone4  (0=leer / 1=Ja / 2=Nein)</t>
  </si>
  <si>
    <t>Wärmeschutz erfüllt, Zone3  (0=leer / 1=Ja / 2=Nein)</t>
  </si>
  <si>
    <t>Wärmeschutz erfüllt, Zone2  (0=leer / 1=Ja / 2=Nein)</t>
  </si>
  <si>
    <t>Wärmeschutz erfüllt, Zone1  (0=leer / 1=Ja / 2=Nein)</t>
  </si>
  <si>
    <t>Die Zone ist gekühlt und OK. Zone4  (0=leer / 1=Ja / 2=Nein)</t>
  </si>
  <si>
    <t>Die Zone ist gekühlt und OK. Zone3  (0=leer / 1=Ja / 2=Nein)</t>
  </si>
  <si>
    <t>Die Zone ist gekühlt und OK. Zone2  (0=leer / 1=Ja / 2=Nein)</t>
  </si>
  <si>
    <t>Die Zone ist gekühlt und OK. Zone1  (0=leer / 1=Ja / 2=Nein)</t>
  </si>
  <si>
    <t>Die Grenzwertkurve SIA 382/1wird ohne Kühlung an weniger als 100 h überschritten. Zone4  (0=leer / 1=Ja / 2=Nein)</t>
  </si>
  <si>
    <t>Die Grenzwertkurve SIA 382/1wird ohne Kühlung an weniger als 100 h überschritten. Zone1  (0=leer / 1=Ja / 2=Nein)</t>
  </si>
  <si>
    <t>Die Grenzwertkurve SIA 382/1wird ohne Kühlung an weniger als 100 h überschritten. Zone2  (0=leer / 1=Ja / 2=Nein)</t>
  </si>
  <si>
    <t>Die Grenzwertkurve SIA 382/1wird ohne Kühlung an weniger als 100 h überschritten. Zone3  (0=leer / 1=Ja / 2=Nein)</t>
  </si>
  <si>
    <t>Sommerlicher Wärmeschutz ohne Kühlung erfüllt.  Zone1  (0=leer / 1=Ja / 2=Nein/ 3=n.a.)</t>
  </si>
  <si>
    <t>Sommerlicher Wärmeschutz ohne Kühlung erfüllt.  Zone2  (0=leer / 1=Ja / 2=Nein/ 3=n.a.)</t>
  </si>
  <si>
    <t>Sommerlicher Wärmeschutz ohne Kühlung erfüllt.  Zone3  (0=leer / 1=Ja / 2=Nein/ 3=n.a.)</t>
  </si>
  <si>
    <t>Sommerlicher Wärmeschutz ohne Kühlung erfüllt.  Zone4  (0=leer / 1=Ja / 2=Nein/ 3=n.a.)</t>
  </si>
  <si>
    <t>Einzelbüro, Gruppenbüro, Sitzungszimmer mit 1 Fassade, Betondecke:- Glasanteil &lt;50% und MSR Sonnenschutzes,  Zone1  (0=leer / 1=Ja / 2=Nein/ 3=n.a.)</t>
  </si>
  <si>
    <t>Einzelbüro, Gruppenbüro, Sitzungszimmer mit 1 Fassade, Betondecke:- Glasanteil &lt;50% und MSR Sonnenschutzes,  Zone2  (0=leer / 1=Ja / 2=Nein/ 3=n.a.)</t>
  </si>
  <si>
    <t>Einzelbüro, Gruppenbüro, Sitzungszimmer mit 1 Fassade, Betondecke:- Glasanteil &lt;50% und MSR Sonnenschutzes,  Zone3  (0=leer / 1=Ja / 2=Nein/ 3=n.a.)</t>
  </si>
  <si>
    <t>Einzelbüro, Gruppenbüro, Sitzungszimmer mit 1 Fassade, Betondecke:- Glasanteil &lt;50% und MSR Sonnenschutzes,  Zone4  (0=leer / 1=Ja / 2=Nein/ 3=n.a.)</t>
  </si>
  <si>
    <t>Einzelbüro, Gruppenbüro, Sitzungszimmer als Eckzimmer, Betondecke: - Glasanteil &lt;35% und MSR Sonnenschutzes, Zone1  (0=leer / 1=Ja / 2=Nein/ 3=n.a.)</t>
  </si>
  <si>
    <t>Einzelbüro, Gruppenbüro, Sitzungszimmer als Eckzimmer, Betondecke: - Glasanteil &lt;35% und MSR Sonnenschutzes, Zone2  (0=leer / 1=Ja / 2=Nein/ 3=n.a.)</t>
  </si>
  <si>
    <t>Einzelbüro, Gruppenbüro, Sitzungszimmer als Eckzimmer, Betondecke: - Glasanteil &lt;35% und MSR Sonnenschutzes, Zone3  (0=leer / 1=Ja / 2=Nein/ 3=n.a.)</t>
  </si>
  <si>
    <t>Einzelbüro, Gruppenbüro, Sitzungszimmer als Eckzimmer, Betondecke: - Glasanteil &lt;35% und MSR Sonnenschutzes, Zone4  (0=leer / 1=Ja / 2=Nein/ 3=n.a.)</t>
  </si>
  <si>
    <t>Wohnen (EFH, MFH), 1 Fassade oder Eckzimmer: - Glasanteil &lt;40%, Zone1  (0=leer / 1=Ja / 2=Nein/ 3=n.a.)</t>
  </si>
  <si>
    <t>Wohnen (EFH, MFH), 1 Fassade oder Eckzimmer: - Glasanteil &lt;40%, Zone2  (0=leer / 1=Ja / 2=Nein/ 3=n.a.)</t>
  </si>
  <si>
    <t>Wohnen (EFH, MFH), 1 Fassade oder Eckzimmer: - Glasanteil &lt;40%, Zone3  (0=leer / 1=Ja / 2=Nein/ 3=n.a.)</t>
  </si>
  <si>
    <t>Wohnen (EFH, MFH), 1 Fassade oder Eckzimmer: - Glasanteil &lt;40%, Zone4  (0=leer / 1=Ja / 2=Nein/ 3=n.a.)</t>
  </si>
  <si>
    <t>Wohnen (EFH, MFH), Räume mit 1 Fassade, Süd-Orientierung und Verschattung durch Balkon von min. 1 m Tiefe. Zone1  (0=leer / 1=Ja / 2=Nein/ 3=n.a.)</t>
  </si>
  <si>
    <t>Wohnen (EFH, MFH), Räume mit 1 Fassade, Süd-Orientierung und Verschattung durch Balkon von min. 1 m Tiefe. Zone2  (0=leer / 1=Ja / 2=Nein/ 3=n.a.)</t>
  </si>
  <si>
    <t>Wohnen (EFH, MFH), Räume mit 1 Fassade, Süd-Orientierung und Verschattung durch Balkon von min. 1 m Tiefe. Zone3  (0=leer / 1=Ja / 2=Nein/ 3=n.a.)</t>
  </si>
  <si>
    <t>Wohnen (EFH, MFH), Räume mit 1 Fassade, Süd-Orientierung und Verschattung durch Balkon von min. 1 m Tiefe. Zone4  (0=leer / 1=Ja / 2=Nein/ 3=n.a.)</t>
  </si>
  <si>
    <t>Wohnen (EFH,MFH), Eckzimmer; Betondecke (&gt;80% frei):- Glasanteil pro Fassade &lt;50%. Zone1  (0=leer / 1=Ja / 2=Nein/ 3=n.a.)</t>
  </si>
  <si>
    <t>Wohnen (EFH,MFH), Eckzimmer; Betondecke (&gt;80% frei):- Glasanteil pro Fassade &lt;50%. Zone2  (0=leer / 1=Ja / 2=Nein/ 3=n.a.)</t>
  </si>
  <si>
    <t>Wohnen (EFH,MFH), Eckzimmer; Betondecke (&gt;80% frei):- Glasanteil pro Fassade &lt;50%. Zone3  (0=leer / 1=Ja / 2=Nein/ 3=n.a.)</t>
  </si>
  <si>
    <t>Wohnen (EFH,MFH), Eckzimmer; Betondecke (&gt;80% frei):- Glasanteil pro Fassade &lt;50%. Zone4  (0=leer / 1=Ja / 2=Nein/ 3=n.a.)</t>
  </si>
  <si>
    <t>MKZ erfüllt?   (0=leer / 1=Ja / 2=Nein)</t>
  </si>
  <si>
    <t>Heizwärmebedarf efüllt?   (0=leer / 1=Ja / 2=Nein)</t>
  </si>
  <si>
    <t>Endenergie ohne PV erfüllt?   (0=leer / 1=Ja / 2=Nein)</t>
  </si>
  <si>
    <t>Beleuchtung erfüllt?   (0=leer / 1=Ja / 2=Nein)</t>
  </si>
  <si>
    <t>Ausführungskontrolle: Gleiche Person   (0=leer / 1=Ja / 2=Nein)</t>
  </si>
  <si>
    <t>Minergie-Kennzahl in kg CO2/m2</t>
  </si>
  <si>
    <t>Keine Anforderungen</t>
  </si>
  <si>
    <t>F31</t>
  </si>
  <si>
    <t>kg CO2 / m2</t>
  </si>
  <si>
    <t>Rechenwert Qh:</t>
  </si>
  <si>
    <r>
      <t>Q</t>
    </r>
    <r>
      <rPr>
        <vertAlign val="subscript"/>
        <sz val="9"/>
        <rFont val="Arial"/>
        <family val="2"/>
      </rPr>
      <t>h</t>
    </r>
    <r>
      <rPr>
        <sz val="9"/>
        <rFont val="Arial"/>
        <family val="2"/>
      </rPr>
      <t xml:space="preserve"> = </t>
    </r>
  </si>
  <si>
    <t>Erfüllung der Zusatzanforderungen</t>
  </si>
  <si>
    <t xml:space="preserve">kWp </t>
  </si>
  <si>
    <t>Eigenstromerzeugung</t>
  </si>
  <si>
    <t>Minimale Grösse der Eigenstromerzeugung:</t>
  </si>
  <si>
    <t>Anzahl Wohneinheiten</t>
  </si>
  <si>
    <t>Allgemeinstrom</t>
  </si>
  <si>
    <t>Produktion
(gewichtet)</t>
  </si>
  <si>
    <t>Anforderung Minergie-A: 
Teilkennzahl Beleuchtung, Geräte und allg. Gebäudetechnik ist kleiner als die Eigenproduktion</t>
  </si>
  <si>
    <t>Stromproduktion deckt Bedarf:</t>
  </si>
  <si>
    <t>Minergie - A</t>
  </si>
  <si>
    <r>
      <t>kWh/m</t>
    </r>
    <r>
      <rPr>
        <vertAlign val="superscript"/>
        <sz val="9"/>
        <rFont val="Arial"/>
        <family val="2"/>
      </rPr>
      <t xml:space="preserve">2 </t>
    </r>
  </si>
  <si>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</si>
  <si>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</si>
  <si>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</si>
  <si>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</si>
  <si>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</si>
  <si>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</si>
  <si>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</si>
  <si>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</si>
  <si>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</si>
  <si>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</si>
  <si>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</si>
  <si>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</si>
  <si>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</si>
  <si>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</si>
  <si>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</si>
  <si>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</si>
  <si>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</si>
  <si>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</si>
  <si>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</si>
  <si>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</si>
  <si>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</si>
  <si>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</si>
  <si>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</si>
  <si>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</si>
  <si>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</si>
  <si>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</si>
  <si>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</si>
  <si>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 xml:space="preserve">N° MOP: </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</si>
  <si>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</si>
  <si>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</si>
  <si>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</si>
  <si>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</si>
  <si>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</si>
  <si>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</si>
  <si>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</si>
  <si>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</si>
  <si>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lave-vaisselle sont de classe A+++</t>
  </si>
  <si>
    <t>Tous les réfrigérateurs et congélateurs sont de classe A+++</t>
  </si>
  <si>
    <t>Tous les lave-linge sont de classe A+++</t>
  </si>
  <si>
    <t>Tous les sèche-linge sont de classe A+++</t>
  </si>
  <si>
    <t>Toutes les cuisinières sont à induction</t>
  </si>
  <si>
    <t>Eclairage résidentiel fixe LED A++</t>
  </si>
  <si>
    <t>Eclairage général LED A++ &amp; régulation</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</si>
  <si>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</si>
  <si>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</si>
  <si>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</si>
  <si>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</si>
  <si>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</si>
  <si>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</si>
  <si>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</si>
  <si>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</si>
  <si>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</si>
  <si>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</si>
  <si>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</si>
  <si>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</si>
  <si>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</si>
  <si>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</si>
  <si>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</si>
  <si>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</si>
  <si>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</si>
  <si>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</si>
  <si>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</si>
  <si>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</si>
  <si>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</si>
  <si>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</si>
  <si>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</si>
  <si>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</si>
  <si>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</si>
  <si>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Eclairage: valeur du projet SIA 380/4</t>
  </si>
  <si>
    <t>Eclairage: valeur cible SIA 380/4</t>
  </si>
  <si>
    <t>Exigence éclairage respectée?</t>
  </si>
  <si>
    <t xml:space="preserve"> - Longueur des bandes de chauffage</t>
  </si>
  <si>
    <t>Eclairage: rénovation complète?</t>
  </si>
  <si>
    <t>Puissance installée spécifique, par m2 SRE: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</si>
  <si>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</si>
  <si>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</si>
  <si>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</si>
  <si>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</si>
  <si>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</si>
  <si>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</si>
  <si>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</si>
  <si>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</si>
  <si>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</si>
  <si>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</si>
  <si>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</si>
  <si>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</si>
  <si>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</si>
  <si>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</si>
  <si>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</si>
  <si>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</si>
  <si>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</si>
  <si>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</si>
  <si>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Max. besoins autorisés</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</si>
  <si>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</si>
  <si>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</si>
  <si>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</si>
  <si>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</si>
  <si>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</si>
  <si>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</si>
  <si>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</si>
  <si>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</si>
  <si>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</si>
  <si>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</si>
  <si>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</si>
  <si>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</si>
  <si>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</si>
  <si>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</si>
  <si>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</si>
  <si>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</si>
  <si>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</si>
  <si>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</si>
  <si>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</si>
  <si>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</si>
  <si>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</si>
  <si>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</si>
  <si>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</si>
  <si>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</si>
  <si>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</si>
  <si>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</si>
  <si>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</si>
  <si>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</si>
  <si>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</si>
  <si>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</si>
  <si>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</si>
  <si>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</si>
  <si>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</si>
  <si>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</si>
  <si>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</si>
  <si>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</si>
  <si>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</si>
  <si>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</si>
  <si>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</si>
  <si>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</si>
  <si>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Tutte le lavastoviglie classe A+++</t>
  </si>
  <si>
    <t>Tutti i congelatori classe A+++</t>
  </si>
  <si>
    <t>Tutti le macchine da lavare classe A+++</t>
  </si>
  <si>
    <t>Tutti le asciugatrici classe A+++</t>
  </si>
  <si>
    <t>Tutti i piani di cottura ad induzione</t>
  </si>
  <si>
    <t>Illuminazione fissa con LED A++</t>
  </si>
  <si>
    <t>Illuminazione generale LED A++ e regolazione</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</si>
  <si>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</si>
  <si>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</si>
  <si>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</si>
  <si>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</si>
  <si>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</si>
  <si>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</si>
  <si>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</si>
  <si>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</si>
  <si>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</si>
  <si>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</si>
  <si>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</si>
  <si>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</si>
  <si>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</si>
  <si>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</si>
  <si>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</si>
  <si>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</si>
  <si>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</si>
  <si>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</si>
  <si>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</si>
  <si>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</si>
  <si>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</si>
  <si>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</si>
  <si>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</si>
  <si>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</si>
  <si>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</si>
  <si>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</si>
  <si>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Illuminazione: valori di progetto SIA 380/4</t>
  </si>
  <si>
    <t>Illuminazione: valori mirati SIA 380/4</t>
  </si>
  <si>
    <t>I requisiti sull'illuminazione sono rispettati?</t>
  </si>
  <si>
    <t>Illuminazione: risanamento completo?</t>
  </si>
  <si>
    <t>Potenza specifica installata per m2 AE</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</si>
  <si>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</si>
  <si>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</si>
  <si>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</si>
  <si>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</si>
  <si>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</si>
  <si>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</si>
  <si>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</si>
  <si>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</si>
  <si>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</si>
  <si>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</si>
  <si>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</si>
  <si>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</si>
  <si>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</si>
  <si>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</si>
  <si>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</si>
  <si>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</si>
  <si>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Valore limite Minergieper l'illuminazione in kWh/m2</t>
  </si>
  <si>
    <t>Visualizzazione Indice Minergie</t>
  </si>
  <si>
    <t>Riscaldamento</t>
  </si>
  <si>
    <t>Illuminazione</t>
  </si>
  <si>
    <t>Apparecchi</t>
  </si>
  <si>
    <t>Impiantistica dell'edificio</t>
  </si>
  <si>
    <t>Fabbisogno d'energia finale</t>
  </si>
  <si>
    <t>Indice Minergie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</si>
  <si>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</si>
  <si>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</si>
  <si>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</si>
  <si>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</si>
  <si>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</si>
  <si>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</si>
  <si>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</si>
  <si>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</si>
  <si>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</si>
  <si>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</si>
  <si>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</si>
  <si>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</si>
  <si>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</si>
  <si>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</si>
  <si>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</si>
  <si>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</si>
  <si>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</si>
  <si>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</si>
  <si>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</si>
  <si>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</si>
  <si>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</si>
  <si>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Pondera-
zione</t>
  </si>
  <si>
    <t>Total /
Moyenne</t>
  </si>
  <si>
    <t>Effiziente Geräte Allgemeinstrom, Zone1</t>
  </si>
  <si>
    <t>Effiziente Geräte Allgemeinstrom, Zone1  (0=leer / 1=Ja / 2=Nein)</t>
  </si>
  <si>
    <t>Effiziente Geräte Allgemeinstrom, Zone2</t>
  </si>
  <si>
    <t>Effiziente Geräte Allgemeinstrom, Zone2  (0=leer / 1=Ja / 2=Nein)</t>
  </si>
  <si>
    <t>Effiziente Geräte Allgemeinstrom, Zone3</t>
  </si>
  <si>
    <t>Effiziente Geräte Allgemeinstrom, Zone3  (0=leer / 1=Ja / 2=Nein)</t>
  </si>
  <si>
    <t>Effiziente Geräte Allgemeinstrom, Zone4</t>
  </si>
  <si>
    <t>Effiziente Geräte Allgemeinstrom, Zone4  (0=leer / 1=Ja / 2=Nein)</t>
  </si>
  <si>
    <t>EBF inkl. Nutzung Hallenbad</t>
  </si>
  <si>
    <t>Minimale Grösse der der Eigenstromerzeugung [kWp]</t>
  </si>
  <si>
    <t>spezifische, installierte Leistung ohne WKK pro m2 EBF:</t>
  </si>
  <si>
    <t>Nennleistung Eigenstromerzeugung (ohne WKK) [kWp]</t>
  </si>
  <si>
    <t>Anforderung Eigenstromerzeugung erfüllt?</t>
  </si>
  <si>
    <t>Anforderung Eigenstromerzeugung erfüllt? (0=leer / 1=Ja / 2=Nein)</t>
  </si>
  <si>
    <t>Sommerlicher Wärmeschutz erfüllt?</t>
  </si>
  <si>
    <t>Sommerlicher Wärmeschutz erfüllt?  (0=leer / 1=Ja / 2=Nein)</t>
  </si>
  <si>
    <t>Blatt "Standardwerte", U39:AC43, Werte angepasst</t>
  </si>
  <si>
    <t>Luftwechsel bei Kleinanlagen mit Standardwerten teilweise zu hoch.</t>
  </si>
  <si>
    <t>Blatt "Nachweis", F10,F14,F18,F22 angepasst</t>
  </si>
  <si>
    <t>Neu Darstellung des thermischen Solareertrages kWh/m2 (Rechenwert)</t>
  </si>
  <si>
    <r>
      <t>kWh/m</t>
    </r>
    <r>
      <rPr>
        <b/>
        <i/>
        <vertAlign val="superscript"/>
        <sz val="9"/>
        <rFont val="Arial"/>
        <family val="2"/>
      </rPr>
      <t>2</t>
    </r>
  </si>
  <si>
    <t>MKZ,HLK, kWh/m2</t>
  </si>
  <si>
    <t>MKZ,ww,  kWh/m2</t>
  </si>
  <si>
    <t>MKZ,El,Wohnen  kWh/m2</t>
  </si>
  <si>
    <t>MKZ,Bel  kWh/m2</t>
  </si>
  <si>
    <t>MKZ,Geräte  kWh/m2</t>
  </si>
  <si>
    <t>MKZ,AGT  kWh/m2</t>
  </si>
  <si>
    <t>E,EB  kWh/m2</t>
  </si>
  <si>
    <t>E,Netz  kWh</t>
  </si>
  <si>
    <t>elektrischer Jahresbedarf Lüftung  kWh/m2</t>
  </si>
  <si>
    <t>elektrischer Jahresbedarf Klimatisierung  kWh/m2</t>
  </si>
  <si>
    <t>Blatt "MINERGIE", O57-R57, O59-R59, O63-R63, Gewichtungsfaktor 2 in Formel entfernt</t>
  </si>
  <si>
    <t>Gemäss MINERGIE-Reglement sind Werte in Tabelle 3, 4, 5 schon gewichtet</t>
  </si>
  <si>
    <t>Blatt "Standardwerte" AD72-AD83 gemäss neuem Reglementsentwurf angepasst</t>
  </si>
  <si>
    <t>Tabelle 3 (Strom Beleuchtung) in MINERGIE-Reglement mit neuen Werten</t>
  </si>
  <si>
    <t>gewichtete Endenergie Strom Wärmeerzeugung A</t>
  </si>
  <si>
    <t>gewichtete Endenergie Strom Wärmeerzeugung B</t>
  </si>
  <si>
    <t>gewichtete Endenergie Strom Wärmeerzeugung C</t>
  </si>
  <si>
    <t>gewichtete Endenergie Strom Wärmeerzeugung D</t>
  </si>
  <si>
    <t>gewichtete Endenergie Strom Wärmeerzeugung E</t>
  </si>
  <si>
    <t>gewichtete Endenergie andere (ohne Strom) Wärmeerzeugung A</t>
  </si>
  <si>
    <t>gewichtete Endenergie andere (ohne Strom) Wärmeerzeugung E</t>
  </si>
  <si>
    <t>gewichtete Endenergie andere (ohne Strom) Wärmeerzeugung D</t>
  </si>
  <si>
    <t>gewichtete Endenergie andere (ohne Strom) Wärmeerzeugung C</t>
  </si>
  <si>
    <t>gewichtete Endenergie andere (ohne Strom) Wärmeerzeugung B</t>
  </si>
  <si>
    <t>gewichtete Endenergie Strom Lüftung</t>
  </si>
  <si>
    <t>gewichtete Endenergie Strom Klima + Hilfsbetriebe</t>
  </si>
  <si>
    <t>Blatt "Standardwerte", J10-K21, Werte gemäss MUKEN 2014 eingefügt.</t>
  </si>
  <si>
    <t>Grenzwerte Qh,li Muken 2014 unterscheiden sich von SIA 380/1:2009. Neu gilt MUKEN.</t>
  </si>
  <si>
    <t>Blatt "MINERGIE",  S54, Formel für kleine Zweckbauten angepasst</t>
  </si>
  <si>
    <t>Bei kleinen Zweck-Neubauten fehlte Standard-Wert Beleuchtung. Korrigiert.</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</si>
  <si>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</si>
  <si>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</si>
  <si>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</si>
  <si>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</si>
  <si>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</si>
  <si>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</si>
  <si>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</si>
  <si>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Dimensione minima della produzione propria di elettricità:</t>
  </si>
  <si>
    <t>Numero unità abitative</t>
  </si>
  <si>
    <t>Apparecchi efficienti corrente comune</t>
  </si>
  <si>
    <t>Potenza nominale (senza cogenerazione) [kWp]</t>
  </si>
  <si>
    <t>Appareils efficaces Electricité générale</t>
  </si>
  <si>
    <t>Nombre d’unités d’habitation</t>
  </si>
  <si>
    <t>Exigence Minergie-A: 
l'indice partiel éclairage, appareils et installations techniques générales est inférieur à l'autoproduction</t>
  </si>
  <si>
    <t>Taille minimale de l'installation d’autoproduction d’électricité:</t>
  </si>
  <si>
    <t>Les besoins sont couverts par la production d’électricité:</t>
  </si>
  <si>
    <t>La produzione di elettricità copre il fabbisogno:</t>
  </si>
  <si>
    <t>Pas d’exigence</t>
  </si>
  <si>
    <t>Autoproduction d‘électricité</t>
  </si>
  <si>
    <t>EBF,neu</t>
  </si>
  <si>
    <t>%</t>
  </si>
  <si>
    <t>Blatt "MINERGIE",  V25-Y25, Formel angepasst, neu  Qh nur noch berücksichtigt, falls Grenzwert vorhanden</t>
  </si>
  <si>
    <t>Bei Primäranforderungen war das Qh auch der MINERGIE-Altbauten enthalten. Korriegiert.</t>
  </si>
  <si>
    <t>Zulässiger Höchstanteil nicht erneuerbarer Energie (nur Neubauten)</t>
  </si>
  <si>
    <r>
      <t>Q</t>
    </r>
    <r>
      <rPr>
        <vertAlign val="subscript"/>
        <sz val="9"/>
        <rFont val="Arial"/>
        <family val="2"/>
      </rPr>
      <t>h,li nicht ern.</t>
    </r>
    <r>
      <rPr>
        <sz val="9"/>
        <rFont val="Arial"/>
        <family val="2"/>
      </rPr>
      <t xml:space="preserve"> = </t>
    </r>
  </si>
  <si>
    <r>
      <t>Q</t>
    </r>
    <r>
      <rPr>
        <vertAlign val="subscript"/>
        <sz val="9"/>
        <rFont val="Arial"/>
        <family val="2"/>
      </rPr>
      <t xml:space="preserve">ww, Neubau </t>
    </r>
    <r>
      <rPr>
        <sz val="9"/>
        <rFont val="Arial"/>
        <family val="2"/>
      </rPr>
      <t xml:space="preserve">= </t>
    </r>
  </si>
  <si>
    <r>
      <t>Q</t>
    </r>
    <r>
      <rPr>
        <vertAlign val="subscript"/>
        <sz val="9"/>
        <rFont val="Arial"/>
        <family val="2"/>
      </rPr>
      <t xml:space="preserve">ww,li, Neubau </t>
    </r>
    <r>
      <rPr>
        <sz val="9"/>
        <rFont val="Arial"/>
        <family val="2"/>
      </rPr>
      <t xml:space="preserve">= </t>
    </r>
  </si>
  <si>
    <r>
      <t>Q</t>
    </r>
    <r>
      <rPr>
        <vertAlign val="subscript"/>
        <sz val="9"/>
        <rFont val="Arial"/>
        <family val="2"/>
      </rPr>
      <t xml:space="preserve">h+ww,li, Neubau </t>
    </r>
    <r>
      <rPr>
        <sz val="9"/>
        <rFont val="Arial"/>
        <family val="2"/>
      </rPr>
      <t xml:space="preserve">= </t>
    </r>
  </si>
  <si>
    <t>Max. 30%</t>
  </si>
  <si>
    <t>Rechenwert nicht erneuerbarer Energie (nur Neubauten)</t>
  </si>
  <si>
    <r>
      <t>Q</t>
    </r>
    <r>
      <rPr>
        <vertAlign val="subscript"/>
        <sz val="9"/>
        <rFont val="Arial"/>
        <family val="2"/>
      </rPr>
      <t xml:space="preserve">ww, nicht erneuer </t>
    </r>
    <r>
      <rPr>
        <sz val="9"/>
        <rFont val="Arial"/>
        <family val="2"/>
      </rPr>
      <t xml:space="preserve">= </t>
    </r>
  </si>
  <si>
    <r>
      <t>Q</t>
    </r>
    <r>
      <rPr>
        <vertAlign val="subscript"/>
        <sz val="9"/>
        <rFont val="Arial"/>
        <family val="2"/>
      </rPr>
      <t xml:space="preserve">h+ww, nicht ern. </t>
    </r>
    <r>
      <rPr>
        <sz val="9"/>
        <rFont val="Arial"/>
        <family val="2"/>
      </rPr>
      <t xml:space="preserve">= </t>
    </r>
  </si>
  <si>
    <t>Blatt "Uebersicht",  Stromproduktion deckt Bedarf (MINERGIE-A), neu auf Zeile 43</t>
  </si>
  <si>
    <t>Einfügen Nachweis Höchstanteil an nich erneuerbarer Energie</t>
  </si>
  <si>
    <t>Blatt "Standardwerte", AS106-AS153,  erneuerbarer Anteil eingefügt</t>
  </si>
  <si>
    <t>Grundlage für Berechnung Höchstanteil an nich erneuerbarer Energie</t>
  </si>
  <si>
    <t>Blatt "Nachweis", AI2-AK45, Berechnung Anteil nicht erneuerbarer Energie eingefügt</t>
  </si>
  <si>
    <t>Blatt "Uebersicht",  B42-K42, Höchstanteil nicht erneuerbarer Energie eingefügt</t>
  </si>
  <si>
    <t>Blatt "MINERGIE", B76-K77, Zwischenformel für die Eingabe des freiwilligen Beleuchtungsnachweises</t>
  </si>
  <si>
    <t>Grundlage für die Berechnung des freiwilligen Beleuchtungsnachweises bei Zweckbauten</t>
  </si>
  <si>
    <t>Blatt "MINERGIE", U43-AA46, Zwischenformel für die Eingabe des freiwilligen Beleuchtungsnachweises</t>
  </si>
  <si>
    <t>Blatt "MINERGIE", K48, K49, O57-R57, S50, V49-Y54: Formeln angepasst</t>
  </si>
  <si>
    <t>Berechnung des freiwilligen Beleuchtungsnachweises bei Zweckbauten ergänzt</t>
  </si>
  <si>
    <t>Anforderung Höchstanteil nicht erneuerbarer Energie</t>
  </si>
  <si>
    <t>Rechenwert Höchstanteil nicht erneuerbarer Energie</t>
  </si>
  <si>
    <t xml:space="preserve">Anforderung Höchstanteil nicht erneuerbarer Energie erfüllt? </t>
  </si>
  <si>
    <t>Anforderung Höchstanteil nicht erneuerbarer Energie erfüllt?   (0=leer / 1=Ja / 2=Nein)</t>
  </si>
  <si>
    <t>Stromproduktion deckt Bedarf (MINERGIE-A): Anforderungswert</t>
  </si>
  <si>
    <t>Stromproduktion deckt Bedarf (MINERGIE-A): Rechenwert</t>
  </si>
  <si>
    <t>Stromproduktion deckt Bedarf (MINERGIE-A)</t>
  </si>
  <si>
    <t>Stromproduktion deckt Bedarf (MINERGIE-A)   (0=leer / 1=Ja / 2=Nein)</t>
  </si>
  <si>
    <t>Höchstanteil an nich erneuerbarer Energie ergänzt</t>
  </si>
  <si>
    <t>Blatt "MOP", A531-C539 ergänzt</t>
  </si>
  <si>
    <t>Blatt "Standardwerte", AF9-DA9, Formel angepasst</t>
  </si>
  <si>
    <t>Keine Abfrage mehr der Zusatzbedingung des Höchstanteils an nichterneuerbarer Energie</t>
  </si>
  <si>
    <t>Blatt "Eingaben"K83, Formel für Qe angepasst</t>
  </si>
  <si>
    <t>Bei Altbauten wurde bisher die Lüftung auf dem Nachweisblatt nicht eingerechnet</t>
  </si>
  <si>
    <t>Blatt "Eingaben"K84, Formel für E_Qk angepasst</t>
  </si>
  <si>
    <t>Bei Altbauten wurde bisher der Strombedarf Klima auf dem Nachweisblatt nicht eingerechnet</t>
  </si>
  <si>
    <t>Standardbedarf Elektrizität war um Faktor 2 zu hoch (Tabellenwerte mit Gewichtungsfaktor)</t>
  </si>
  <si>
    <t>Blatt "MINERGIE",  V49-Y49 und V53-Y53, Ebel,standard falsch. Formel korrigiert.</t>
  </si>
  <si>
    <t>Blatt "MINERGIE", W49-Y49, Formel angepasst</t>
  </si>
  <si>
    <t>Grenzwert für MKZ in Blatt "Nachweis" bei mehr als 1 Zone falsch berechnet</t>
  </si>
  <si>
    <t>Blatt "Standardwerte", Y144-Y149, Wert für maximalen COP fehlt. Neu: Max-Wert = Standard +1.2</t>
  </si>
  <si>
    <t>Division durch Null bei Wärmeerzeugung Lüftungs-Wärmepumpen, wenn nicht Standardwert</t>
  </si>
  <si>
    <t>Rubans chauffants</t>
  </si>
  <si>
    <t>Cavi riscaldanti</t>
  </si>
  <si>
    <t>Begleitheizbänder</t>
  </si>
  <si>
    <t>Blatt "Standardwerte", V141-Y141, Begleitheizbänder statt PV</t>
  </si>
  <si>
    <t>Photovoltiaik bei der Wärmeerzeugung durch PV ersetzt.</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</si>
  <si>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</si>
  <si>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</si>
  <si>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</si>
  <si>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</si>
  <si>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</si>
  <si>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</si>
  <si>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</si>
  <si>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</si>
  <si>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</si>
  <si>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</si>
  <si>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</si>
  <si>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</si>
  <si>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</si>
  <si>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Blatt "MINERGIE" B17-I18, neu Warmwasser Rechenwert und Eingabe SIA 385 für Berechnung MKZ</t>
  </si>
  <si>
    <t>Neu: Optionale Eingabe Warmwasserbedarf nach SIA 385 für Berechnung MKZ</t>
  </si>
  <si>
    <t>Blatt "MINERGIE" O19-R19, Formel angepasst für optionale Eingabe Warmwasserbedarf nach SIA 385</t>
  </si>
  <si>
    <t>Blatt "Uebersicht" K30-K42: Neu grün bei Ja und rot bei nein</t>
  </si>
  <si>
    <t>Farbliche Hervorhebung wenn erfüllt / nicht erfüllt</t>
  </si>
  <si>
    <t>Blatt "Eingaben" E46: Standard-Eingabe MJ/m2 und rote Schrift des Feldes</t>
  </si>
  <si>
    <t>Eingaben Qh neu auch bei MINERGIE immer MJ/m2</t>
  </si>
  <si>
    <t>Warmwasserbedarf, Rechenwert MKZ, Zone1 kWh/m2</t>
  </si>
  <si>
    <t>Warmwasserbedarf, Rechenwert MKZ, Zone2, kWh/m2</t>
  </si>
  <si>
    <t>Warmwasserbedarf, Rechenwert MKZ, Zone3, kWh/m2</t>
  </si>
  <si>
    <t>Warmwasserbedarf, Rechenwert MKZ, Zone4, kWh/m2</t>
  </si>
  <si>
    <t>WärmeerzeugungA, Auswahl-Nr.  (0: leer;  1: Oelfeuerung;  13: Elektro direkt,  58: Begleitheizbänder, etc.)</t>
  </si>
  <si>
    <t>WärmeerzeugungD, Auswahl-Nr.  (0: leer;  1: Oelfeuerung;  13: Elektro direkt,  58: Begleitheizbänder, etc.)</t>
  </si>
  <si>
    <t>WärmeerzeugungC, Auswahl-Nr.  (0: leer;  1: Oelfeuerung;  13: Elektro direkt,  58: Begleitheizbänder, etc.)</t>
  </si>
  <si>
    <t>WärmeerzeugungB, Auswahl-Nr.  (0: leer;  1: Oelfeuerung;  13: Elektro direkt,  58: Begleitheizbänder, etc.)</t>
  </si>
  <si>
    <t>Blatt "Standardwerte" AN141 = 58</t>
  </si>
  <si>
    <t>Neue Nr. für Begleitheizband in MOP = 58</t>
  </si>
  <si>
    <t>Mieterausbau</t>
  </si>
  <si>
    <t>unbekannter Mieterausbau</t>
  </si>
  <si>
    <t>Zweckbau</t>
  </si>
  <si>
    <t>Nachw.erford.</t>
  </si>
  <si>
    <t>Zweckneubau</t>
  </si>
  <si>
    <t>Total</t>
  </si>
  <si>
    <t>freiw. Nachw.</t>
  </si>
  <si>
    <t>freiw. gewählt</t>
  </si>
  <si>
    <t>Zweckumbau</t>
  </si>
  <si>
    <t>EBF Zweckneu</t>
  </si>
  <si>
    <t>umf. Sanierung</t>
  </si>
  <si>
    <t>EBF Bel.Nachw.</t>
  </si>
  <si>
    <t>Zw. ohne Nachw</t>
  </si>
  <si>
    <t>EBF Zw. ohne Nachweis</t>
  </si>
  <si>
    <t>Beleuchtung Zweckbauten ohne Mieterausbau</t>
  </si>
  <si>
    <r>
      <t>MKZ</t>
    </r>
    <r>
      <rPr>
        <vertAlign val="subscript"/>
        <sz val="9"/>
        <rFont val="Arial"/>
        <family val="2"/>
      </rPr>
      <t>Bel,Mieterausbau</t>
    </r>
  </si>
  <si>
    <t>Zwingender Beleuchtungsnachweis</t>
  </si>
  <si>
    <t>Beleuchtungsnachweis zwingend, da umfassende Sanierung</t>
  </si>
  <si>
    <t>Freiwilliger Beleuchtungsnachweis</t>
  </si>
  <si>
    <t>Zweckbau ohne Nachweis</t>
  </si>
  <si>
    <r>
      <t>E</t>
    </r>
    <r>
      <rPr>
        <vertAlign val="subscript"/>
        <sz val="10"/>
        <rFont val="Arial"/>
        <family val="2"/>
      </rPr>
      <t>Bel,Standard</t>
    </r>
  </si>
  <si>
    <r>
      <t>E</t>
    </r>
    <r>
      <rPr>
        <vertAlign val="subscript"/>
        <sz val="10"/>
        <rFont val="Arial"/>
        <family val="2"/>
      </rPr>
      <t xml:space="preserve">SIA380/4,ta </t>
    </r>
    <r>
      <rPr>
        <sz val="10"/>
        <rFont val="Arial"/>
        <family val="2"/>
      </rPr>
      <t>(Zielwert)</t>
    </r>
  </si>
  <si>
    <r>
      <t>E</t>
    </r>
    <r>
      <rPr>
        <vertAlign val="subscript"/>
        <sz val="10"/>
        <rFont val="Arial"/>
        <family val="2"/>
      </rPr>
      <t xml:space="preserve">SIA380/4,Bel </t>
    </r>
    <r>
      <rPr>
        <sz val="10"/>
        <rFont val="Arial"/>
        <family val="2"/>
      </rPr>
      <t>(Projektwert)</t>
    </r>
  </si>
  <si>
    <t>Stand.Beleucht.x 1.2</t>
  </si>
  <si>
    <t>EBF Zweckbau</t>
  </si>
  <si>
    <t>Zweckbau (ohne Mieterausbau)</t>
  </si>
  <si>
    <t>Mieterausbau Zweckbauten</t>
  </si>
  <si>
    <t>Allgemeine Gebäudetechnik bei Zweckbauten</t>
  </si>
  <si>
    <t>Minergie-Kennzahl MKZ</t>
  </si>
  <si>
    <r>
      <t>Aufteilung MKZ</t>
    </r>
    <r>
      <rPr>
        <b/>
        <vertAlign val="subscript"/>
        <sz val="10"/>
        <rFont val="Arial"/>
        <family val="2"/>
      </rPr>
      <t>HLK</t>
    </r>
    <r>
      <rPr>
        <b/>
        <sz val="10"/>
        <rFont val="Arial"/>
        <family val="2"/>
      </rPr>
      <t xml:space="preserve"> in Heizung und Lüftung/Klima:</t>
    </r>
  </si>
  <si>
    <r>
      <t>MKZ</t>
    </r>
    <r>
      <rPr>
        <vertAlign val="subscript"/>
        <sz val="9"/>
        <rFont val="Arial"/>
        <family val="2"/>
      </rPr>
      <t>H</t>
    </r>
    <r>
      <rPr>
        <sz val="9"/>
        <rFont val="Arial"/>
        <family val="2"/>
      </rPr>
      <t xml:space="preserve"> = </t>
    </r>
  </si>
  <si>
    <r>
      <t>MKZ</t>
    </r>
    <r>
      <rPr>
        <vertAlign val="subscript"/>
        <sz val="9"/>
        <rFont val="Arial"/>
        <family val="2"/>
      </rPr>
      <t>LK</t>
    </r>
    <r>
      <rPr>
        <sz val="9"/>
        <rFont val="Arial"/>
        <family val="2"/>
      </rPr>
      <t xml:space="preserve"> = </t>
    </r>
  </si>
  <si>
    <t>Lüftung + Klima</t>
  </si>
  <si>
    <t>PV nicht anrechenbar</t>
  </si>
  <si>
    <t>Reihe 1:</t>
  </si>
  <si>
    <t>Reihe 2:</t>
  </si>
  <si>
    <t>Reihe 3:</t>
  </si>
  <si>
    <t>Berechnung des Standard-Bedarfs:</t>
  </si>
  <si>
    <r>
      <t>E</t>
    </r>
    <r>
      <rPr>
        <vertAlign val="subscript"/>
        <sz val="9"/>
        <rFont val="Arial"/>
        <family val="2"/>
      </rPr>
      <t>hlwk,li</t>
    </r>
  </si>
  <si>
    <t>Grenzwert E hlwk,li</t>
  </si>
  <si>
    <t>M63</t>
  </si>
  <si>
    <t>M65</t>
  </si>
  <si>
    <t>M56</t>
  </si>
  <si>
    <t>Qh</t>
  </si>
  <si>
    <t>Luftdichtheit der Hüllfläche</t>
  </si>
  <si>
    <t>Etanchéité de la surface de l'enveloppe</t>
  </si>
  <si>
    <t>Ermeticità involucro</t>
  </si>
  <si>
    <t>Le débit d'air neuf thermiquement actif calculé en F45-I45, est à introduire dans le calcul des besoins de chaleur pour le chauffage (SIA 380/1)</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</si>
  <si>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</si>
  <si>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</si>
  <si>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</si>
  <si>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</si>
  <si>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</si>
  <si>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</si>
  <si>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</si>
  <si>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</si>
  <si>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</si>
  <si>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</si>
  <si>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Blatt "MINERGIE", B16-K16, neue Zusatzeingabe Mieterausbau</t>
  </si>
  <si>
    <t>Neu: Zweckbauten mit Mieterausbau: MKZ,Bel / Geräte = 1.2 x Standardwert</t>
  </si>
  <si>
    <t>Blatt "MINERGIE", N46-T56, Neues Berechnungsfeld für Berechnung Mieterausbau MKZ,Bel</t>
  </si>
  <si>
    <t>Neu: Hilfsberechnungen Mieterausbau und Berechnung MKZ,Bel Mieterausbau</t>
  </si>
  <si>
    <t>MKZ,Geräte bei Mieterausbau neu 1.2 x Standardwert</t>
  </si>
  <si>
    <t>Blatt "MINERGIE", N74-T92, neues Feld mit Hilfsberechnungen für Beleuchtung Zweckbauten</t>
  </si>
  <si>
    <t>Blatt "MINERGIE", O59-S59, Anpassung Formel für MKZ,Geräte bei Mieterausbau</t>
  </si>
  <si>
    <t>Blatt "MINERGIE", F48-K49, neue Formatierung basierend auf Hilfsberechnung Felder N74-T92</t>
  </si>
  <si>
    <t>1. Mieterausbau, 2. Zweckbau &gt;250m2, 3. grosser Eingriff Technik, 4. Freiwillig 380/4</t>
  </si>
  <si>
    <t>Formatierungen neu auf den Zellen der Hilfsberechnung N74-T92</t>
  </si>
  <si>
    <t>Blatt "MINERGIE", G56-K56: Neue Eingabefelder für Batterie und Batterieverluste</t>
  </si>
  <si>
    <t>Blatt "MINERGIE",S45 und S63: Batterieverluste addiert</t>
  </si>
  <si>
    <t>MKZ,el wohnen oder MKZ AGT neu mit Batterieverlusten</t>
  </si>
  <si>
    <t>Blatt "MINERGIE", G55-K55: Darstellungsreihenfolge geändert</t>
  </si>
  <si>
    <t>Besser lesbares Formular</t>
  </si>
  <si>
    <t>Blatt "MINERGIE", N94-S98: Neue Hilfsberechnung für MKZ Heizen, Warmwasser, Lüftung/Kühlung</t>
  </si>
  <si>
    <t>Separate Darstellung der Energieverluste Lüftung/Kühlung auf Blatt Uebersicht</t>
  </si>
  <si>
    <t>Blatt "Uebersicht", B44-K63: Neugestaltung grafische Darstellung und Farben Diagramm</t>
  </si>
  <si>
    <t>Neugestaltung gemäss Wunsch MINERGIE-Agentur</t>
  </si>
  <si>
    <t>Blatt "Eingaben" und "MINEREGIE": Diverse Anpassungen Zellengrössen</t>
  </si>
  <si>
    <t>Verbesserte Darstellung der französischen Sprachvesion</t>
  </si>
  <si>
    <t>Blatt "MINEREGIE", D50-K50, Neue Darstellung + Angabe Rechenwert Beleuchtung Zweckbauten</t>
  </si>
  <si>
    <t>Es wird neu der Rechenwert für den Strombedarf Beleuchtung dargestellt</t>
  </si>
  <si>
    <t>Blatt "Uebersicht", B39-L40: Reihenfolge der Zeile 39-40 getauscht</t>
  </si>
  <si>
    <t>Reihenfolge gemäss Wunsch MINERGIE-Agentur</t>
  </si>
  <si>
    <t>Unbekannter Mieterausbau, Zone1</t>
  </si>
  <si>
    <t>Unbekannter Mieterausbau, Zone2</t>
  </si>
  <si>
    <t>Unbekannter Mieterausbau, Zone3</t>
  </si>
  <si>
    <t>Unbekannter Mieterausbau, Zone4</t>
  </si>
  <si>
    <t>Unbekannter Mieterausbau, Zone1   (0=leer / 1=Ja / 2=Nein)</t>
  </si>
  <si>
    <t>Unbekannter Mieterausbau, Zone2   (0=leer / 1=Ja / 2=Nein)</t>
  </si>
  <si>
    <t>Unbekannter Mieterausbau, Zone3   (0=leer / 1=Ja / 2=Nein)</t>
  </si>
  <si>
    <t>Unbekannter Mieterausbau, Zone4   (0=leer / 1=Ja / 2=Nein)</t>
  </si>
  <si>
    <t>MKZBel,Mieterausbau, Zone1</t>
  </si>
  <si>
    <t>MKZBel,Mieterausbau, Zone2</t>
  </si>
  <si>
    <t>MKZBel,Mieterausbau, Zone3</t>
  </si>
  <si>
    <t>MKZBel,Mieterausbau, Zone4</t>
  </si>
  <si>
    <t>MKZBel,Mieterausbau, total</t>
  </si>
  <si>
    <t>MKZBel,Standard, Zone1</t>
  </si>
  <si>
    <t>MKZBel,Standard, Zone2</t>
  </si>
  <si>
    <t>MKZBel,Standard, Zone3</t>
  </si>
  <si>
    <t>MKZBel,Standard, Zone4</t>
  </si>
  <si>
    <t>MKZBel,Standard, total</t>
  </si>
  <si>
    <t>MKZBel,gross, Zone1</t>
  </si>
  <si>
    <t>MKZBel,gross, Zone2</t>
  </si>
  <si>
    <t>MKZBel,gross, Zone3</t>
  </si>
  <si>
    <t>MKZBel,gross, Zone4</t>
  </si>
  <si>
    <t>MKZBel,gross, total</t>
  </si>
  <si>
    <t>MKZAGT, Zone1</t>
  </si>
  <si>
    <t>MKZAGT, Zone2</t>
  </si>
  <si>
    <t>MKZAGT, Zone3</t>
  </si>
  <si>
    <t>MKZAGT, Zone4</t>
  </si>
  <si>
    <t>MKZAGT, total</t>
  </si>
  <si>
    <t>MKZGeräte, Zone1</t>
  </si>
  <si>
    <t>MKZGeräte, Zone2</t>
  </si>
  <si>
    <t>MKZGeräte, Zone3</t>
  </si>
  <si>
    <t>MKZGeräte, Zone4</t>
  </si>
  <si>
    <t>MKZGeräte, total</t>
  </si>
  <si>
    <t>MKZEl,Wohnen, Zone1</t>
  </si>
  <si>
    <t>MKZEl,Wohnen, Zone2</t>
  </si>
  <si>
    <t>MKZEl,Wohnen, Zone3</t>
  </si>
  <si>
    <t>MKZEl,Wohnen, Zone4</t>
  </si>
  <si>
    <t>MKZEl,Wohnen, total</t>
  </si>
  <si>
    <t>MKZHLK, Zone1</t>
  </si>
  <si>
    <t>MKZHLK, Zone2</t>
  </si>
  <si>
    <t>MKZHLK, Zone3</t>
  </si>
  <si>
    <t>MKZHLK, Zone4</t>
  </si>
  <si>
    <t>MKZHLK, total</t>
  </si>
  <si>
    <t>MKZww, Zone1</t>
  </si>
  <si>
    <t>MKZww, Zone2</t>
  </si>
  <si>
    <t>MKZww, Zone3</t>
  </si>
  <si>
    <t>MKZww, Zone4</t>
  </si>
  <si>
    <t>MKZww, total</t>
  </si>
  <si>
    <t>MKZH, Zone1</t>
  </si>
  <si>
    <t>MKZH, Zone2</t>
  </si>
  <si>
    <t>MKZH, Zone3</t>
  </si>
  <si>
    <t>MKZH, Zone4</t>
  </si>
  <si>
    <t>MKZH, total</t>
  </si>
  <si>
    <t>MKZLK, Zone1</t>
  </si>
  <si>
    <t>MKZLK, Zone2</t>
  </si>
  <si>
    <t>MKZLK, Zone3</t>
  </si>
  <si>
    <t>MKZLK, Zone4</t>
  </si>
  <si>
    <t>MKZLK, total</t>
  </si>
  <si>
    <t>M67</t>
  </si>
  <si>
    <t>Grenzwert MKZ,li,ZB wurde in Ver. 1.22 bei externem Beleuchtungsnachweis falsch berechnet.</t>
  </si>
  <si>
    <t>Grün (1 = Ja / 0 = Nein)</t>
  </si>
  <si>
    <t>Blatt "Uebersicht", K50, fehlerhafter Bezug korrigiert</t>
  </si>
  <si>
    <t>Blatt "MINERGIE",  V39-Y39, fehlerhafter Bezug in Formel. Korrigiert.</t>
  </si>
  <si>
    <t>Wert für MKZ,LK auf K50 falsch. Bezug korrigiert.</t>
  </si>
  <si>
    <t>Blatt "Uebersicht", Darstellung des Standaardbedarfs gemäss Wunsch MINERGIE angepasst.</t>
  </si>
  <si>
    <t>Blatt "Nachweis", G40 -L40, Formel für MINERGIE-A geändert</t>
  </si>
  <si>
    <t>Neu gleiche Berechnung für Strom Klima und Hilfsbetriebe für MINERGIE-A wie MINERGIE</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</si>
  <si>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</si>
  <si>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</si>
  <si>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</si>
  <si>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</si>
  <si>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</si>
  <si>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</si>
  <si>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</si>
  <si>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</si>
  <si>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</si>
  <si>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</si>
  <si>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</si>
  <si>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</si>
  <si>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</si>
  <si>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</si>
  <si>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</si>
  <si>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</si>
  <si>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</si>
  <si>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</si>
  <si>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</si>
  <si>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</si>
  <si>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</si>
  <si>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</si>
  <si>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</si>
  <si>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</si>
  <si>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</si>
  <si>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</si>
  <si>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</si>
  <si>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</si>
  <si>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</si>
  <si>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</si>
  <si>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</si>
  <si>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</si>
  <si>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</si>
  <si>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</si>
  <si>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</si>
  <si>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Portata d'aria esterna termicamcamente det.</t>
  </si>
  <si>
    <t>Fabb. elettricità raffreddamento e umidificazione</t>
  </si>
  <si>
    <t>Raffreddamento o umidificazione?</t>
  </si>
  <si>
    <t>È previsto un raffreddamento o un'umidificazione?</t>
  </si>
  <si>
    <t>Portata d'aria esterna termicamente det.</t>
  </si>
  <si>
    <t>Strombedarf Kälteförderung</t>
  </si>
  <si>
    <t>Besoins d'électricité pour le transport du froid</t>
  </si>
  <si>
    <t>Fabb. di elettricità per il trasporto di freddo</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</si>
  <si>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</si>
  <si>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</si>
  <si>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</si>
  <si>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</si>
  <si>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</si>
  <si>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</si>
  <si>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</si>
  <si>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</si>
  <si>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</si>
  <si>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</si>
  <si>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</si>
  <si>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</si>
  <si>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</si>
  <si>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</si>
  <si>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</si>
  <si>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</si>
  <si>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</si>
  <si>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</si>
  <si>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</si>
  <si>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</si>
  <si>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Effiziente Geräte Gebäudebetrieb/Wohnnutzung</t>
  </si>
  <si>
    <t>Beleuchtung: Projektwert SIA 380/4 (ungew.)</t>
  </si>
  <si>
    <t>Beleuchtung: Zielwert SIA 380/4 (ungew.)</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</si>
  <si>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</si>
  <si>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</si>
  <si>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</si>
  <si>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</si>
  <si>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</si>
  <si>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</si>
  <si>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</si>
  <si>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</si>
  <si>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</si>
  <si>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</si>
  <si>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</si>
  <si>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</si>
  <si>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</si>
  <si>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</si>
  <si>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</si>
  <si>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</si>
  <si>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</si>
  <si>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</si>
  <si>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</si>
  <si>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</si>
  <si>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</si>
  <si>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</si>
  <si>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</si>
  <si>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</si>
  <si>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</si>
  <si>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</si>
  <si>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</si>
  <si>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</si>
  <si>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</si>
  <si>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</si>
  <si>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</si>
  <si>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Questo formulario di verifica è necessario per la verifica dello standard Minergie, Minergie-P e Minergie A. Lo standard corrispon-</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</si>
  <si>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</si>
  <si>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</si>
  <si>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</si>
  <si>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</si>
  <si>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</si>
  <si>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</si>
  <si>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</si>
  <si>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</si>
  <si>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</si>
  <si>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</si>
  <si>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</si>
  <si>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M33</t>
  </si>
  <si>
    <t>M34</t>
  </si>
  <si>
    <t>M35</t>
  </si>
  <si>
    <t>M36</t>
  </si>
  <si>
    <t>M37</t>
  </si>
  <si>
    <t>M38</t>
  </si>
  <si>
    <t>M40</t>
  </si>
  <si>
    <t>M41</t>
  </si>
  <si>
    <t>M48</t>
  </si>
  <si>
    <t>M66</t>
  </si>
  <si>
    <t>M68</t>
  </si>
  <si>
    <t>M70</t>
  </si>
  <si>
    <t>M71</t>
  </si>
  <si>
    <t>M69</t>
  </si>
  <si>
    <t>S6</t>
  </si>
  <si>
    <t>S18</t>
  </si>
  <si>
    <t>S20</t>
  </si>
  <si>
    <t>S30</t>
  </si>
  <si>
    <t>S35</t>
  </si>
  <si>
    <t>S43</t>
  </si>
  <si>
    <t>S45</t>
  </si>
  <si>
    <t>S47</t>
  </si>
  <si>
    <t>S48</t>
  </si>
  <si>
    <t>S52</t>
  </si>
  <si>
    <t>U20</t>
  </si>
  <si>
    <t>U21</t>
  </si>
  <si>
    <t>U22</t>
  </si>
  <si>
    <t>U28</t>
  </si>
  <si>
    <t>U30</t>
  </si>
  <si>
    <t>U31</t>
  </si>
  <si>
    <t>U35</t>
  </si>
  <si>
    <t>U37</t>
  </si>
  <si>
    <t>U38</t>
  </si>
  <si>
    <t>U39</t>
  </si>
  <si>
    <t>U40</t>
  </si>
  <si>
    <t>U41</t>
  </si>
  <si>
    <t>U42</t>
  </si>
  <si>
    <t>U43</t>
  </si>
  <si>
    <t>U44</t>
  </si>
  <si>
    <t>U46</t>
  </si>
  <si>
    <t>U48</t>
  </si>
  <si>
    <t>U50</t>
  </si>
  <si>
    <t>U52</t>
  </si>
  <si>
    <t>U54</t>
  </si>
  <si>
    <t>U56</t>
  </si>
  <si>
    <t>U58</t>
  </si>
  <si>
    <t>U60</t>
  </si>
  <si>
    <t>U62</t>
  </si>
  <si>
    <t>U63</t>
  </si>
  <si>
    <t>U9</t>
  </si>
  <si>
    <t>Bisheriger Toleranzbereich beim Vergleich Anforderung - Rechenwert durch Rundung ersetzt</t>
  </si>
  <si>
    <t>Blatt "Nachweis", L58-L59, Rundung beim Vergleich Ist-Soll je auf eine Stelle nach Komma</t>
  </si>
  <si>
    <t>Blatt "Uebersicht", K30-K43, Rundung beim Vergleich Ist-Soll je auf eine oder 2 Stelle nach Komma</t>
  </si>
  <si>
    <t>Blatt "Uebersicht", K45-K63, Abkürzungen MKZ neu aus Uebersetzungsliste</t>
  </si>
  <si>
    <t>MKZ-Variablen werden neu in italienischer Version übersetzt (nicht aber auf französisch)</t>
  </si>
  <si>
    <t xml:space="preserve">Blatt "Nachweis", B59, Text neu aus Uebersetzungsliste </t>
  </si>
  <si>
    <t>Blätter "Eingaben", "MINERGIE", "Sommer", "Nachweis", "Uebersicht", neue Zeilennummerierung</t>
  </si>
  <si>
    <t>In Kolonne A wird überall die Zeilennumer = Zeilennummer der Zelle eingegeben.</t>
  </si>
  <si>
    <t>Blatt "Uebersetzung", neue Uebersetzungen</t>
  </si>
  <si>
    <t>Neue Übersetzungsliste von MINERGIE vom 2. 5. 2017</t>
  </si>
  <si>
    <t>Blätter "Eingaben", "MINERGIE", "Sommer", "Nachweis", "Uebersicht", Formatierungen angepasst</t>
  </si>
  <si>
    <t>Formatierungsanpassungen gemäss neuer Üebersetzungsliste / Ausdruck mit Zeilennummern</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</si>
  <si>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</si>
  <si>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</si>
  <si>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</si>
  <si>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</si>
  <si>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</si>
  <si>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</si>
  <si>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</si>
  <si>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</si>
  <si>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</si>
  <si>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</si>
  <si>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</si>
  <si>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</si>
  <si>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</si>
  <si>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Concetto dell'ermeticità  è stato allegato?</t>
  </si>
  <si>
    <t>Konzept Lufdichtheit beigelegt?</t>
  </si>
  <si>
    <t>Konzept Lufdichtheit und Messkonzept beigelegt?</t>
  </si>
  <si>
    <t>Concept d'étanchéité et de mesure annexé?</t>
  </si>
  <si>
    <t>Concetto dell'ermeticità e di misura è stato allegato?</t>
  </si>
  <si>
    <t>Blatt "MINERGIE",  D63 - K71, Neugestaltung</t>
  </si>
  <si>
    <t>Keine Eingabemöglichkeit für Objektwerte mehr</t>
  </si>
  <si>
    <t>MINERGIE: Konzept Luftdichtheit / MINERGIE-A/-P zusätzlich Messkonzept erforderlich</t>
  </si>
  <si>
    <t>Blatt "Standardwerte"  BA6, Anpassungen Luftdichtheitsanforderungen</t>
  </si>
  <si>
    <t>EBF ohne Hall.</t>
  </si>
  <si>
    <t>Blatt "MINERGIE", Z40, Formel neu ohne Hallenbad</t>
  </si>
  <si>
    <t>Berechnung Grenzwert MINERGIE ohne Berücksichtigung Hallenbadanteil</t>
  </si>
  <si>
    <t>Fehler bei Auswahl Hallenbad. Neu Standard-Beleuchtung inkl. Hallenbad.</t>
  </si>
  <si>
    <t>Blatt "MINERGIE", O90-R90, V48-y48, Formel neu inkl. Bezug auf  Hallenbad</t>
  </si>
  <si>
    <t>Blatt "MINERGIE", v13-y13, Primäranforderung ZA1 bei Hallenbad angepasst</t>
  </si>
  <si>
    <t>Bei Hallenbad-Sanierungen gilt für ZA1 der Neubau-Grenzwert</t>
  </si>
  <si>
    <t>Bei Nutzung Hallenbad gibt es keine MINERGIE-Kennzahl</t>
  </si>
  <si>
    <t>Blatt "MINERGIE", O16-R16, O98-R99, Null wenn Hallenbad</t>
  </si>
  <si>
    <t>Blatt "MINERGIE", O89-S89, Null wenn Hallenbad</t>
  </si>
  <si>
    <t>Hallenbad wird bei Berechnung der MINERGIE-Kennzahl nicht berücksichtigt</t>
  </si>
  <si>
    <t>Blatt "Sommer", I27-L29, n.a.  Eingefüllt.</t>
  </si>
  <si>
    <t>Beim sommerlichen Wärmeschutz sollte nicht erfüllt stehen, wenn alles n.a. eingegeben.</t>
  </si>
  <si>
    <t>Blatt "Sommer", Zeile 26 eingeblendet und Text für Lager eingefüllt.</t>
  </si>
  <si>
    <t>Lager mit geringen, internen Wärmelasten ergänzt</t>
  </si>
  <si>
    <t>Blatt "Eingaben", F40-I41  hellgelb bei behördlichem Nachweis und keine Standardlüftung</t>
  </si>
  <si>
    <t xml:space="preserve">Neue Zeile 94 mit Kriterium für hellgelbe Eingabefarbe bei behördlichem Nachweis </t>
  </si>
  <si>
    <t>Wärmeerzeuger</t>
  </si>
  <si>
    <t>Erz. A</t>
  </si>
  <si>
    <t>Erz. B</t>
  </si>
  <si>
    <t>Erz. C</t>
  </si>
  <si>
    <t>Erz. D</t>
  </si>
  <si>
    <t>Name</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</si>
  <si>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</si>
  <si>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</si>
  <si>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</si>
  <si>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</si>
  <si>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</si>
  <si>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</si>
  <si>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</si>
  <si>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</si>
  <si>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</si>
  <si>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</si>
  <si>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</si>
  <si>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</si>
  <si>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</si>
  <si>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</si>
  <si>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</si>
  <si>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</si>
  <si>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</si>
  <si>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</si>
  <si>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</si>
  <si>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</si>
  <si>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</si>
  <si>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Abitazione plurif.</t>
  </si>
  <si>
    <t>Abitazione monof.</t>
  </si>
  <si>
    <t>Amministrazione</t>
  </si>
  <si>
    <t>Scuola</t>
  </si>
  <si>
    <t>Negozio</t>
  </si>
  <si>
    <t>Ristorante</t>
  </si>
  <si>
    <t>Locale pubblico</t>
  </si>
  <si>
    <t>Ospedale</t>
  </si>
  <si>
    <t>Industria</t>
  </si>
  <si>
    <t>Magazzino</t>
  </si>
  <si>
    <t>Impianto sportivo</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</si>
  <si>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</si>
  <si>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</si>
  <si>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</si>
  <si>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</si>
  <si>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</si>
  <si>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</si>
  <si>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</si>
  <si>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</si>
  <si>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</si>
  <si>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</si>
  <si>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</si>
  <si>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</si>
  <si>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</si>
  <si>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</si>
  <si>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</si>
  <si>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</si>
  <si>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</si>
  <si>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</si>
  <si>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</si>
  <si>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</si>
  <si>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</si>
  <si>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</si>
  <si>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</si>
  <si>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</si>
  <si>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</si>
  <si>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</si>
  <si>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</si>
  <si>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</si>
  <si>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</si>
  <si>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</si>
  <si>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</si>
  <si>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</si>
  <si>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</si>
  <si>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Blatt "PVopti" als Schnittstelle zum Tool PVopti neu eingefügt</t>
  </si>
  <si>
    <t>Berechnung EVR (Standardwert)</t>
  </si>
  <si>
    <t>Wärmebedarf</t>
  </si>
  <si>
    <t>Wärme 1</t>
  </si>
  <si>
    <t>Wärme 2</t>
  </si>
  <si>
    <t>Wärme 3</t>
  </si>
  <si>
    <t>Wärme 4</t>
  </si>
  <si>
    <t>Wärme 5</t>
  </si>
  <si>
    <t>Wärmepumpe</t>
  </si>
  <si>
    <t>Anteil WP</t>
  </si>
  <si>
    <r>
      <t>MKZ</t>
    </r>
    <r>
      <rPr>
        <vertAlign val="subscript"/>
        <sz val="9"/>
        <rFont val="Arial"/>
        <family val="2"/>
      </rPr>
      <t>L</t>
    </r>
    <r>
      <rPr>
        <sz val="9"/>
        <rFont val="Arial"/>
        <family val="2"/>
      </rPr>
      <t xml:space="preserve"> = </t>
    </r>
  </si>
  <si>
    <r>
      <t>f</t>
    </r>
    <r>
      <rPr>
        <vertAlign val="subscript"/>
        <sz val="9"/>
        <rFont val="Arial"/>
        <family val="2"/>
      </rPr>
      <t>fr,PV</t>
    </r>
  </si>
  <si>
    <r>
      <t>E</t>
    </r>
    <r>
      <rPr>
        <vertAlign val="subscript"/>
        <sz val="9"/>
        <rFont val="Arial"/>
        <family val="2"/>
      </rPr>
      <t>el,b</t>
    </r>
    <r>
      <rPr>
        <sz val="9"/>
        <rFont val="Arial"/>
        <family val="2"/>
      </rPr>
      <t xml:space="preserve"> </t>
    </r>
  </si>
  <si>
    <r>
      <t>E</t>
    </r>
    <r>
      <rPr>
        <vertAlign val="subscript"/>
        <sz val="9"/>
        <rFont val="Arial"/>
        <family val="2"/>
      </rPr>
      <t>PV</t>
    </r>
    <r>
      <rPr>
        <sz val="9"/>
        <rFont val="Arial"/>
        <family val="2"/>
      </rPr>
      <t xml:space="preserve"> </t>
    </r>
  </si>
  <si>
    <r>
      <t>C</t>
    </r>
    <r>
      <rPr>
        <vertAlign val="subscript"/>
        <sz val="9"/>
        <rFont val="Arial"/>
        <family val="2"/>
      </rPr>
      <t>Bat</t>
    </r>
  </si>
  <si>
    <t>Blatt "MINERGIE": Formel für Standardwerte der Eigenverbrauchsrate eingefügt</t>
  </si>
  <si>
    <t xml:space="preserve"> - Wärmerückgewinnung Abwasser in %</t>
  </si>
  <si>
    <t>Blatt "MINERGIE": Zeile 21 eingefügt</t>
  </si>
  <si>
    <t>Wärmerückgewinnung aus Abwasser: Eingabefeld eingefügt.</t>
  </si>
  <si>
    <t>Blatt "MINERGIE": F17 - I17, für angepasst</t>
  </si>
  <si>
    <t>Wärmerückgewinnung aus Abwasser in Formel für Wärme für Warmwasserbedarf eingefügt.</t>
  </si>
  <si>
    <t>Blatt "MINERGIE": AD32-AG32, Formel angepasst</t>
  </si>
  <si>
    <t>Rechenwert fossile Wärmeerzeugung mit Qh statt Qh,eff berechnet. Angepasst.</t>
  </si>
  <si>
    <t>Blatt "Uebersicht",  F42-I42, Angabe neu in % statt in kWh/m2. Formel angepasst.</t>
  </si>
  <si>
    <t>Hochstanteil fossiler Energie für Neubauten: Neu in % statt in kWh/m2 angeben.</t>
  </si>
  <si>
    <t>Spez. Jahresertrag ohne WP</t>
  </si>
  <si>
    <t>Spez. Jahresertrag mit WP</t>
  </si>
  <si>
    <t>Spez. Jahresertrag effektiv</t>
  </si>
  <si>
    <t>in Prozent:</t>
  </si>
  <si>
    <t>1.30</t>
  </si>
  <si>
    <t>Blatt "MINERGIE": AI69-AI70, Formel angepasst</t>
  </si>
  <si>
    <t>Formeln für spez. Jahresertrag gemäss Angaben MINERGIE angepasst.</t>
  </si>
  <si>
    <t>Blatt "MINERGIE": AI63, spez. Strombedarf neu mit Strom Wärmeerzeugung</t>
  </si>
  <si>
    <t>Strombedarf für Berechnung Eigenstrombezug inkl. Strom Wärmeerzeugung</t>
  </si>
  <si>
    <t>Blatt "MINERGIE": O54-R54 / O90-R90, Auswahlbereich zu klein. Formel angepasst.</t>
  </si>
  <si>
    <t>Fehlermeldung bei Nutzung Hallenbad</t>
  </si>
  <si>
    <r>
      <t>Q</t>
    </r>
    <r>
      <rPr>
        <vertAlign val="subscript"/>
        <sz val="9"/>
        <rFont val="Arial"/>
        <family val="2"/>
      </rPr>
      <t xml:space="preserve">h,eff Neubau </t>
    </r>
    <r>
      <rPr>
        <sz val="9"/>
        <rFont val="Arial"/>
        <family val="2"/>
      </rPr>
      <t xml:space="preserve">= </t>
    </r>
  </si>
  <si>
    <r>
      <t>Q</t>
    </r>
    <r>
      <rPr>
        <vertAlign val="subscript"/>
        <sz val="9"/>
        <rFont val="Arial"/>
        <family val="2"/>
      </rPr>
      <t xml:space="preserve">h,eff nicht erneuer </t>
    </r>
    <r>
      <rPr>
        <sz val="9"/>
        <rFont val="Arial"/>
        <family val="2"/>
      </rPr>
      <t xml:space="preserve">= </t>
    </r>
  </si>
  <si>
    <t>Wohnstrom</t>
  </si>
  <si>
    <t>Electricité d'habitation</t>
  </si>
  <si>
    <t>Elettricità d'abitazione</t>
  </si>
  <si>
    <t>Blatt "Uebersetzung":E443-G443, Uebersetzung angepasst.</t>
  </si>
  <si>
    <t>Auf Blatt Uebersicht Wohnen durch Wohnstrom ersetzt.</t>
  </si>
  <si>
    <t xml:space="preserve"> - Récupération de chaleur des eaux usées  [%]</t>
  </si>
  <si>
    <t xml:space="preserve"> - Scambiatore termico d'acque di scarico  [%]</t>
  </si>
  <si>
    <t>1.31</t>
  </si>
  <si>
    <t>Blatt "MINERGIE": G46, I46, bedingte Formatierung (Füllfarbe) angepasst</t>
  </si>
  <si>
    <t>Formatierung bei Hallenbad für Zone2 und Zone4 falsch (weiss, wenn Zon1=Hallenbad).</t>
  </si>
  <si>
    <t>v1.31</t>
  </si>
  <si>
    <t>Energieaufwand für Wärmeerzeugung E wurde fälschlicherweise immer 100% fossil berechnet</t>
  </si>
  <si>
    <t>Blatt "Nachweis": AJ24, Formel angepasst. Nur Energieinput ohne Strom wird neu fossil berechnet.</t>
  </si>
  <si>
    <t>Blatt "Nachweis": AJ8,AJ12,AJ16,AJ20, Formel angepasst.  WKK fossil ist nicht erneuerbar, wenn Nutzungsgrad Strom &lt; 35%</t>
  </si>
  <si>
    <t>WKK fossil nur erneuerbar, wenn Nutzungsgrad Strom &gt;=35%</t>
  </si>
  <si>
    <t>Bei WKK ist minimale Grösse Eigenstromerzeugung im Nachweis immer erfüllt</t>
  </si>
  <si>
    <t>Blatt "Uebersicht",  K40, Minimale Grösse Eigenstromerzeugung erfüllt, wenn WKK = wahr</t>
  </si>
  <si>
    <t>Blatt "MINERGIE": I57, Minimale Grösse Eigenstromerzeugung erfüllt, wenn WKK = wahr</t>
  </si>
  <si>
    <t>Blatt "Nachweis": Q33: Neue Variable WKK. WKK = wahr, wenn Eigenstromerzeugung &gt;= 7.5kWh/m2</t>
  </si>
  <si>
    <t>Apport annuel spécifique [kWh/kWp]</t>
  </si>
  <si>
    <t>Apporto annuale specifico [kWh/kWp]</t>
  </si>
  <si>
    <t>Rendimento / CLA</t>
  </si>
  <si>
    <t>Auf Blatt MINEREGIE, spezifischer Jahresertrag falsch übersetzt (spezifisch fehlte)</t>
  </si>
  <si>
    <t>Blatt "Uebersetzung": F413-G413, Uebersetzung angepasst.</t>
  </si>
  <si>
    <t>Blatt "Uebersetzung": G257, Uebersetzung angepasst.</t>
  </si>
  <si>
    <t>Auf Blatt Nachweis  war die JAZ mit COP übersetzt, statt mit CLA</t>
  </si>
  <si>
    <t>Aenderungen im Formular EN 101b / MINERGIE-Nachweis 2017</t>
  </si>
  <si>
    <t>MFH/Zweckbau</t>
  </si>
  <si>
    <t>Nur EFH</t>
  </si>
  <si>
    <t>Blatt "MINERGIE": AC72 - AI75, AI71: Ergänzung / Anpassung Eigenverbrauchsrate MFH / Zweichbauten</t>
  </si>
  <si>
    <t>Eigenverbrauchsrate bei einer Nutzungszone mit Zweckbau oder MFH neu Standardwert 20%</t>
  </si>
  <si>
    <t>MINERGIE - Systemerneuerung</t>
  </si>
  <si>
    <t>System 1</t>
  </si>
  <si>
    <t>System 2</t>
  </si>
  <si>
    <t>System 3</t>
  </si>
  <si>
    <t>System 4</t>
  </si>
  <si>
    <t>System 5</t>
  </si>
  <si>
    <t>Systemwahl</t>
  </si>
  <si>
    <t>Systemlösung</t>
  </si>
  <si>
    <t xml:space="preserve">Dach / Decke </t>
  </si>
  <si>
    <t>Wand</t>
  </si>
  <si>
    <t>Fenster</t>
  </si>
  <si>
    <t xml:space="preserve">Boden </t>
  </si>
  <si>
    <t>≤ 0.17</t>
  </si>
  <si>
    <t>≤ 0.3</t>
  </si>
  <si>
    <t>≤ 0.25</t>
  </si>
  <si>
    <t>≤ 0.4</t>
  </si>
  <si>
    <t>≤ 0.5</t>
  </si>
  <si>
    <t>≤ 0.7</t>
  </si>
  <si>
    <t>≤ 1.1</t>
  </si>
  <si>
    <t>≤ 1.0</t>
  </si>
  <si>
    <t>≤ 0.8</t>
  </si>
  <si>
    <t>Wärme-Erzeugungssystem und Wärmeabgabe</t>
  </si>
  <si>
    <t>W/m2K</t>
  </si>
  <si>
    <t>Fossil + Solar (2% EBF für Warmwasser)</t>
  </si>
  <si>
    <t>Fernwärme (min. 50% erneuerbare Energien, Abwärme, WKK)</t>
  </si>
  <si>
    <t>Holz + Solar (2% EBF)</t>
  </si>
  <si>
    <t>°C</t>
  </si>
  <si>
    <t>GEAK - Kategorie</t>
  </si>
  <si>
    <t>A</t>
  </si>
  <si>
    <t>B</t>
  </si>
  <si>
    <t>C</t>
  </si>
  <si>
    <t>D</t>
  </si>
  <si>
    <t>E</t>
  </si>
  <si>
    <t>F</t>
  </si>
  <si>
    <t>G</t>
  </si>
  <si>
    <t>Geak</t>
  </si>
  <si>
    <t>E12</t>
  </si>
  <si>
    <t>E20</t>
  </si>
  <si>
    <t>E22</t>
  </si>
  <si>
    <t>E25</t>
  </si>
  <si>
    <t>E26</t>
  </si>
  <si>
    <t>Lüftungs-Typ</t>
  </si>
  <si>
    <t>mit Wärmerückgewinnung</t>
  </si>
  <si>
    <t>ohne Wärmerückgewinnung</t>
  </si>
  <si>
    <t>Neubauten</t>
  </si>
  <si>
    <t>Erneuerungen</t>
  </si>
  <si>
    <t>Geschirrspüler</t>
  </si>
  <si>
    <t>Kühl- und Gefrierschrank</t>
  </si>
  <si>
    <t>Waschmaschine</t>
  </si>
  <si>
    <t>Wäschetrockner</t>
  </si>
  <si>
    <t>Kochherd</t>
  </si>
  <si>
    <t>Induktionsherd [heisst: Neue Küche]</t>
  </si>
  <si>
    <t>Wohnbeleuchtung [fest installiert]</t>
  </si>
  <si>
    <t>Allgemeine Beleuchtung [wie Korridor, Keller ausserhalb WEH]</t>
  </si>
  <si>
    <t>Allgemeinstrom und Geräte [v.a. Umwälzpumpen etc. ausserhalb WEH]</t>
  </si>
  <si>
    <t>Effiziente Geräte für Gebäudebetrieb und Wohnnutzung</t>
  </si>
  <si>
    <t>Max</t>
  </si>
  <si>
    <t>Erfüllt</t>
  </si>
  <si>
    <t>Nicht erfüllt</t>
  </si>
  <si>
    <t>Möglich</t>
  </si>
  <si>
    <t>PV-Anlage</t>
  </si>
  <si>
    <t>Variante 1</t>
  </si>
  <si>
    <t>Variante 2</t>
  </si>
  <si>
    <t>Variante 3</t>
  </si>
  <si>
    <t>Globalbeurteilung von Standardfällen für die Nutzungen Wohnen, Einzelbüro, Gruppenbüro, Sitzungszimmer und Lager (ohne Kühlung)</t>
  </si>
  <si>
    <t>Externer Nachweis der Kriterien gemäss SIA382/1 (ohne Kühlung)</t>
  </si>
  <si>
    <t>Externer Nachweis der Kriterien gemäss SIA382/1 (mit Kühlung)</t>
  </si>
  <si>
    <t>Prüfung nicht alle "n.a."</t>
  </si>
  <si>
    <t>Prüfung nicht Nein</t>
  </si>
  <si>
    <t>Beilagen zu Zertifikat Antrag</t>
  </si>
  <si>
    <t>(sämtl. Beilagen sind einzureichen)</t>
  </si>
  <si>
    <t>U-Wert Dach, Aussenwand, Boden</t>
  </si>
  <si>
    <t>U-Wert Fenster (schriftl. Bestätigung Einhaltung 1.0)</t>
  </si>
  <si>
    <t>Pläne 1:50 mit Bezeichnung der Bauteile</t>
  </si>
  <si>
    <t>Situationsplan</t>
  </si>
  <si>
    <t>Technische Daten Lüftungsgerät</t>
  </si>
  <si>
    <t>Technische Daten Wärmeerzeugung</t>
  </si>
  <si>
    <t>Fotografien Bestand / max. 10 Stück, total max 3 MB</t>
  </si>
  <si>
    <t>Ev. weitere Unterlagen:</t>
  </si>
  <si>
    <t>Dokumentationspflicht</t>
  </si>
  <si>
    <t>Für die Qualitätskontrolle mittels Stichprobe (20% der Gebäude) sind die Unterzeichnenden verpflichtet, den Fortschritt im Rahmen von Fotos, Rechnungskopien und technischen Dokumentationen (z.B. Produktdatenblätter) zu dokumentieren.</t>
  </si>
  <si>
    <t>Ort, Datum</t>
  </si>
  <si>
    <t>Unterschrift</t>
  </si>
  <si>
    <t>Bauherrschaft</t>
  </si>
  <si>
    <t>Antragstellende</t>
  </si>
  <si>
    <t>Fachplanende</t>
  </si>
  <si>
    <t>Die Unterzeichnenden</t>
  </si>
  <si>
    <t>1. erklären, dass sie das aktuelle MINERGIE Nutzungsreglement zur Kenntnis genommen haben.</t>
  </si>
  <si>
    <t>2. anderkennen das MINERGIE-Reglement als integrale Bedingung jeder Nutzung der Marke MINERGIE.</t>
  </si>
  <si>
    <t>3. erklären, dass sie das aktuelle MINERGIE Gebührenreglement zur Kenntnis genommen haben.</t>
  </si>
  <si>
    <t>4. sind sich im klaren darüber, dass der Antragstellende für die bauliche Umsetzung der MINERGIE-Anforderungen gemäss Antrag verantwortlich ist und diese sicherzustellen hat, sofern erforderlich unter Beizug der notwendigen Fachleute.</t>
  </si>
  <si>
    <t>5. sind mit der Veröffentlichung der registrierten Daten (Architekt/in, Planer/in, Gebäudestandort, Bauherrschaft) einverstanden</t>
  </si>
  <si>
    <t>Wärmeschutz</t>
  </si>
  <si>
    <t>Anforderungen MINERGIE erfüllt</t>
  </si>
  <si>
    <t>Anforderungen MINERGIE nicht erfüllt</t>
  </si>
  <si>
    <t>Sommerlicher Wärmeschutz</t>
  </si>
  <si>
    <t>Gebüde E/NE</t>
  </si>
  <si>
    <t>Hülle &amp; Wärmeerzeugung</t>
  </si>
  <si>
    <t>Abluft Wärmepumpe</t>
  </si>
  <si>
    <t>Gebäudeenergieausweis der Kantone</t>
  </si>
  <si>
    <t>Fussbodenheizung</t>
  </si>
  <si>
    <t>Heizkörper</t>
  </si>
  <si>
    <t>Auto. Fensterlüftung</t>
  </si>
  <si>
    <t>Anzahl Zimmer mit Zuluft</t>
  </si>
  <si>
    <r>
      <t>kW</t>
    </r>
    <r>
      <rPr>
        <vertAlign val="subscript"/>
        <sz val="9"/>
        <rFont val="Arial"/>
        <family val="2"/>
      </rPr>
      <t>p</t>
    </r>
  </si>
  <si>
    <t>Anzahl Vorhanden</t>
  </si>
  <si>
    <t>Davon Anforderung erfüllt</t>
  </si>
  <si>
    <t>Elektrizitätsnachweis Option</t>
  </si>
  <si>
    <t>Elektrogeräte</t>
  </si>
  <si>
    <t>Absorberfläche Solarthermie</t>
  </si>
  <si>
    <t>Erreicht</t>
  </si>
  <si>
    <t>Hülle</t>
  </si>
  <si>
    <t>Vorlauftemp</t>
  </si>
  <si>
    <t>Solarfläche</t>
  </si>
  <si>
    <t>Beilagen unvollständig</t>
  </si>
  <si>
    <t>Beilagen vollständig?</t>
  </si>
  <si>
    <t>Abgabe System</t>
  </si>
  <si>
    <t xml:space="preserve">max. Vorlauftemperatur der Wärmeerzeugung:  </t>
  </si>
  <si>
    <t>Neubauteil</t>
  </si>
  <si>
    <t>Energiebezugsfläche EBF Neubauteil</t>
  </si>
  <si>
    <t>Nachweisoption Gebäudehülle</t>
  </si>
  <si>
    <t>GEAK</t>
  </si>
  <si>
    <t>U-Werte</t>
  </si>
  <si>
    <t>≤ 0.15</t>
  </si>
  <si>
    <t>≤ 1</t>
  </si>
  <si>
    <t>Umbau</t>
  </si>
  <si>
    <t>Typ Wärmepumpe</t>
  </si>
  <si>
    <t>Flächenberechnung (in %) der gedämmten Anteile</t>
  </si>
  <si>
    <t>Systeme 2-4</t>
  </si>
  <si>
    <t>Ungültige Systemlösung !</t>
  </si>
  <si>
    <t>Ungültige Wärmeerzeugung !</t>
  </si>
  <si>
    <t>Formular Systemerneuerungen</t>
  </si>
  <si>
    <t>v 1.1</t>
  </si>
  <si>
    <t>Effizienzklasse A+++ / A++</t>
  </si>
  <si>
    <t>LED Effizienzklasse A++ / A+ [Leuchten austauschen]</t>
  </si>
  <si>
    <t>LED Effizienzklasse A++ / A+ und Regulierung [z.B. PIR, Minuterie]</t>
  </si>
  <si>
    <t>Umbau &amp; Neubau</t>
  </si>
  <si>
    <t>Neubau Anteil zu gross für Nachweis mit Systemerneuerung!</t>
  </si>
  <si>
    <t>Unterzeichneter Ausdruck inkl. Register "Hülle &amp; Elektrizität" und "Sommer &amp; Unterlagen"</t>
  </si>
  <si>
    <t>5 Wp pro m2 EBF</t>
  </si>
  <si>
    <t>Vorhanden &lt; erfüllt</t>
  </si>
  <si>
    <t>E27</t>
  </si>
  <si>
    <t>E28</t>
  </si>
  <si>
    <t>E29</t>
  </si>
  <si>
    <t>E30</t>
  </si>
  <si>
    <t>E32</t>
  </si>
  <si>
    <t>E33</t>
  </si>
  <si>
    <t>E34</t>
  </si>
  <si>
    <t>E35</t>
  </si>
  <si>
    <t>E36</t>
  </si>
  <si>
    <t>E40</t>
  </si>
  <si>
    <t>E42</t>
  </si>
  <si>
    <t>E43</t>
  </si>
  <si>
    <t>E44</t>
  </si>
  <si>
    <t>E45</t>
  </si>
  <si>
    <t>E48</t>
  </si>
  <si>
    <t>E49</t>
  </si>
  <si>
    <t>E50</t>
  </si>
  <si>
    <t>E52</t>
  </si>
  <si>
    <t>S19</t>
  </si>
  <si>
    <t>S28</t>
  </si>
  <si>
    <t>S29</t>
  </si>
  <si>
    <t>S31</t>
  </si>
  <si>
    <t>S36</t>
  </si>
  <si>
    <t>S37</t>
  </si>
  <si>
    <t>S38</t>
  </si>
  <si>
    <t>Aussenluft-Wärmepumpe bis 35°C VL Temperatur</t>
  </si>
  <si>
    <t xml:space="preserve">Wärmepumpe Sole/Wasser bis 50°C VL Temperatur  </t>
  </si>
  <si>
    <t>Energiebezugsfläche EBF bestehend</t>
  </si>
  <si>
    <t>EBF Erweiterung</t>
  </si>
  <si>
    <t>EBF total</t>
  </si>
  <si>
    <t>Neubauteile müssen den gesetzlichen Anforderungen entsprechen</t>
  </si>
  <si>
    <t>Zuluft-Volumenstrom &gt; 1000 m3/h Wärmerückgewinnung zwingend</t>
  </si>
  <si>
    <t>Vorlauftemperatur zu hoch</t>
  </si>
  <si>
    <t>Wärmerückgewinnung erforderlich</t>
  </si>
  <si>
    <t>Anforderunng:</t>
  </si>
  <si>
    <t>Absorberfläche zu klein</t>
  </si>
  <si>
    <t>Modèles de rénovation MINERGIE</t>
  </si>
  <si>
    <t>MINERGIE - Ammodernamento di sistema</t>
  </si>
  <si>
    <t>Système 1</t>
  </si>
  <si>
    <t>Sistema 1</t>
  </si>
  <si>
    <t>Système 2</t>
  </si>
  <si>
    <t>Sistema 2</t>
  </si>
  <si>
    <t>Système 3</t>
  </si>
  <si>
    <t>Sistema 3</t>
  </si>
  <si>
    <t>Système 4</t>
  </si>
  <si>
    <t>Sistema 4</t>
  </si>
  <si>
    <t>Système 5</t>
  </si>
  <si>
    <t>Sistema 5</t>
  </si>
  <si>
    <t>Solution standard</t>
  </si>
  <si>
    <t>Soluzione di sistema</t>
  </si>
  <si>
    <t xml:space="preserve">Toit / plafond </t>
  </si>
  <si>
    <t>tetto / soffitto</t>
  </si>
  <si>
    <t>Mur</t>
  </si>
  <si>
    <t>pareti</t>
  </si>
  <si>
    <t>Fenêtres</t>
  </si>
  <si>
    <t>finestre</t>
  </si>
  <si>
    <t xml:space="preserve">Sol </t>
  </si>
  <si>
    <t>pavimento</t>
  </si>
  <si>
    <t>Système de production de chaleur et émission de chaleur</t>
  </si>
  <si>
    <t>Sistema di generazione e distribuzione del calore</t>
  </si>
  <si>
    <t>Fossile + solaire (2% SRE pour l'eau chaude)</t>
  </si>
  <si>
    <t>Fossile + Solatre termico  (2% AE per ACS)</t>
  </si>
  <si>
    <t xml:space="preserve">Pompe à chaleur saumure/eau jusqu'à 50°C pour température de départ  </t>
  </si>
  <si>
    <t>Pompa di calore con sonde geotermiche fino a 50° C di temperatura di mandata</t>
  </si>
  <si>
    <t>Chaleur à distance (min. 50% énergies renouvelables, rejets de chaleur, CCF)</t>
  </si>
  <si>
    <t>Teleriscaldamento ( min. 50% di energia rinnovabile o recupero di calore)</t>
  </si>
  <si>
    <t>Bois + solaire (2% SRE)</t>
  </si>
  <si>
    <t>Legna + Solatre termico (2% AE)</t>
  </si>
  <si>
    <t>Pompe à chaleur air extérieur jusqu'à 35°C pour température de départ</t>
  </si>
  <si>
    <t>Pompa di calore aria acqua fino a 35° C di temperatura di mandata</t>
  </si>
  <si>
    <t xml:space="preserve">Température de départ max. de l'installation de production de chaleur:  </t>
  </si>
  <si>
    <t xml:space="preserve">Temperatura massima di mandata del produttore di calore:  </t>
  </si>
  <si>
    <t>CECB - Catégorie</t>
  </si>
  <si>
    <t>Categoria CECE</t>
  </si>
  <si>
    <t>Type de ventilation</t>
  </si>
  <si>
    <t>ventilazione tipo</t>
  </si>
  <si>
    <t>Avec récupération de chaleur</t>
  </si>
  <si>
    <t>con recupero di calore</t>
  </si>
  <si>
    <t>Sans récupération de chaleur</t>
  </si>
  <si>
    <t>senza recupero di calore</t>
  </si>
  <si>
    <t>Lave-vaisselle</t>
  </si>
  <si>
    <t>lavastoviglia</t>
  </si>
  <si>
    <t>Réfrigérateur et congélateur</t>
  </si>
  <si>
    <t>frigorifero e congelatore</t>
  </si>
  <si>
    <t>Lave-linge</t>
  </si>
  <si>
    <t>lavatrice</t>
  </si>
  <si>
    <t>Sèche-linge</t>
  </si>
  <si>
    <t>asciugatrice</t>
  </si>
  <si>
    <t>Cuisinière</t>
  </si>
  <si>
    <t>piano di cottra</t>
  </si>
  <si>
    <t>Éclairage résidentiel [fixe]</t>
  </si>
  <si>
    <t>Illuminazione abitazione  [fissa]</t>
  </si>
  <si>
    <t>Illuminazione parti comuni  [come corridoi, cantine che non appartengono all’UA]</t>
  </si>
  <si>
    <t>Elettricità comune  [per es. pompe di circolazione ecc. che non appartengono all’UA]</t>
  </si>
  <si>
    <t>Classe d'efficacité énergétique A+++ / A++</t>
  </si>
  <si>
    <t>Classe di efficienza A+++ / A++</t>
  </si>
  <si>
    <t>Cuisinière à induction [c.-à-d.: nouvelle cuisine]</t>
  </si>
  <si>
    <t>Piano ad induzione  [significa: nuova cucina]</t>
  </si>
  <si>
    <t>LED classe d'efficacité A++ / A+ [changer les lumières]</t>
  </si>
  <si>
    <t>LED classe d'efficienza A++/A+  [nuova illuminazione]</t>
  </si>
  <si>
    <t>LED classe d'efficacité A++ / A+ et régulation [p.ex. détecteur de mouvement, minuterie]</t>
  </si>
  <si>
    <t>LED classe d'efficienza A++/A+ con regolazione  [es. Sensore luminosita o minuteria]</t>
  </si>
  <si>
    <t>Appareils efficaces pour l'exploitation des bâtiments et les bâtiments à usage d'habitation</t>
  </si>
  <si>
    <t>Apparecchi efficienti per il funzionamento dell’edificio e per l’uso domestico</t>
  </si>
  <si>
    <t>Max.</t>
  </si>
  <si>
    <t>Massimo</t>
  </si>
  <si>
    <t>Nouvelles constructions</t>
  </si>
  <si>
    <t>Nuovo edifico</t>
  </si>
  <si>
    <t>Rénovations</t>
  </si>
  <si>
    <t>Ammodernamento</t>
  </si>
  <si>
    <t>Energia elettrica</t>
  </si>
  <si>
    <t>Nombre disponible</t>
  </si>
  <si>
    <t>Qunatità disponibile</t>
  </si>
  <si>
    <t>Requisiti</t>
  </si>
  <si>
    <t>Dont exigence respectée</t>
  </si>
  <si>
    <t>che rispettano i requisiti</t>
  </si>
  <si>
    <t>Respectée</t>
  </si>
  <si>
    <t>Soddisfato</t>
  </si>
  <si>
    <t>Non respectée</t>
  </si>
  <si>
    <t>Non soddisfatto</t>
  </si>
  <si>
    <t>Installation PV</t>
  </si>
  <si>
    <t>Impianto PV</t>
  </si>
  <si>
    <t>Variante 1</t>
  </si>
  <si>
    <t>Evaluation globale de cas standards pour les affectations suivantes: habitation, bureau individuel ou paysager, salle de réunion et dépôt (sans refroidissement)</t>
  </si>
  <si>
    <t>Valutazione globale dei casi standard per uso residenziale, ufficio individuale, ufficio di gruppo, sala riunioni e magazzino (senza raffreddamento)</t>
  </si>
  <si>
    <t>Variante 2</t>
  </si>
  <si>
    <t>Justification externe des critères selon SIA 382/1 (sans refroidissement)</t>
  </si>
  <si>
    <t>Verifica esterna dei criteri secondo SIA382/1 (senza raffreddamento)</t>
  </si>
  <si>
    <t>Variante 3</t>
  </si>
  <si>
    <t>Justification externe des critères selon SIA 382/1 (avec refroidissement)</t>
  </si>
  <si>
    <t>Verifica esterna dei criteri secondo SIA382/1 con raffreddamento)</t>
  </si>
  <si>
    <t>Pièces relatives à la demande de certification</t>
  </si>
  <si>
    <t>Allegati per la richiesta di certificazione</t>
  </si>
  <si>
    <t>(toutes les pièces doivent être annexées à la demande)</t>
  </si>
  <si>
    <t>(alcuni allegati sono obbligatori)</t>
  </si>
  <si>
    <t>Valeur U du toit, des murs extérieurs, du sol</t>
  </si>
  <si>
    <t>Valore U tetto, pareti esterne, pavimento</t>
  </si>
  <si>
    <t>Valeur U des fenêtres (confirmation écrite du respect 1.0)</t>
  </si>
  <si>
    <t xml:space="preserve">Valore U finestra (conferma scritta rispetto 1.0) </t>
  </si>
  <si>
    <t>Plans à l'échelle 1:50 avec désignation des éléments de construction</t>
  </si>
  <si>
    <t>Disegni 1:50 con descrizione dei componenti</t>
  </si>
  <si>
    <t>Plan de situation</t>
  </si>
  <si>
    <t>Piano di situazione</t>
  </si>
  <si>
    <t>Version imprimée signée comprenant également les onglets « Enveloppe et électricité » et « Eté et documents »</t>
  </si>
  <si>
    <t>Stampa firmata con i fogli involucoro&amp;elettricità e estate&amp;allegati</t>
  </si>
  <si>
    <t>Caractéristiques techniques de l'appareil de ventilation</t>
  </si>
  <si>
    <t>Scheda tecnica app. di ventilazione</t>
  </si>
  <si>
    <t>Caractéristiques techniques de l'installation de production de chaleur</t>
  </si>
  <si>
    <t>Scheda tecnica del produttore di calore</t>
  </si>
  <si>
    <t>Photos de l'ouvrage / max. 10, taille max. 3 MB</t>
  </si>
  <si>
    <t>Fotografie attuali max. 10 pezzi, totale max. 3 MB</t>
  </si>
  <si>
    <t>Autres documents (facultatif):</t>
  </si>
  <si>
    <t>Ev altri documenti, se necessario:</t>
  </si>
  <si>
    <t>Obligation de documenter</t>
  </si>
  <si>
    <t>Documentazione obbligatoria</t>
  </si>
  <si>
    <t>Pour le contrôle qualité effectué sur la base de contrôles aléatoires (20% des bâtiments), les signataires sont tenus de documenter l'avancement du projet par des photos, des copies de factures et de la documentation technique (p.ex. fiches de données du produit).</t>
  </si>
  <si>
    <t>Per il controllo di qualità, mediante un campione (20% degli edifici) i firmatari sono tenuti a documentare i progressi compiuti sotto forma di foto, copie delle fatture e documentazione tecnica (ad es. schede tecniche del prodotto).</t>
  </si>
  <si>
    <t>Lieu, date</t>
  </si>
  <si>
    <t>Luogo, data</t>
  </si>
  <si>
    <t>Sottoscrizione</t>
  </si>
  <si>
    <t>Requérant</t>
  </si>
  <si>
    <t>Richiedente</t>
  </si>
  <si>
    <t>Progettista/consulente</t>
  </si>
  <si>
    <t>Maître d'ouvrage</t>
  </si>
  <si>
    <t>Committenza</t>
  </si>
  <si>
    <t>Les signataires</t>
  </si>
  <si>
    <t>Il firmatario</t>
  </si>
  <si>
    <t>1. déclarent avoir pris connaissance de l'actuel règlement d'utilisation MINERGIE.</t>
  </si>
  <si>
    <t>1. dichiara di aver preso conoscenza delle attuali condizioni d' uso MINERGIE.</t>
  </si>
  <si>
    <t>2. reconnaissent le règlement MINERGIE comme condition intégrale de chacune des utilisations de la marque MINERGIE.</t>
  </si>
  <si>
    <t>2. riconosce i regolamenti MINERGIE come condizione essenziale per qualsiasi uso del marchio MINERGIE.</t>
  </si>
  <si>
    <t>3. déclarent avoir pris connaissance de l'actuel règlement sur les émoluments de MINERGIE.</t>
  </si>
  <si>
    <t>3. dichiara di aver preso conoscenza dell' attuale regolamento MINERGIE in materia di emolumenti.</t>
  </si>
  <si>
    <t>4. sont conscients du fait que le requérant est responsable de la mise en œuvre physique des exigences MINERGIE conformément à la demande et qu'il doit garantir ces dernières en consultant si nécessaire le spécialiste requis.</t>
  </si>
  <si>
    <t xml:space="preserve">4) di essere consapevole del fatto che il richiedente è responsabile dell' attuazione  dei requisiti MINERGIE, conformemente alla domanda, e di garantire che essi siano rispettati, se necessario con l' assistenza degli esperti necessari.
</t>
  </si>
  <si>
    <t>5. ne sont pas opposés à la publication des données enregistrées (architecte, planificateur, emplacement du bâtiment, maître d'ouvrage).</t>
  </si>
  <si>
    <t>5. acconsente alla pubblicazione dei dati registrati (architetto, progettista, sede, committente)</t>
  </si>
  <si>
    <t>Protection thermique</t>
  </si>
  <si>
    <t>Protezione termica</t>
  </si>
  <si>
    <t>Exigences MINERGIE respectées</t>
  </si>
  <si>
    <t>I requisti MINERGIE sono rispettati</t>
  </si>
  <si>
    <t>Exigences MINERGIE non respectées</t>
  </si>
  <si>
    <t>I requisti MINERGIE non sono rispettati</t>
  </si>
  <si>
    <t>Involucro &amp; produzione di calore</t>
  </si>
  <si>
    <t>Protection thermique estivale</t>
  </si>
  <si>
    <t>Protezione termica estica</t>
  </si>
  <si>
    <t>Pompes à chaleur sur air sortant</t>
  </si>
  <si>
    <t>Pompa di calore sull'aria d'estrazione</t>
  </si>
  <si>
    <t>Aération autom. par les fenêtres</t>
  </si>
  <si>
    <t>apertura automatica delle finestre</t>
  </si>
  <si>
    <t>Certificat énergétique cantonal des bâtiments</t>
  </si>
  <si>
    <t>Certificato energetico cantonale degli edifici</t>
  </si>
  <si>
    <t>Système de distribution</t>
  </si>
  <si>
    <t>Sistema di emeissione</t>
  </si>
  <si>
    <t>Chauffage par le sol</t>
  </si>
  <si>
    <t>Serpentine</t>
  </si>
  <si>
    <t>Corps de chauffe</t>
  </si>
  <si>
    <t>Radiatori</t>
  </si>
  <si>
    <t>Nombre de pièce(s) avec entrée d'air</t>
  </si>
  <si>
    <t>Numero di locali con immisione</t>
  </si>
  <si>
    <t>verifica dell'energia elettrica - opzione</t>
  </si>
  <si>
    <t>Appareils électriques</t>
  </si>
  <si>
    <t>Elettrodomestici</t>
  </si>
  <si>
    <t>Surface de capteurs solaires thermiques</t>
  </si>
  <si>
    <t>Superficie di assorbimento dei collettori solari</t>
  </si>
  <si>
    <t>Pièces annexes incomplètes</t>
  </si>
  <si>
    <t>Dati incompleti</t>
  </si>
  <si>
    <t>Nouvelle partie de construction</t>
  </si>
  <si>
    <t>Quota parte nuova costruzione</t>
  </si>
  <si>
    <t>Surface de référence énergétique SRE Nouvelle partie de construction</t>
  </si>
  <si>
    <t>Area di riferimento energetico AE nuova costruzione</t>
  </si>
  <si>
    <t>Justificatif optionnel pour l'enveloppe du bâtiment</t>
  </si>
  <si>
    <t>Verifica involucro termico - opzionale</t>
  </si>
  <si>
    <t>Valeurs U</t>
  </si>
  <si>
    <t>Valore U</t>
  </si>
  <si>
    <t>CECB</t>
  </si>
  <si>
    <t>CECE</t>
  </si>
  <si>
    <t>Transformation</t>
  </si>
  <si>
    <t xml:space="preserve">Ammodernamento </t>
  </si>
  <si>
    <t>Nuova costruzione</t>
  </si>
  <si>
    <t>Extension SRE</t>
  </si>
  <si>
    <t>AE ampliamento</t>
  </si>
  <si>
    <t>Type de pompe à chaleur</t>
  </si>
  <si>
    <t>Tipo di pompa di calore</t>
  </si>
  <si>
    <t>Calcul de la surface (en %) des parties isolées</t>
  </si>
  <si>
    <t>Calcolo delle superfici della parte isolata (in %)</t>
  </si>
  <si>
    <t>Systèmes 2-4</t>
  </si>
  <si>
    <t>Sistema 2-4</t>
  </si>
  <si>
    <t>Solution standard non valide!</t>
  </si>
  <si>
    <t>Soluzione di sistema non valida!</t>
  </si>
  <si>
    <t>Système de production de chaleur non valide!</t>
  </si>
  <si>
    <t>Produzione di calore non valida!</t>
  </si>
  <si>
    <t>Formulaire pour les modèles de rénovation</t>
  </si>
  <si>
    <t>Formulario ammodernamento di sistema</t>
  </si>
  <si>
    <t>V1.1</t>
  </si>
  <si>
    <t>Transformations &amp; nouvelles constructions</t>
  </si>
  <si>
    <t>Ammodernamento &amp; nuova costruzione</t>
  </si>
  <si>
    <t>Part de la nouvelle construction trop élevée pour le justificatif du modèle de rénovation!</t>
  </si>
  <si>
    <t>Parte nuova troppo grande per la verifica tramite ammodernamento di sistema!</t>
  </si>
  <si>
    <t>5 Wp par m2 SRE</t>
  </si>
  <si>
    <t>5 Wp per m2 AE</t>
  </si>
  <si>
    <t>Existant &lt; respecté</t>
  </si>
  <si>
    <t>previsto &lt; rispettato</t>
  </si>
  <si>
    <t>Surface de référence énergétique SRE existante</t>
  </si>
  <si>
    <t>Area di riferimento energetico AE esistente</t>
  </si>
  <si>
    <t>Les nouvelles parties de construction doivent correspondre aux exigences légales</t>
  </si>
  <si>
    <t>I nuovi elementi della costruzione devono rispettare i requisiti di legge</t>
  </si>
  <si>
    <t>Débit d'air fourni &gt; 1000 m3/h récupération de chaleur obligatoire</t>
  </si>
  <si>
    <t>Portata portata aria di mandata &gt; 1000 m3/h Recupero di calore obbligatorio</t>
  </si>
  <si>
    <t>Température de départ trop élevée</t>
  </si>
  <si>
    <t>Temperatura di mandata troppo alta</t>
  </si>
  <si>
    <t>Récupération de chaleur nécessaire</t>
  </si>
  <si>
    <t>Recupero di calore obbligatorio</t>
  </si>
  <si>
    <t>Exigence:</t>
  </si>
  <si>
    <t>Surface de capteurs trop petite</t>
  </si>
  <si>
    <t>Superfici assorbitore troppo piccola</t>
  </si>
  <si>
    <t>Éclairage général [comme les couloirs, cave extérieur de l'unité de logement]</t>
  </si>
  <si>
    <t>Electricité générale et appareils [not. pompes de circulation, etc. extérieur de l'unité de logement]</t>
  </si>
  <si>
    <t>Justificatif pour l'électricité option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</si>
</sst>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 #,##0.00_ ;_ * \-#,##0.00_ ;_ * &quot;-&quot;??_ ;_ @_ "/>
    <numFmt numFmtId="164" formatCode="#,##0_ ;[Red]\-#,##0\ "/>
    <numFmt numFmtId="165" formatCode="#,##0.00_ ;[Red]\-#,##0.00\ "/>
    <numFmt numFmtId="166" formatCode="0.0"/>
    <numFmt numFmtId="167" formatCode="#,##0.0_ ;[Red]\-#,##0.0\ "/>
    <numFmt numFmtId="168" formatCode="#,##0.0000_ ;[Red]\-#,##0.0000\ "/>
    <numFmt numFmtId="169" formatCode="0.0%"/>
    <numFmt numFmtId="170" formatCode="#,##0.0"/>
    <numFmt numFmtId="171" formatCode="_ * #,##0_ ;_ * \-#,##0_ ;_ * &quot;-&quot;??_ ;_ @_ "/>
    <numFmt numFmtId="172" formatCode="#,##0.0_ ;\-#,##0.0\ "/>
    <numFmt numFmtId="173" formatCode="0;;;@"/>
    <numFmt numFmtId="174" formatCode="0.000"/>
    <numFmt numFmtId="175" formatCode="0.0000"/>
  </numFmts>
  <fonts count="84">
    <font>
      <sz val="10"/>
      <name val="Arial"/>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sz val="9"/>
      <name val="Arial"/>
      <family val="2"/>
    </font>
    <font>
      <b/>
      <sz val="9"/>
      <name val="Arial"/>
      <family val="2"/>
    </font>
    <font>
      <vertAlign val="subscript"/>
      <sz val="9"/>
      <name val="Arial"/>
      <family val="2"/>
    </font>
    <font>
      <sz val="9"/>
      <name val="Arial"/>
      <family val="2"/>
    </font>
    <font>
      <b/>
      <sz val="9"/>
      <name val="Arial"/>
      <family val="2"/>
    </font>
    <font>
      <b/>
      <sz val="11"/>
      <name val="Arial"/>
      <family val="2"/>
    </font>
    <font>
      <sz val="6"/>
      <name val="Arial"/>
      <family val="2"/>
    </font>
    <font>
      <b/>
      <sz val="10"/>
      <name val="Arial"/>
      <family val="2"/>
    </font>
    <font>
      <sz val="9"/>
      <color indexed="8"/>
      <name val="Arial"/>
      <family val="2"/>
    </font>
    <font>
      <sz val="9"/>
      <color indexed="9"/>
      <name val="Arial"/>
      <family val="2"/>
    </font>
    <font>
      <b/>
      <sz val="8"/>
      <name val="Arial"/>
      <family val="2"/>
    </font>
    <font>
      <sz val="9"/>
      <color indexed="10"/>
      <name val="Arial"/>
      <family val="2"/>
    </font>
    <font>
      <b/>
      <sz val="9"/>
      <color indexed="9"/>
      <name val="Arial"/>
      <family val="2"/>
    </font>
    <font>
      <b/>
      <i/>
      <sz val="8"/>
      <name val="Arial"/>
      <family val="2"/>
    </font>
    <font>
      <vertAlign val="subscript"/>
      <sz val="8"/>
      <name val="Arial"/>
      <family val="2"/>
    </font>
    <font>
      <i/>
      <sz val="8"/>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sz val="10"/>
      <color indexed="10"/>
      <name val="Arial"/>
      <family val="2"/>
    </font>
    <font>
      <sz val="7"/>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b/>
      <sz val="16"/>
      <name val="Arial"/>
      <family val="2"/>
    </font>
    <font>
      <sz val="11"/>
      <name val="Arial"/>
      <family val="2"/>
    </font>
    <font>
      <sz val="9"/>
      <color theme="1"/>
      <name val="Arial"/>
      <family val="2"/>
    </font>
    <font>
      <b/>
      <sz val="9"/>
      <color theme="1"/>
      <name val="Arial"/>
      <family val="2"/>
    </font>
    <font>
      <sz val="9"/>
      <color theme="0"/>
      <name val="Arial"/>
      <family val="2"/>
    </font>
    <font>
      <sz val="8"/>
      <color theme="1"/>
      <name val="Arial"/>
      <family val="2"/>
    </font>
    <font>
      <sz val="7"/>
      <color rgb="FFFF0000"/>
      <name val="Arial"/>
      <family val="2"/>
    </font>
    <font>
      <sz val="8"/>
      <color rgb="FFFF0000"/>
      <name val="Arial"/>
      <family val="2"/>
    </font>
    <font>
      <sz val="10"/>
      <color theme="0"/>
      <name val="Arial"/>
      <family val="2"/>
    </font>
    <font>
      <b/>
      <sz val="10"/>
      <color theme="0"/>
      <name val="Arial"/>
      <family val="2"/>
    </font>
    <font>
      <sz val="8"/>
      <color theme="0"/>
      <name val="Arial"/>
      <family val="2"/>
    </font>
    <font>
      <b/>
      <sz val="9"/>
      <color theme="0"/>
      <name val="Arial"/>
      <family val="2"/>
    </font>
    <font>
      <sz val="10"/>
      <name val="Arial"/>
      <family val="2"/>
    </font>
    <font>
      <b/>
      <sz val="9"/>
      <color rgb="FFFF0000"/>
      <name val="Arial"/>
      <family val="2"/>
    </font>
    <font>
      <sz val="10"/>
      <color rgb="FFFF0000"/>
      <name val="Arial"/>
      <family val="2"/>
    </font>
    <font>
      <sz val="9"/>
      <color rgb="FFFF0000"/>
      <name val="Arial"/>
      <family val="2"/>
    </font>
    <font>
      <sz val="9"/>
      <color indexed="81"/>
      <name val="Tahoma"/>
      <family val="2"/>
    </font>
    <font>
      <vertAlign val="subscript"/>
      <sz val="9"/>
      <color theme="1"/>
      <name val="Arial"/>
      <family val="2"/>
    </font>
    <font>
      <vertAlign val="subscript"/>
      <sz val="10"/>
      <name val="Arial"/>
      <family val="2"/>
    </font>
    <font>
      <b/>
      <i/>
      <sz val="9"/>
      <name val="Arial"/>
      <family val="2"/>
    </font>
    <font>
      <b/>
      <i/>
      <sz val="10"/>
      <color theme="1"/>
      <name val="Arial"/>
      <family val="2"/>
    </font>
    <font>
      <sz val="11"/>
      <color theme="1"/>
      <name val="Liberation Sans"/>
    </font>
    <font>
      <b/>
      <i/>
      <sz val="16"/>
      <color theme="1"/>
      <name val="Liberation Sans"/>
    </font>
    <font>
      <b/>
      <i/>
      <u/>
      <sz val="11"/>
      <color theme="1"/>
      <name val="Liberation Sans"/>
    </font>
    <font>
      <b/>
      <i/>
      <sz val="9"/>
      <color theme="1"/>
      <name val="Arial"/>
      <family val="2"/>
    </font>
    <font>
      <vertAlign val="superscript"/>
      <sz val="9"/>
      <name val="Arial"/>
      <family val="2"/>
    </font>
    <font>
      <b/>
      <i/>
      <vertAlign val="superscript"/>
      <sz val="9"/>
      <name val="Arial"/>
      <family val="2"/>
    </font>
    <font>
      <b/>
      <vertAlign val="subscript"/>
      <sz val="10"/>
      <name val="Arial"/>
      <family val="2"/>
    </font>
    <font>
      <sz val="9"/>
      <color indexed="81"/>
      <name val="Segoe UI"/>
      <family val="2"/>
    </font>
    <font>
      <b/>
      <sz val="7"/>
      <name val="Arial"/>
      <family val="2"/>
    </font>
    <font>
      <b/>
      <sz val="11"/>
      <color theme="1"/>
      <name val="Calibri"/>
      <family val="2"/>
      <scheme val="minor"/>
    </font>
  </fonts>
  <fills count="41">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gray0625">
        <fgColor indexed="9"/>
        <bgColor indexed="9"/>
      </patternFill>
    </fill>
    <fill>
      <patternFill patternType="solid">
        <fgColor indexed="13"/>
        <bgColor indexed="64"/>
      </patternFill>
    </fill>
    <fill>
      <patternFill patternType="solid">
        <fgColor indexed="47"/>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rgb="FFCC99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FFFF66"/>
        <bgColor indexed="64"/>
      </patternFill>
    </fill>
    <fill>
      <patternFill patternType="solid">
        <fgColor rgb="FF92D050"/>
        <bgColor indexed="64"/>
      </patternFill>
    </fill>
  </fills>
  <borders count="10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right/>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top style="hair">
        <color indexed="64"/>
      </top>
      <bottom/>
      <diagonal/>
    </border>
    <border>
      <left/>
      <right/>
      <top style="thin">
        <color auto="1"/>
      </top>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medium">
        <color rgb="FFFF0000"/>
      </bottom>
      <diagonal/>
    </border>
    <border>
      <left/>
      <right style="hair">
        <color indexed="64"/>
      </right>
      <top style="thin">
        <color indexed="64"/>
      </top>
      <bottom/>
      <diagonal/>
    </border>
    <border>
      <left style="hair">
        <color indexed="64"/>
      </left>
      <right/>
      <top style="thin">
        <color indexed="64"/>
      </top>
      <bottom/>
      <diagonal/>
    </border>
  </borders>
  <cellStyleXfs count="56">
    <xf numFmtId="0" fontId="0" fillId="0" borderId="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12" borderId="0" applyNumberFormat="0" applyBorder="0" applyAlignment="0" applyProtection="0"/>
    <xf numFmtId="0" fontId="34" fillId="10" borderId="0" applyNumberFormat="0" applyBorder="0" applyAlignment="0" applyProtection="0"/>
    <xf numFmtId="0" fontId="34" fillId="2" borderId="0" applyNumberFormat="0" applyBorder="0" applyAlignment="0" applyProtection="0"/>
    <xf numFmtId="0" fontId="34" fillId="13" borderId="0" applyNumberFormat="0" applyBorder="0" applyAlignment="0" applyProtection="0"/>
    <xf numFmtId="0" fontId="35" fillId="15" borderId="0" applyNumberFormat="0" applyBorder="0" applyAlignment="0" applyProtection="0"/>
    <xf numFmtId="0" fontId="35" fillId="3" borderId="0" applyNumberFormat="0" applyBorder="0" applyAlignment="0" applyProtection="0"/>
    <xf numFmtId="0" fontId="35" fillId="12"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6" fillId="20" borderId="2" applyNumberFormat="0" applyAlignment="0" applyProtection="0"/>
    <xf numFmtId="0" fontId="37" fillId="0" borderId="3" applyNumberFormat="0" applyFill="0" applyAlignment="0" applyProtection="0"/>
    <xf numFmtId="0" fontId="38" fillId="21" borderId="4" applyNumberFormat="0" applyAlignment="0" applyProtection="0"/>
    <xf numFmtId="0" fontId="35" fillId="22" borderId="0" applyNumberFormat="0" applyBorder="0" applyAlignment="0" applyProtection="0"/>
    <xf numFmtId="0" fontId="35" fillId="19" borderId="0" applyNumberFormat="0" applyBorder="0" applyAlignment="0" applyProtection="0"/>
    <xf numFmtId="0" fontId="35" fillId="2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9" fillId="5" borderId="2" applyNumberFormat="0" applyAlignment="0" applyProtection="0"/>
    <xf numFmtId="0" fontId="40" fillId="11" borderId="0" applyNumberFormat="0" applyBorder="0" applyAlignment="0" applyProtection="0"/>
    <xf numFmtId="0" fontId="2" fillId="4" borderId="5" applyNumberFormat="0" applyFont="0" applyAlignment="0" applyProtection="0"/>
    <xf numFmtId="0" fontId="41" fillId="20" borderId="1" applyNumberFormat="0" applyAlignment="0" applyProtection="0"/>
    <xf numFmtId="9" fontId="2" fillId="0" borderId="0" applyFont="0" applyFill="0" applyBorder="0" applyAlignment="0" applyProtection="0"/>
    <xf numFmtId="0" fontId="2" fillId="0" borderId="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6" applyNumberFormat="0" applyFill="0" applyAlignment="0" applyProtection="0"/>
    <xf numFmtId="0" fontId="46" fillId="0" borderId="7" applyNumberFormat="0" applyFill="0" applyAlignment="0" applyProtection="0"/>
    <xf numFmtId="0" fontId="47" fillId="0" borderId="8" applyNumberFormat="0" applyFill="0" applyAlignment="0" applyProtection="0"/>
    <xf numFmtId="0" fontId="47" fillId="0" borderId="0" applyNumberFormat="0" applyFill="0" applyBorder="0" applyAlignment="0" applyProtection="0"/>
    <xf numFmtId="0" fontId="48" fillId="0" borderId="9" applyNumberFormat="0" applyFill="0" applyAlignment="0" applyProtection="0"/>
    <xf numFmtId="0" fontId="49" fillId="8" borderId="0" applyNumberFormat="0" applyBorder="0" applyAlignment="0" applyProtection="0"/>
    <xf numFmtId="0" fontId="50" fillId="9" borderId="0" applyNumberFormat="0" applyBorder="0" applyAlignment="0" applyProtection="0"/>
    <xf numFmtId="43" fontId="65" fillId="0" borderId="0" applyFont="0" applyFill="0" applyBorder="0" applyAlignment="0" applyProtection="0"/>
    <xf numFmtId="0" fontId="74" fillId="0" borderId="0"/>
    <xf numFmtId="0" fontId="75" fillId="0" borderId="0">
      <alignment horizontal="center"/>
    </xf>
    <xf numFmtId="0" fontId="75" fillId="0" borderId="0">
      <alignment horizontal="center" textRotation="90"/>
    </xf>
    <xf numFmtId="0" fontId="76" fillId="0" borderId="0"/>
    <xf numFmtId="0" fontId="76" fillId="0" borderId="0"/>
    <xf numFmtId="0" fontId="36" fillId="20" borderId="100" applyNumberFormat="0" applyAlignment="0" applyProtection="0"/>
    <xf numFmtId="0" fontId="39" fillId="5" borderId="100" applyNumberFormat="0" applyAlignment="0" applyProtection="0"/>
    <xf numFmtId="0" fontId="2" fillId="4" borderId="101" applyNumberFormat="0" applyFont="0" applyAlignment="0" applyProtection="0"/>
    <xf numFmtId="0" fontId="41" fillId="20" borderId="99" applyNumberFormat="0" applyAlignment="0" applyProtection="0"/>
    <xf numFmtId="0" fontId="48" fillId="0" borderId="102" applyNumberFormat="0" applyFill="0" applyAlignment="0" applyProtection="0"/>
    <xf numFmtId="43" fontId="2" fillId="0" borderId="0" applyFont="0" applyFill="0" applyBorder="0" applyAlignment="0" applyProtection="0"/>
  </cellStyleXfs>
  <cellXfs count="1171">
    <xf numFmtId="0" fontId="0" fillId="0" borderId="0" xfId="0"/>
    <xf numFmtId="0" fontId="3" fillId="0" borderId="0" xfId="0" applyFont="1"/>
    <xf numFmtId="0" fontId="0" fillId="0" borderId="0" xfId="0" applyFill="1" applyBorder="1"/>
    <xf numFmtId="0" fontId="7" fillId="25" borderId="0" xfId="0" applyFont="1" applyFill="1" applyAlignment="1" applyProtection="1">
      <alignment vertical="center"/>
    </xf>
    <xf numFmtId="164" fontId="7" fillId="25" borderId="0" xfId="0" applyNumberFormat="1" applyFont="1" applyFill="1" applyAlignment="1" applyProtection="1">
      <alignment horizontal="right" vertical="center"/>
    </xf>
    <xf numFmtId="0" fontId="7" fillId="25" borderId="0" xfId="0" applyFont="1" applyFill="1" applyProtection="1"/>
    <xf numFmtId="0" fontId="12" fillId="25" borderId="0" xfId="0" applyFont="1" applyFill="1" applyAlignment="1" applyProtection="1">
      <alignment vertical="center"/>
    </xf>
    <xf numFmtId="0" fontId="13" fillId="25" borderId="0" xfId="0" quotePrefix="1" applyFont="1" applyFill="1" applyAlignment="1" applyProtection="1">
      <alignment horizontal="right" vertical="center"/>
    </xf>
    <xf numFmtId="0" fontId="7" fillId="25" borderId="0" xfId="0" applyFont="1" applyFill="1" applyBorder="1" applyAlignment="1" applyProtection="1">
      <alignment horizontal="left" vertical="center"/>
    </xf>
    <xf numFmtId="0" fontId="7" fillId="25" borderId="0" xfId="0" applyFont="1" applyFill="1" applyBorder="1" applyAlignment="1" applyProtection="1">
      <alignment vertical="center"/>
    </xf>
    <xf numFmtId="0" fontId="5" fillId="25" borderId="17" xfId="0" applyFont="1" applyFill="1" applyBorder="1" applyAlignment="1" applyProtection="1">
      <alignment vertical="center"/>
    </xf>
    <xf numFmtId="0" fontId="7" fillId="25" borderId="18" xfId="0" applyFont="1" applyFill="1" applyBorder="1" applyAlignment="1" applyProtection="1">
      <alignment vertical="center"/>
    </xf>
    <xf numFmtId="0" fontId="10" fillId="25" borderId="18" xfId="0" applyFont="1" applyFill="1" applyBorder="1" applyAlignment="1" applyProtection="1">
      <alignment vertical="center"/>
    </xf>
    <xf numFmtId="0" fontId="5" fillId="25" borderId="18" xfId="0" applyFont="1" applyFill="1" applyBorder="1" applyAlignment="1" applyProtection="1">
      <alignment horizontal="right" vertical="center"/>
    </xf>
    <xf numFmtId="0" fontId="5" fillId="25" borderId="18" xfId="0" applyFont="1" applyFill="1" applyBorder="1" applyAlignment="1" applyProtection="1">
      <alignment horizontal="center" vertical="center"/>
    </xf>
    <xf numFmtId="0" fontId="5" fillId="25" borderId="18" xfId="0" applyFont="1" applyFill="1" applyBorder="1" applyAlignment="1" applyProtection="1">
      <alignment vertical="center"/>
    </xf>
    <xf numFmtId="0" fontId="5" fillId="25" borderId="19" xfId="0" applyFont="1" applyFill="1" applyBorder="1" applyAlignment="1" applyProtection="1">
      <alignment vertical="center"/>
    </xf>
    <xf numFmtId="0" fontId="0" fillId="25" borderId="0" xfId="0" applyFill="1"/>
    <xf numFmtId="0" fontId="0" fillId="25" borderId="0" xfId="0" applyFill="1" applyBorder="1"/>
    <xf numFmtId="0" fontId="0" fillId="25" borderId="18" xfId="0" applyFill="1" applyBorder="1"/>
    <xf numFmtId="0" fontId="5" fillId="25" borderId="0" xfId="0" applyFont="1" applyFill="1" applyBorder="1" applyAlignment="1" applyProtection="1">
      <alignment horizontal="right" vertical="center"/>
    </xf>
    <xf numFmtId="166" fontId="7" fillId="25" borderId="26" xfId="0" applyNumberFormat="1" applyFont="1" applyFill="1" applyBorder="1" applyAlignment="1">
      <alignment horizontal="center"/>
    </xf>
    <xf numFmtId="0" fontId="10" fillId="25" borderId="0" xfId="0" applyFont="1" applyFill="1" applyBorder="1" applyAlignment="1" applyProtection="1">
      <alignment horizontal="center" vertical="center"/>
    </xf>
    <xf numFmtId="0" fontId="0" fillId="25" borderId="25" xfId="0" applyFill="1" applyBorder="1"/>
    <xf numFmtId="0" fontId="18" fillId="25" borderId="0" xfId="0" applyFont="1" applyFill="1" applyProtection="1"/>
    <xf numFmtId="0" fontId="0" fillId="25" borderId="29" xfId="0" applyFill="1" applyBorder="1"/>
    <xf numFmtId="0" fontId="7" fillId="25" borderId="0" xfId="0" applyFont="1" applyFill="1" applyBorder="1" applyProtection="1"/>
    <xf numFmtId="0" fontId="7" fillId="25" borderId="18" xfId="0" applyFont="1" applyFill="1" applyBorder="1" applyProtection="1"/>
    <xf numFmtId="0" fontId="19" fillId="25" borderId="0" xfId="0" applyFont="1" applyFill="1" applyProtection="1"/>
    <xf numFmtId="0" fontId="0" fillId="25" borderId="0" xfId="0" applyFill="1" applyAlignment="1">
      <alignment horizontal="center"/>
    </xf>
    <xf numFmtId="0" fontId="5" fillId="25" borderId="0" xfId="0" applyFont="1" applyFill="1" applyBorder="1" applyAlignment="1" applyProtection="1">
      <alignment horizontal="center" vertical="center"/>
    </xf>
    <xf numFmtId="0" fontId="16" fillId="25" borderId="0" xfId="0" applyFont="1" applyFill="1" applyAlignment="1" applyProtection="1">
      <alignment horizontal="right" vertical="center"/>
    </xf>
    <xf numFmtId="167" fontId="7" fillId="25" borderId="0" xfId="0" applyNumberFormat="1" applyFont="1" applyFill="1" applyBorder="1" applyAlignment="1" applyProtection="1">
      <alignment horizontal="center" vertical="center"/>
    </xf>
    <xf numFmtId="164" fontId="5" fillId="25" borderId="30" xfId="0" applyNumberFormat="1" applyFont="1" applyFill="1" applyBorder="1" applyAlignment="1" applyProtection="1">
      <alignment horizontal="center" vertical="center"/>
    </xf>
    <xf numFmtId="0" fontId="5" fillId="25" borderId="13" xfId="0" applyFont="1" applyFill="1" applyBorder="1" applyAlignment="1" applyProtection="1">
      <alignment horizontal="center" vertical="center"/>
    </xf>
    <xf numFmtId="0" fontId="5" fillId="25" borderId="13" xfId="0" applyFont="1" applyFill="1" applyBorder="1" applyAlignment="1" applyProtection="1">
      <alignment vertical="center"/>
    </xf>
    <xf numFmtId="0" fontId="5" fillId="25" borderId="39" xfId="0" applyFont="1" applyFill="1" applyBorder="1" applyAlignment="1" applyProtection="1">
      <alignment vertical="center"/>
    </xf>
    <xf numFmtId="0" fontId="5" fillId="25" borderId="54" xfId="0" applyFont="1" applyFill="1" applyBorder="1" applyAlignment="1" applyProtection="1">
      <alignment horizontal="center" vertical="center"/>
    </xf>
    <xf numFmtId="0" fontId="5" fillId="25" borderId="41" xfId="0" applyFont="1" applyFill="1" applyBorder="1" applyAlignment="1" applyProtection="1">
      <alignment horizontal="center" vertical="center"/>
    </xf>
    <xf numFmtId="0" fontId="6" fillId="25" borderId="13" xfId="0" applyFont="1" applyFill="1" applyBorder="1" applyAlignment="1" applyProtection="1">
      <alignment horizontal="center" vertical="center"/>
    </xf>
    <xf numFmtId="0" fontId="5" fillId="25" borderId="13" xfId="0" applyFont="1" applyFill="1" applyBorder="1" applyAlignment="1" applyProtection="1">
      <alignment horizontal="left" vertical="center"/>
    </xf>
    <xf numFmtId="0" fontId="8" fillId="25" borderId="17" xfId="0" applyFont="1" applyFill="1" applyBorder="1" applyProtection="1"/>
    <xf numFmtId="0" fontId="5" fillId="25" borderId="55" xfId="0" applyFont="1" applyFill="1" applyBorder="1" applyAlignment="1" applyProtection="1">
      <alignment vertical="center"/>
    </xf>
    <xf numFmtId="0" fontId="5" fillId="25" borderId="59" xfId="0" applyFont="1" applyFill="1" applyBorder="1" applyAlignment="1" applyProtection="1">
      <alignment vertical="center"/>
    </xf>
    <xf numFmtId="0" fontId="8" fillId="25" borderId="0" xfId="0" applyFont="1" applyFill="1" applyProtection="1"/>
    <xf numFmtId="0" fontId="8" fillId="25" borderId="0" xfId="0" applyFont="1" applyFill="1" applyAlignment="1" applyProtection="1">
      <alignment horizontal="center"/>
    </xf>
    <xf numFmtId="0" fontId="14" fillId="25" borderId="0" xfId="0" applyFont="1" applyFill="1"/>
    <xf numFmtId="0" fontId="14" fillId="0" borderId="0" xfId="0" applyFont="1"/>
    <xf numFmtId="0" fontId="0" fillId="25" borderId="22" xfId="0" applyFill="1" applyBorder="1"/>
    <xf numFmtId="0" fontId="15" fillId="25" borderId="0" xfId="0" applyFont="1" applyFill="1" applyAlignment="1" applyProtection="1">
      <alignment vertical="center"/>
    </xf>
    <xf numFmtId="0" fontId="12" fillId="25" borderId="20" xfId="0" applyFont="1" applyFill="1" applyBorder="1" applyAlignment="1" applyProtection="1">
      <alignment horizontal="left" vertical="center"/>
    </xf>
    <xf numFmtId="9" fontId="7" fillId="25" borderId="14" xfId="32" applyFont="1" applyFill="1" applyBorder="1" applyAlignment="1" applyProtection="1">
      <alignment horizontal="center" vertical="center"/>
    </xf>
    <xf numFmtId="0" fontId="5" fillId="25" borderId="14" xfId="0" applyFont="1" applyFill="1" applyBorder="1" applyAlignment="1" applyProtection="1">
      <alignment horizontal="left" vertical="center"/>
    </xf>
    <xf numFmtId="0" fontId="0" fillId="0" borderId="0" xfId="0" applyFill="1"/>
    <xf numFmtId="14" fontId="0" fillId="0" borderId="0" xfId="0" applyNumberFormat="1" applyFill="1"/>
    <xf numFmtId="0" fontId="0" fillId="0" borderId="0" xfId="0" applyFill="1" applyAlignment="1">
      <alignment horizontal="center"/>
    </xf>
    <xf numFmtId="0" fontId="7" fillId="25" borderId="11" xfId="0" applyFont="1" applyFill="1" applyBorder="1" applyAlignment="1" applyProtection="1">
      <alignment horizontal="center"/>
    </xf>
    <xf numFmtId="0" fontId="20" fillId="25" borderId="55" xfId="0" applyFont="1" applyFill="1" applyBorder="1" applyAlignment="1">
      <alignment horizontal="center" wrapText="1"/>
    </xf>
    <xf numFmtId="0" fontId="31" fillId="28" borderId="13" xfId="0" applyFont="1" applyFill="1" applyBorder="1" applyAlignment="1">
      <alignment wrapText="1"/>
    </xf>
    <xf numFmtId="0" fontId="8" fillId="29" borderId="13" xfId="0" applyFont="1" applyFill="1" applyBorder="1" applyAlignment="1">
      <alignment wrapText="1"/>
    </xf>
    <xf numFmtId="0" fontId="8" fillId="0" borderId="0" xfId="0" applyFont="1" applyAlignment="1">
      <alignment wrapText="1"/>
    </xf>
    <xf numFmtId="0" fontId="32" fillId="25" borderId="13" xfId="0" applyFont="1" applyFill="1" applyBorder="1" applyAlignment="1">
      <alignment horizontal="center" wrapText="1"/>
    </xf>
    <xf numFmtId="0" fontId="33" fillId="28" borderId="13" xfId="0" applyFont="1" applyFill="1" applyBorder="1" applyAlignment="1">
      <alignment wrapText="1"/>
    </xf>
    <xf numFmtId="0" fontId="33" fillId="29" borderId="13" xfId="0" applyFont="1" applyFill="1" applyBorder="1" applyAlignment="1">
      <alignment wrapText="1"/>
    </xf>
    <xf numFmtId="0" fontId="33" fillId="0" borderId="0" xfId="0" applyFont="1" applyAlignment="1">
      <alignment wrapText="1"/>
    </xf>
    <xf numFmtId="0" fontId="22" fillId="25" borderId="13" xfId="0" applyFont="1" applyFill="1" applyBorder="1" applyAlignment="1">
      <alignment horizontal="center" wrapText="1"/>
    </xf>
    <xf numFmtId="0" fontId="7" fillId="28" borderId="13" xfId="0" applyFont="1" applyFill="1" applyBorder="1" applyAlignment="1">
      <alignment wrapText="1"/>
    </xf>
    <xf numFmtId="0" fontId="7" fillId="29" borderId="13" xfId="0" applyFont="1" applyFill="1" applyBorder="1" applyAlignment="1">
      <alignment wrapText="1"/>
    </xf>
    <xf numFmtId="0" fontId="7" fillId="0" borderId="0" xfId="0" applyFont="1" applyAlignment="1">
      <alignment wrapText="1"/>
    </xf>
    <xf numFmtId="0" fontId="6" fillId="25" borderId="54" xfId="0" applyFont="1" applyFill="1" applyBorder="1" applyAlignment="1" applyProtection="1">
      <alignment horizontal="center" vertical="center"/>
    </xf>
    <xf numFmtId="165" fontId="5" fillId="25" borderId="50" xfId="0" applyNumberFormat="1" applyFont="1" applyFill="1" applyBorder="1" applyAlignment="1" applyProtection="1">
      <alignment horizontal="center" vertical="center"/>
    </xf>
    <xf numFmtId="0" fontId="10" fillId="25" borderId="14" xfId="0" applyFont="1" applyFill="1" applyBorder="1" applyAlignment="1" applyProtection="1">
      <alignment vertical="center"/>
    </xf>
    <xf numFmtId="0" fontId="11" fillId="25" borderId="22" xfId="0" applyFont="1" applyFill="1" applyBorder="1" applyAlignment="1" applyProtection="1">
      <alignment horizontal="center" vertical="center"/>
    </xf>
    <xf numFmtId="0" fontId="10" fillId="25" borderId="62" xfId="0" applyFont="1" applyFill="1" applyBorder="1" applyAlignment="1" applyProtection="1">
      <alignment horizontal="center" vertical="center"/>
    </xf>
    <xf numFmtId="0" fontId="18" fillId="25" borderId="14" xfId="0" applyFont="1" applyFill="1" applyBorder="1" applyProtection="1"/>
    <xf numFmtId="0" fontId="7" fillId="28" borderId="13" xfId="0" quotePrefix="1" applyFont="1" applyFill="1" applyBorder="1" applyAlignment="1">
      <alignment wrapText="1"/>
    </xf>
    <xf numFmtId="0" fontId="27" fillId="25" borderId="0" xfId="0" applyFont="1" applyFill="1" applyProtection="1"/>
    <xf numFmtId="0" fontId="22" fillId="25" borderId="55" xfId="0" applyFont="1" applyFill="1" applyBorder="1" applyAlignment="1">
      <alignment horizontal="center" wrapText="1"/>
    </xf>
    <xf numFmtId="0" fontId="7" fillId="28" borderId="55" xfId="0" applyFont="1" applyFill="1" applyBorder="1" applyAlignment="1">
      <alignment wrapText="1"/>
    </xf>
    <xf numFmtId="0" fontId="7" fillId="29" borderId="55" xfId="0" applyFont="1" applyFill="1" applyBorder="1" applyAlignment="1">
      <alignment wrapText="1"/>
    </xf>
    <xf numFmtId="2" fontId="18" fillId="25" borderId="0" xfId="0" applyNumberFormat="1" applyFont="1" applyFill="1" applyProtection="1"/>
    <xf numFmtId="0" fontId="0" fillId="25" borderId="0" xfId="0" applyFill="1" applyProtection="1"/>
    <xf numFmtId="0" fontId="2" fillId="25" borderId="29" xfId="0" applyFont="1" applyFill="1" applyBorder="1"/>
    <xf numFmtId="0" fontId="2" fillId="0" borderId="0" xfId="0" applyFont="1" applyFill="1"/>
    <xf numFmtId="0" fontId="0" fillId="31" borderId="0" xfId="0" applyFill="1"/>
    <xf numFmtId="0" fontId="3" fillId="31" borderId="0" xfId="0" applyFont="1" applyFill="1"/>
    <xf numFmtId="0" fontId="14" fillId="31" borderId="0" xfId="0" applyFont="1" applyFill="1"/>
    <xf numFmtId="0" fontId="7" fillId="25" borderId="19" xfId="0" applyFont="1" applyFill="1" applyBorder="1" applyProtection="1"/>
    <xf numFmtId="0" fontId="7" fillId="25" borderId="28" xfId="0" applyFont="1" applyFill="1" applyBorder="1" applyAlignment="1" applyProtection="1">
      <alignment horizontal="left" vertical="center"/>
    </xf>
    <xf numFmtId="0" fontId="7" fillId="25" borderId="14" xfId="0" applyFont="1" applyFill="1" applyBorder="1" applyProtection="1"/>
    <xf numFmtId="0" fontId="7" fillId="25" borderId="20" xfId="0" applyFont="1" applyFill="1" applyBorder="1" applyAlignment="1" applyProtection="1">
      <alignment horizontal="center"/>
    </xf>
    <xf numFmtId="0" fontId="7" fillId="25" borderId="20" xfId="0" applyFont="1" applyFill="1" applyBorder="1" applyProtection="1"/>
    <xf numFmtId="0" fontId="20" fillId="25" borderId="18" xfId="0" applyFont="1" applyFill="1" applyBorder="1" applyAlignment="1" applyProtection="1">
      <alignment horizontal="left" vertical="center"/>
    </xf>
    <xf numFmtId="0" fontId="12" fillId="25" borderId="14" xfId="0" applyFont="1" applyFill="1" applyBorder="1" applyAlignment="1" applyProtection="1">
      <alignment horizontal="left" vertical="center"/>
    </xf>
    <xf numFmtId="0" fontId="8" fillId="25" borderId="18" xfId="0" applyFont="1" applyFill="1" applyBorder="1" applyAlignment="1" applyProtection="1">
      <alignment vertical="center"/>
    </xf>
    <xf numFmtId="0" fontId="8" fillId="25" borderId="19" xfId="0" applyFont="1" applyFill="1" applyBorder="1" applyAlignment="1" applyProtection="1">
      <alignment horizontal="center" vertical="center"/>
    </xf>
    <xf numFmtId="0" fontId="7" fillId="31" borderId="64" xfId="33" applyNumberFormat="1" applyFont="1" applyFill="1" applyBorder="1" applyAlignment="1" applyProtection="1">
      <alignment horizontal="left"/>
    </xf>
    <xf numFmtId="0" fontId="7" fillId="31" borderId="17" xfId="33" applyNumberFormat="1" applyFont="1" applyFill="1" applyBorder="1" applyAlignment="1" applyProtection="1">
      <alignment horizontal="left"/>
    </xf>
    <xf numFmtId="0" fontId="13" fillId="25" borderId="0" xfId="0" applyFont="1" applyFill="1" applyAlignment="1" applyProtection="1">
      <alignment horizontal="right"/>
    </xf>
    <xf numFmtId="0" fontId="7" fillId="25" borderId="14" xfId="0" applyFont="1" applyFill="1" applyBorder="1" applyAlignment="1" applyProtection="1">
      <alignment horizontal="center"/>
    </xf>
    <xf numFmtId="0" fontId="7" fillId="25" borderId="33" xfId="0" applyFont="1" applyFill="1" applyBorder="1" applyAlignment="1" applyProtection="1">
      <alignment horizontal="left" vertical="center"/>
    </xf>
    <xf numFmtId="0" fontId="64" fillId="25" borderId="0" xfId="0" applyFont="1" applyFill="1" applyProtection="1"/>
    <xf numFmtId="0" fontId="57" fillId="25" borderId="0" xfId="0" applyFont="1" applyFill="1" applyProtection="1"/>
    <xf numFmtId="0" fontId="0" fillId="31" borderId="25" xfId="0" applyFill="1" applyBorder="1" applyAlignment="1">
      <alignment horizontal="center"/>
    </xf>
    <xf numFmtId="0" fontId="0" fillId="31" borderId="29" xfId="0" applyFill="1" applyBorder="1" applyAlignment="1">
      <alignment horizontal="center"/>
    </xf>
    <xf numFmtId="0" fontId="0" fillId="25" borderId="71" xfId="0" applyFill="1" applyBorder="1"/>
    <xf numFmtId="166" fontId="0" fillId="31" borderId="27" xfId="0" applyNumberFormat="1" applyFill="1" applyBorder="1" applyAlignment="1">
      <alignment horizontal="center"/>
    </xf>
    <xf numFmtId="166" fontId="0" fillId="31" borderId="0" xfId="0" applyNumberFormat="1" applyFill="1" applyBorder="1" applyAlignment="1">
      <alignment horizontal="center"/>
    </xf>
    <xf numFmtId="0" fontId="0" fillId="31" borderId="15" xfId="0" applyFill="1" applyBorder="1" applyAlignment="1">
      <alignment horizontal="center"/>
    </xf>
    <xf numFmtId="0" fontId="0" fillId="31" borderId="71" xfId="0" applyFill="1" applyBorder="1" applyAlignment="1">
      <alignment horizontal="center"/>
    </xf>
    <xf numFmtId="0" fontId="7" fillId="25" borderId="18" xfId="0" applyFont="1" applyFill="1" applyBorder="1" applyAlignment="1" applyProtection="1">
      <alignment horizontal="right" vertical="center"/>
    </xf>
    <xf numFmtId="0" fontId="25" fillId="25" borderId="36" xfId="0" applyFont="1" applyFill="1" applyBorder="1" applyAlignment="1" applyProtection="1">
      <alignment horizontal="center" vertical="center" wrapText="1"/>
    </xf>
    <xf numFmtId="0" fontId="7" fillId="31" borderId="58" xfId="0" applyFont="1" applyFill="1" applyBorder="1" applyAlignment="1" applyProtection="1">
      <alignment horizontal="right"/>
    </xf>
    <xf numFmtId="0" fontId="0" fillId="25" borderId="0" xfId="0" applyFill="1" applyAlignment="1" applyProtection="1"/>
    <xf numFmtId="0" fontId="0" fillId="25" borderId="0" xfId="0" applyFill="1" applyBorder="1" applyAlignment="1" applyProtection="1"/>
    <xf numFmtId="0" fontId="61" fillId="25" borderId="0" xfId="0" applyFont="1" applyFill="1" applyAlignment="1" applyProtection="1"/>
    <xf numFmtId="0" fontId="7" fillId="25" borderId="22" xfId="0" applyFont="1" applyFill="1" applyBorder="1" applyProtection="1"/>
    <xf numFmtId="0" fontId="7" fillId="25" borderId="17" xfId="0" applyFont="1" applyFill="1" applyBorder="1" applyProtection="1"/>
    <xf numFmtId="0" fontId="0" fillId="25" borderId="18" xfId="0" applyFill="1" applyBorder="1" applyProtection="1"/>
    <xf numFmtId="0" fontId="20" fillId="33" borderId="55" xfId="0" applyFont="1" applyFill="1" applyBorder="1" applyAlignment="1">
      <alignment horizontal="center" wrapText="1"/>
    </xf>
    <xf numFmtId="0" fontId="7" fillId="0" borderId="0" xfId="0" applyFont="1" applyAlignment="1">
      <alignment horizontal="left" wrapText="1"/>
    </xf>
    <xf numFmtId="0" fontId="22" fillId="25" borderId="13" xfId="0" applyFont="1" applyFill="1" applyBorder="1" applyAlignment="1">
      <alignment horizontal="left" wrapText="1"/>
    </xf>
    <xf numFmtId="0" fontId="22" fillId="25" borderId="55" xfId="0" applyFont="1" applyFill="1" applyBorder="1" applyAlignment="1">
      <alignment horizontal="left" wrapText="1"/>
    </xf>
    <xf numFmtId="0" fontId="22" fillId="31" borderId="55" xfId="0" applyFont="1" applyFill="1" applyBorder="1" applyAlignment="1">
      <alignment horizontal="center" wrapText="1"/>
    </xf>
    <xf numFmtId="0" fontId="8" fillId="32" borderId="13" xfId="0" applyFont="1" applyFill="1" applyBorder="1" applyAlignment="1">
      <alignment wrapText="1"/>
    </xf>
    <xf numFmtId="0" fontId="7" fillId="32" borderId="13" xfId="0" applyFont="1" applyFill="1" applyBorder="1" applyAlignment="1">
      <alignment wrapText="1"/>
    </xf>
    <xf numFmtId="0" fontId="33" fillId="32" borderId="13" xfId="0" applyFont="1" applyFill="1" applyBorder="1" applyAlignment="1">
      <alignment wrapText="1"/>
    </xf>
    <xf numFmtId="0" fontId="7" fillId="32" borderId="55" xfId="0" applyFont="1" applyFill="1" applyBorder="1" applyAlignment="1">
      <alignment wrapText="1"/>
    </xf>
    <xf numFmtId="166" fontId="7" fillId="28" borderId="13" xfId="0" applyNumberFormat="1" applyFont="1" applyFill="1" applyBorder="1" applyAlignment="1">
      <alignment wrapText="1"/>
    </xf>
    <xf numFmtId="166" fontId="7" fillId="32" borderId="13" xfId="0" applyNumberFormat="1" applyFont="1" applyFill="1" applyBorder="1" applyAlignment="1">
      <alignment wrapText="1"/>
    </xf>
    <xf numFmtId="171" fontId="7" fillId="28" borderId="13" xfId="44" applyNumberFormat="1" applyFont="1" applyFill="1" applyBorder="1" applyAlignment="1">
      <alignment wrapText="1"/>
    </xf>
    <xf numFmtId="171" fontId="7" fillId="32" borderId="13" xfId="44" applyNumberFormat="1" applyFont="1" applyFill="1" applyBorder="1" applyAlignment="1">
      <alignment wrapText="1"/>
    </xf>
    <xf numFmtId="171" fontId="7" fillId="29" borderId="13" xfId="44" applyNumberFormat="1" applyFont="1" applyFill="1" applyBorder="1" applyAlignment="1">
      <alignment wrapText="1"/>
    </xf>
    <xf numFmtId="171" fontId="7" fillId="0" borderId="0" xfId="44" applyNumberFormat="1" applyFont="1" applyAlignment="1">
      <alignment wrapText="1"/>
    </xf>
    <xf numFmtId="0" fontId="7" fillId="28" borderId="55" xfId="0" quotePrefix="1" applyFont="1" applyFill="1" applyBorder="1" applyAlignment="1">
      <alignment wrapText="1"/>
    </xf>
    <xf numFmtId="0" fontId="22" fillId="25" borderId="54" xfId="0" applyFont="1" applyFill="1" applyBorder="1" applyAlignment="1">
      <alignment horizontal="center" wrapText="1"/>
    </xf>
    <xf numFmtId="0" fontId="22" fillId="25" borderId="54" xfId="0" applyFont="1" applyFill="1" applyBorder="1" applyAlignment="1">
      <alignment horizontal="left" wrapText="1"/>
    </xf>
    <xf numFmtId="0" fontId="7" fillId="28" borderId="54" xfId="0" applyFont="1" applyFill="1" applyBorder="1" applyAlignment="1">
      <alignment wrapText="1"/>
    </xf>
    <xf numFmtId="0" fontId="7" fillId="32" borderId="54" xfId="0" applyFont="1" applyFill="1" applyBorder="1" applyAlignment="1">
      <alignment wrapText="1"/>
    </xf>
    <xf numFmtId="0" fontId="7" fillId="29" borderId="54" xfId="0" applyFont="1" applyFill="1" applyBorder="1" applyAlignment="1">
      <alignment wrapText="1"/>
    </xf>
    <xf numFmtId="0" fontId="7" fillId="0" borderId="0" xfId="0" applyFont="1" applyBorder="1" applyAlignment="1">
      <alignment wrapText="1"/>
    </xf>
    <xf numFmtId="0" fontId="5" fillId="25" borderId="14" xfId="0" applyFont="1" applyFill="1" applyBorder="1" applyAlignment="1" applyProtection="1">
      <alignment vertical="center"/>
    </xf>
    <xf numFmtId="0" fontId="22" fillId="25" borderId="16" xfId="0" applyFont="1" applyFill="1" applyBorder="1" applyAlignment="1">
      <alignment horizontal="center" wrapText="1"/>
    </xf>
    <xf numFmtId="0" fontId="22" fillId="25" borderId="16" xfId="0" applyFont="1" applyFill="1" applyBorder="1" applyAlignment="1">
      <alignment horizontal="left" wrapText="1"/>
    </xf>
    <xf numFmtId="0" fontId="7" fillId="28" borderId="16" xfId="0" applyFont="1" applyFill="1" applyBorder="1" applyAlignment="1">
      <alignment wrapText="1"/>
    </xf>
    <xf numFmtId="0" fontId="7" fillId="32" borderId="16" xfId="0" applyFont="1" applyFill="1" applyBorder="1" applyAlignment="1">
      <alignment wrapText="1"/>
    </xf>
    <xf numFmtId="0" fontId="7" fillId="29" borderId="16" xfId="0" applyFont="1" applyFill="1" applyBorder="1" applyAlignment="1">
      <alignment wrapText="1"/>
    </xf>
    <xf numFmtId="0" fontId="22" fillId="25" borderId="39" xfId="0" applyFont="1" applyFill="1" applyBorder="1" applyAlignment="1">
      <alignment horizontal="center" wrapText="1"/>
    </xf>
    <xf numFmtId="0" fontId="20" fillId="31" borderId="55" xfId="0" applyFont="1" applyFill="1" applyBorder="1" applyAlignment="1">
      <alignment horizontal="center" wrapText="1"/>
    </xf>
    <xf numFmtId="0" fontId="22" fillId="31" borderId="13" xfId="0" applyFont="1" applyFill="1" applyBorder="1" applyAlignment="1">
      <alignment horizontal="center" wrapText="1"/>
    </xf>
    <xf numFmtId="0" fontId="32" fillId="31" borderId="13" xfId="0" applyFont="1" applyFill="1" applyBorder="1" applyAlignment="1">
      <alignment horizontal="center" wrapText="1"/>
    </xf>
    <xf numFmtId="0" fontId="22" fillId="31" borderId="54" xfId="0" applyFont="1" applyFill="1" applyBorder="1" applyAlignment="1">
      <alignment horizontal="center" wrapText="1"/>
    </xf>
    <xf numFmtId="0" fontId="22" fillId="31" borderId="16" xfId="0" applyFont="1" applyFill="1" applyBorder="1" applyAlignment="1">
      <alignment horizontal="center" wrapText="1"/>
    </xf>
    <xf numFmtId="0" fontId="8" fillId="34" borderId="0" xfId="0" applyFont="1" applyFill="1" applyAlignment="1" applyProtection="1">
      <alignment horizontal="left" wrapText="1"/>
      <protection locked="0"/>
    </xf>
    <xf numFmtId="14" fontId="0" fillId="0" borderId="0" xfId="0" applyNumberFormat="1" applyFill="1" applyBorder="1"/>
    <xf numFmtId="0" fontId="0" fillId="0" borderId="0" xfId="0" applyFill="1" applyBorder="1" applyAlignment="1">
      <alignment horizontal="center"/>
    </xf>
    <xf numFmtId="14" fontId="0" fillId="0" borderId="0" xfId="0" applyNumberFormat="1" applyBorder="1"/>
    <xf numFmtId="0" fontId="0" fillId="0" borderId="0" xfId="0" applyBorder="1" applyAlignment="1">
      <alignment horizontal="center"/>
    </xf>
    <xf numFmtId="0" fontId="0" fillId="0" borderId="0" xfId="0" applyFont="1" applyFill="1" applyBorder="1"/>
    <xf numFmtId="0" fontId="2" fillId="0" borderId="0" xfId="0" applyFont="1" applyFill="1" applyBorder="1"/>
    <xf numFmtId="14" fontId="2" fillId="0" borderId="0" xfId="0" applyNumberFormat="1" applyFont="1" applyFill="1" applyBorder="1"/>
    <xf numFmtId="0" fontId="52" fillId="0" borderId="0" xfId="0" applyFont="1" applyFill="1"/>
    <xf numFmtId="0" fontId="14" fillId="0" borderId="0" xfId="0" applyFont="1" applyFill="1" applyAlignment="1">
      <alignment wrapText="1"/>
    </xf>
    <xf numFmtId="0" fontId="14" fillId="0" borderId="0" xfId="0" applyFont="1" applyFill="1" applyBorder="1" applyAlignment="1">
      <alignment horizontal="center" wrapText="1"/>
    </xf>
    <xf numFmtId="0" fontId="0" fillId="0" borderId="0" xfId="0" applyFont="1" applyFill="1" applyBorder="1" applyAlignment="1">
      <alignment horizontal="center"/>
    </xf>
    <xf numFmtId="0" fontId="2" fillId="0" borderId="0" xfId="0" applyFont="1" applyFill="1" applyAlignment="1">
      <alignment horizontal="center"/>
    </xf>
    <xf numFmtId="0" fontId="1" fillId="0" borderId="0" xfId="0" applyFont="1" applyFill="1" applyAlignment="1">
      <alignment wrapText="1"/>
    </xf>
    <xf numFmtId="0" fontId="2" fillId="0" borderId="0" xfId="0" applyFont="1" applyAlignment="1">
      <alignment horizontal="left"/>
    </xf>
    <xf numFmtId="0" fontId="0" fillId="0" borderId="0" xfId="0" applyAlignment="1">
      <alignment horizontal="left"/>
    </xf>
    <xf numFmtId="3" fontId="0" fillId="0" borderId="0" xfId="0" applyNumberFormat="1" applyAlignment="1">
      <alignment horizontal="left"/>
    </xf>
    <xf numFmtId="0" fontId="0" fillId="0" borderId="18" xfId="0" applyBorder="1" applyAlignment="1">
      <alignment horizontal="left"/>
    </xf>
    <xf numFmtId="0" fontId="0" fillId="0" borderId="18" xfId="0" applyBorder="1"/>
    <xf numFmtId="4" fontId="0" fillId="0" borderId="0" xfId="0" applyNumberFormat="1" applyAlignment="1">
      <alignment horizontal="left"/>
    </xf>
    <xf numFmtId="2" fontId="0" fillId="0" borderId="0" xfId="0" applyNumberFormat="1" applyAlignment="1">
      <alignment horizontal="left"/>
    </xf>
    <xf numFmtId="0" fontId="13" fillId="25" borderId="0" xfId="0" applyFont="1" applyFill="1" applyAlignment="1" applyProtection="1">
      <alignment vertical="center"/>
    </xf>
    <xf numFmtId="0" fontId="7" fillId="25" borderId="25" xfId="0" applyFont="1" applyFill="1" applyBorder="1" applyAlignment="1" applyProtection="1">
      <alignment horizontal="center"/>
    </xf>
    <xf numFmtId="0" fontId="7" fillId="25" borderId="29" xfId="0" applyFont="1" applyFill="1" applyBorder="1" applyAlignment="1" applyProtection="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7" fillId="31" borderId="57" xfId="0" applyFont="1" applyFill="1" applyBorder="1" applyAlignment="1" applyProtection="1">
      <alignment horizontal="right"/>
    </xf>
    <xf numFmtId="0" fontId="0" fillId="0" borderId="0" xfId="0" quotePrefix="1" applyFill="1" applyBorder="1" applyAlignment="1">
      <alignment horizontal="center"/>
    </xf>
    <xf numFmtId="0" fontId="7" fillId="25" borderId="65" xfId="0" applyFont="1" applyFill="1" applyBorder="1" applyAlignment="1" applyProtection="1">
      <alignment vertical="center"/>
    </xf>
    <xf numFmtId="0" fontId="7" fillId="25" borderId="44" xfId="0" applyFont="1" applyFill="1" applyBorder="1" applyAlignment="1" applyProtection="1">
      <alignment vertical="center"/>
    </xf>
    <xf numFmtId="0" fontId="20" fillId="25" borderId="20" xfId="0" applyFont="1" applyFill="1" applyBorder="1" applyAlignment="1" applyProtection="1">
      <alignment horizontal="left" vertical="center"/>
    </xf>
    <xf numFmtId="0" fontId="5" fillId="31" borderId="58" xfId="0" applyFont="1" applyFill="1" applyBorder="1" applyAlignment="1" applyProtection="1">
      <alignment horizontal="center"/>
      <protection locked="0"/>
    </xf>
    <xf numFmtId="0" fontId="12" fillId="25" borderId="71" xfId="0" applyFont="1" applyFill="1" applyBorder="1" applyAlignment="1" applyProtection="1">
      <alignment vertical="center"/>
    </xf>
    <xf numFmtId="0" fontId="7" fillId="25" borderId="71" xfId="0" applyFont="1" applyFill="1" applyBorder="1" applyAlignment="1" applyProtection="1">
      <alignment horizontal="left" vertical="center"/>
    </xf>
    <xf numFmtId="0" fontId="7" fillId="25" borderId="71" xfId="0" applyFont="1" applyFill="1" applyBorder="1" applyAlignment="1" applyProtection="1">
      <alignment horizontal="right" vertical="center"/>
    </xf>
    <xf numFmtId="0" fontId="7" fillId="25" borderId="71" xfId="0" applyFont="1" applyFill="1" applyBorder="1" applyAlignment="1" applyProtection="1">
      <alignment horizontal="center" vertical="center"/>
    </xf>
    <xf numFmtId="0" fontId="5" fillId="25" borderId="71" xfId="0" applyFont="1" applyFill="1" applyBorder="1" applyAlignment="1" applyProtection="1">
      <alignment vertical="center"/>
    </xf>
    <xf numFmtId="0" fontId="5" fillId="31" borderId="71" xfId="33" applyNumberFormat="1" applyFont="1" applyFill="1" applyBorder="1" applyAlignment="1" applyProtection="1">
      <alignment horizontal="right" vertical="center"/>
    </xf>
    <xf numFmtId="168" fontId="7" fillId="25" borderId="71" xfId="0" applyNumberFormat="1" applyFont="1" applyFill="1" applyBorder="1" applyProtection="1"/>
    <xf numFmtId="168" fontId="7" fillId="25" borderId="11" xfId="0" applyNumberFormat="1" applyFont="1" applyFill="1" applyBorder="1" applyProtection="1"/>
    <xf numFmtId="168" fontId="7" fillId="25" borderId="71" xfId="0" applyNumberFormat="1" applyFont="1" applyFill="1" applyBorder="1" applyAlignment="1" applyProtection="1">
      <alignment vertical="center"/>
    </xf>
    <xf numFmtId="164" fontId="5" fillId="25" borderId="51" xfId="0" applyNumberFormat="1" applyFont="1" applyFill="1" applyBorder="1" applyAlignment="1" applyProtection="1">
      <alignment horizontal="center" vertical="center"/>
    </xf>
    <xf numFmtId="0" fontId="2" fillId="0" borderId="0" xfId="0" quotePrefix="1" applyFont="1" applyFill="1" applyBorder="1" applyAlignment="1">
      <alignment horizontal="center"/>
    </xf>
    <xf numFmtId="0" fontId="5" fillId="25" borderId="58" xfId="0" applyFont="1" applyFill="1" applyBorder="1" applyAlignment="1" applyProtection="1">
      <alignment vertical="center"/>
    </xf>
    <xf numFmtId="0" fontId="5" fillId="25" borderId="22" xfId="0" applyFont="1" applyFill="1" applyBorder="1" applyAlignment="1" applyProtection="1">
      <alignment vertical="center"/>
    </xf>
    <xf numFmtId="0" fontId="7" fillId="25" borderId="71" xfId="0" applyFont="1" applyFill="1" applyBorder="1" applyProtection="1"/>
    <xf numFmtId="0" fontId="13" fillId="25" borderId="61" xfId="0" applyFont="1" applyFill="1" applyBorder="1" applyAlignment="1" applyProtection="1">
      <alignment horizontal="left" vertical="center"/>
    </xf>
    <xf numFmtId="0" fontId="13" fillId="25" borderId="18" xfId="0" applyFont="1" applyFill="1" applyBorder="1" applyAlignment="1" applyProtection="1">
      <alignment horizontal="left" vertical="center"/>
    </xf>
    <xf numFmtId="0" fontId="13" fillId="25" borderId="62" xfId="0" applyFont="1" applyFill="1" applyBorder="1" applyAlignment="1" applyProtection="1">
      <alignment horizontal="left" vertical="center"/>
    </xf>
    <xf numFmtId="0" fontId="7" fillId="25" borderId="42" xfId="0" applyFont="1" applyFill="1" applyBorder="1" applyAlignment="1" applyProtection="1">
      <alignment horizontal="right" vertical="center"/>
    </xf>
    <xf numFmtId="0" fontId="13" fillId="25" borderId="61" xfId="0" applyFont="1" applyFill="1" applyBorder="1" applyAlignment="1" applyProtection="1">
      <alignment horizontal="center" vertical="center"/>
    </xf>
    <xf numFmtId="0" fontId="7" fillId="25" borderId="58" xfId="0" applyFont="1" applyFill="1" applyBorder="1" applyAlignment="1">
      <alignment vertical="center"/>
    </xf>
    <xf numFmtId="0" fontId="29" fillId="25" borderId="0" xfId="0" applyFont="1" applyFill="1" applyAlignment="1">
      <alignment vertical="top"/>
    </xf>
    <xf numFmtId="0" fontId="2" fillId="25" borderId="0" xfId="0" applyFont="1" applyFill="1" applyAlignment="1">
      <alignment vertical="top"/>
    </xf>
    <xf numFmtId="0" fontId="26" fillId="25" borderId="0" xfId="0" applyFont="1" applyFill="1" applyAlignment="1">
      <alignment horizontal="right" vertical="top"/>
    </xf>
    <xf numFmtId="0" fontId="13" fillId="25" borderId="0" xfId="33" applyNumberFormat="1" applyFont="1" applyFill="1" applyAlignment="1">
      <alignment horizontal="right"/>
    </xf>
    <xf numFmtId="0" fontId="4" fillId="25" borderId="0" xfId="0" applyFont="1" applyFill="1" applyAlignment="1">
      <alignment vertical="top"/>
    </xf>
    <xf numFmtId="0" fontId="2" fillId="25" borderId="0" xfId="33" applyNumberFormat="1" applyFont="1" applyFill="1"/>
    <xf numFmtId="0" fontId="7" fillId="25" borderId="0" xfId="0" applyFont="1" applyFill="1" applyAlignment="1">
      <alignment vertical="top"/>
    </xf>
    <xf numFmtId="0" fontId="7" fillId="25" borderId="0" xfId="0" applyFont="1" applyFill="1" applyAlignment="1">
      <alignment horizontal="left" vertical="top" wrapText="1"/>
    </xf>
    <xf numFmtId="0" fontId="7" fillId="25" borderId="26" xfId="0" applyFont="1" applyFill="1" applyBorder="1" applyAlignment="1">
      <alignment horizontal="left" vertical="top" wrapText="1"/>
    </xf>
    <xf numFmtId="0" fontId="7" fillId="25" borderId="11" xfId="0" applyFont="1" applyFill="1" applyBorder="1" applyAlignment="1">
      <alignment vertical="top"/>
    </xf>
    <xf numFmtId="0" fontId="7" fillId="25" borderId="26" xfId="0" applyFont="1" applyFill="1" applyBorder="1" applyAlignment="1">
      <alignment horizontal="left" vertical="top"/>
    </xf>
    <xf numFmtId="0" fontId="7" fillId="25" borderId="0" xfId="0" applyFont="1" applyFill="1" applyBorder="1" applyAlignment="1">
      <alignment horizontal="left" vertical="top"/>
    </xf>
    <xf numFmtId="0" fontId="2" fillId="25" borderId="0" xfId="0" applyFont="1" applyFill="1" applyBorder="1" applyAlignment="1">
      <alignment horizontal="left" vertical="top"/>
    </xf>
    <xf numFmtId="0" fontId="7" fillId="25" borderId="25" xfId="0" applyFont="1" applyFill="1" applyBorder="1" applyAlignment="1">
      <alignment horizontal="left" vertical="top" wrapText="1"/>
    </xf>
    <xf numFmtId="0" fontId="7" fillId="25" borderId="28" xfId="0" applyFont="1" applyFill="1" applyBorder="1" applyAlignment="1">
      <alignment vertical="top"/>
    </xf>
    <xf numFmtId="0" fontId="7" fillId="25" borderId="25" xfId="0" applyFont="1" applyFill="1" applyBorder="1" applyAlignment="1">
      <alignment vertical="top"/>
    </xf>
    <xf numFmtId="0" fontId="7" fillId="25" borderId="19" xfId="0" applyFont="1" applyFill="1" applyBorder="1" applyAlignment="1">
      <alignment vertical="top"/>
    </xf>
    <xf numFmtId="0" fontId="7" fillId="25" borderId="29" xfId="0" applyFont="1" applyFill="1" applyBorder="1" applyAlignment="1">
      <alignment vertical="top"/>
    </xf>
    <xf numFmtId="0" fontId="7" fillId="25" borderId="72" xfId="0" applyFont="1" applyFill="1" applyBorder="1" applyAlignment="1">
      <alignment horizontal="left" vertical="top" wrapText="1"/>
    </xf>
    <xf numFmtId="0" fontId="7" fillId="36" borderId="15" xfId="0" applyFont="1" applyFill="1" applyBorder="1" applyAlignment="1">
      <alignment vertical="top"/>
    </xf>
    <xf numFmtId="0" fontId="7" fillId="36" borderId="71" xfId="0" applyFont="1" applyFill="1" applyBorder="1" applyAlignment="1">
      <alignment vertical="top"/>
    </xf>
    <xf numFmtId="0" fontId="7" fillId="36" borderId="11" xfId="0" applyFont="1" applyFill="1" applyBorder="1" applyAlignment="1">
      <alignment vertical="top"/>
    </xf>
    <xf numFmtId="0" fontId="7" fillId="25" borderId="20" xfId="0" applyFont="1" applyFill="1" applyBorder="1" applyAlignment="1" applyProtection="1">
      <alignment vertical="center"/>
    </xf>
    <xf numFmtId="0" fontId="7" fillId="25" borderId="14" xfId="0" applyFont="1" applyFill="1" applyBorder="1" applyAlignment="1">
      <alignment vertical="center"/>
    </xf>
    <xf numFmtId="0" fontId="7" fillId="25" borderId="60" xfId="0" applyFont="1" applyFill="1" applyBorder="1" applyAlignment="1" applyProtection="1">
      <alignment horizontal="right" vertical="center"/>
    </xf>
    <xf numFmtId="0" fontId="8" fillId="25" borderId="21" xfId="0" applyFont="1" applyFill="1" applyBorder="1" applyAlignment="1">
      <alignment horizontal="center" vertical="center"/>
    </xf>
    <xf numFmtId="0" fontId="8" fillId="25" borderId="73" xfId="0" applyFont="1" applyFill="1" applyBorder="1" applyAlignment="1">
      <alignment horizontal="center" vertical="center"/>
    </xf>
    <xf numFmtId="0" fontId="7" fillId="25" borderId="74" xfId="0" applyFont="1" applyFill="1" applyBorder="1" applyAlignment="1">
      <alignment horizontal="left" vertical="top" wrapText="1"/>
    </xf>
    <xf numFmtId="0" fontId="7" fillId="25" borderId="60" xfId="0" applyFont="1" applyFill="1" applyBorder="1" applyAlignment="1">
      <alignment horizontal="center" vertical="top"/>
    </xf>
    <xf numFmtId="0" fontId="7" fillId="25" borderId="21" xfId="0" applyFont="1" applyFill="1" applyBorder="1" applyAlignment="1">
      <alignment horizontal="center" vertical="top"/>
    </xf>
    <xf numFmtId="0" fontId="7" fillId="25" borderId="73" xfId="0" applyFont="1" applyFill="1" applyBorder="1" applyAlignment="1">
      <alignment horizontal="center" vertical="top"/>
    </xf>
    <xf numFmtId="0" fontId="7" fillId="36" borderId="68" xfId="0" applyFont="1" applyFill="1" applyBorder="1" applyAlignment="1">
      <alignment horizontal="center" vertical="top"/>
    </xf>
    <xf numFmtId="0" fontId="7" fillId="36" borderId="21" xfId="0" applyFont="1" applyFill="1" applyBorder="1" applyAlignment="1">
      <alignment horizontal="center" vertical="top"/>
    </xf>
    <xf numFmtId="0" fontId="7" fillId="36" borderId="73" xfId="0" applyFont="1" applyFill="1" applyBorder="1" applyAlignment="1">
      <alignment horizontal="center" vertical="top"/>
    </xf>
    <xf numFmtId="0" fontId="17" fillId="25" borderId="64" xfId="0" applyFont="1" applyFill="1" applyBorder="1" applyAlignment="1">
      <alignment vertical="center"/>
    </xf>
    <xf numFmtId="0" fontId="7" fillId="25" borderId="32" xfId="0" applyFont="1" applyFill="1" applyBorder="1" applyAlignment="1">
      <alignment horizontal="center" vertical="top"/>
    </xf>
    <xf numFmtId="0" fontId="7" fillId="25" borderId="75" xfId="0" applyFont="1" applyFill="1" applyBorder="1" applyAlignment="1">
      <alignment horizontal="center" vertical="top"/>
    </xf>
    <xf numFmtId="0" fontId="7" fillId="25" borderId="0" xfId="0" applyFont="1" applyFill="1" applyBorder="1" applyAlignment="1">
      <alignment horizontal="center" vertical="top"/>
    </xf>
    <xf numFmtId="0" fontId="7" fillId="25" borderId="28" xfId="0" applyFont="1" applyFill="1" applyBorder="1" applyAlignment="1">
      <alignment horizontal="center" vertical="top"/>
    </xf>
    <xf numFmtId="0" fontId="7" fillId="25" borderId="67" xfId="0" applyFont="1" applyFill="1" applyBorder="1" applyAlignment="1">
      <alignment vertical="top"/>
    </xf>
    <xf numFmtId="0" fontId="7" fillId="25" borderId="41" xfId="0" applyFont="1" applyFill="1" applyBorder="1" applyAlignment="1">
      <alignment vertical="top"/>
    </xf>
    <xf numFmtId="0" fontId="7" fillId="25" borderId="76" xfId="0" applyFont="1" applyFill="1" applyBorder="1" applyAlignment="1">
      <alignment vertical="top"/>
    </xf>
    <xf numFmtId="0" fontId="7" fillId="25" borderId="79" xfId="0" applyFont="1" applyFill="1" applyBorder="1" applyAlignment="1">
      <alignment horizontal="left" vertical="top" wrapText="1"/>
    </xf>
    <xf numFmtId="0" fontId="7" fillId="25" borderId="27" xfId="0" applyFont="1" applyFill="1" applyBorder="1" applyAlignment="1">
      <alignment vertical="top"/>
    </xf>
    <xf numFmtId="0" fontId="7" fillId="25" borderId="0" xfId="0" applyFont="1" applyFill="1" applyBorder="1" applyAlignment="1">
      <alignment vertical="top"/>
    </xf>
    <xf numFmtId="0" fontId="7" fillId="25" borderId="69" xfId="0" applyFont="1" applyFill="1" applyBorder="1" applyAlignment="1">
      <alignment vertical="top"/>
    </xf>
    <xf numFmtId="0" fontId="7" fillId="25" borderId="34" xfId="0" applyFont="1" applyFill="1" applyBorder="1" applyAlignment="1">
      <alignment vertical="top"/>
    </xf>
    <xf numFmtId="0" fontId="7" fillId="25" borderId="80" xfId="0" applyFont="1" applyFill="1" applyBorder="1" applyAlignment="1">
      <alignment vertical="top"/>
    </xf>
    <xf numFmtId="0" fontId="5" fillId="25" borderId="63" xfId="0" applyFont="1" applyFill="1" applyBorder="1" applyAlignment="1">
      <alignment horizontal="left" vertical="center" wrapText="1"/>
    </xf>
    <xf numFmtId="0" fontId="7" fillId="25" borderId="55" xfId="0" applyFont="1" applyFill="1" applyBorder="1" applyAlignment="1" applyProtection="1">
      <alignment horizontal="center" vertical="center"/>
      <protection locked="0"/>
    </xf>
    <xf numFmtId="0" fontId="7" fillId="25" borderId="81" xfId="0" applyFont="1" applyFill="1" applyBorder="1" applyAlignment="1" applyProtection="1">
      <alignment horizontal="center" vertical="center"/>
      <protection locked="0"/>
    </xf>
    <xf numFmtId="0" fontId="7" fillId="25" borderId="13" xfId="0" applyFont="1" applyFill="1" applyBorder="1" applyAlignment="1" applyProtection="1">
      <alignment horizontal="center" vertical="center"/>
      <protection locked="0"/>
    </xf>
    <xf numFmtId="0" fontId="7" fillId="25" borderId="82" xfId="0" applyFont="1" applyFill="1" applyBorder="1" applyAlignment="1" applyProtection="1">
      <alignment horizontal="center" vertical="center"/>
      <protection locked="0"/>
    </xf>
    <xf numFmtId="0" fontId="7" fillId="25" borderId="29" xfId="0" applyFont="1" applyFill="1" applyBorder="1" applyAlignment="1">
      <alignment horizontal="left" vertical="top" wrapText="1"/>
    </xf>
    <xf numFmtId="0" fontId="7" fillId="25" borderId="20" xfId="0" applyFont="1" applyFill="1" applyBorder="1" applyAlignment="1">
      <alignment vertical="top"/>
    </xf>
    <xf numFmtId="0" fontId="7" fillId="25" borderId="14" xfId="0" applyFont="1" applyFill="1" applyBorder="1" applyAlignment="1">
      <alignment vertical="top"/>
    </xf>
    <xf numFmtId="0" fontId="7" fillId="25" borderId="22" xfId="0" applyFont="1" applyFill="1" applyBorder="1" applyAlignment="1">
      <alignment vertical="top"/>
    </xf>
    <xf numFmtId="0" fontId="7" fillId="0" borderId="68" xfId="0" applyFont="1" applyBorder="1" applyAlignment="1">
      <alignment vertical="top"/>
    </xf>
    <xf numFmtId="0" fontId="7" fillId="0" borderId="21" xfId="0" applyFont="1" applyBorder="1" applyAlignment="1">
      <alignment vertical="top"/>
    </xf>
    <xf numFmtId="0" fontId="7" fillId="25" borderId="0" xfId="0" applyFont="1" applyFill="1" applyAlignment="1">
      <alignment horizontal="left" vertical="top"/>
    </xf>
    <xf numFmtId="0" fontId="8" fillId="25" borderId="0" xfId="0" applyFont="1" applyFill="1" applyAlignment="1">
      <alignment vertical="top"/>
    </xf>
    <xf numFmtId="0" fontId="7" fillId="25" borderId="26" xfId="0" applyFont="1" applyFill="1" applyBorder="1" applyAlignment="1">
      <alignment vertical="top"/>
    </xf>
    <xf numFmtId="0" fontId="5" fillId="25" borderId="68" xfId="0" applyFont="1" applyFill="1" applyBorder="1" applyAlignment="1">
      <alignment horizontal="center" vertical="center" wrapText="1"/>
    </xf>
    <xf numFmtId="0" fontId="7" fillId="25" borderId="47" xfId="0" applyFont="1" applyFill="1" applyBorder="1" applyAlignment="1">
      <alignment horizontal="center" vertical="top"/>
    </xf>
    <xf numFmtId="0" fontId="7" fillId="25" borderId="41" xfId="0" applyFont="1" applyFill="1" applyBorder="1" applyAlignment="1">
      <alignment horizontal="center" vertical="top"/>
    </xf>
    <xf numFmtId="0" fontId="7" fillId="25" borderId="76" xfId="0" applyFont="1" applyFill="1" applyBorder="1" applyAlignment="1">
      <alignment horizontal="center" vertical="top"/>
    </xf>
    <xf numFmtId="0" fontId="7" fillId="25" borderId="24" xfId="0" quotePrefix="1" applyFont="1" applyFill="1" applyBorder="1" applyAlignment="1">
      <alignment horizontal="center" vertical="center"/>
    </xf>
    <xf numFmtId="0" fontId="7" fillId="25" borderId="74" xfId="0" applyFont="1" applyFill="1" applyBorder="1" applyAlignment="1">
      <alignment vertical="top"/>
    </xf>
    <xf numFmtId="0" fontId="7" fillId="25" borderId="15" xfId="0" applyFont="1" applyFill="1" applyBorder="1" applyAlignment="1">
      <alignment vertical="top"/>
    </xf>
    <xf numFmtId="0" fontId="7" fillId="25" borderId="71" xfId="0" applyFont="1" applyFill="1" applyBorder="1" applyAlignment="1">
      <alignment vertical="top"/>
    </xf>
    <xf numFmtId="0" fontId="7" fillId="25" borderId="23" xfId="0" quotePrefix="1" applyFont="1" applyFill="1" applyBorder="1" applyAlignment="1">
      <alignment horizontal="center" vertical="center"/>
    </xf>
    <xf numFmtId="0" fontId="7" fillId="25" borderId="23" xfId="0" quotePrefix="1" applyFont="1" applyFill="1" applyBorder="1" applyAlignment="1">
      <alignment horizontal="center" vertical="top"/>
    </xf>
    <xf numFmtId="0" fontId="7" fillId="25" borderId="17" xfId="0" applyFont="1" applyFill="1" applyBorder="1" applyAlignment="1">
      <alignment vertical="top"/>
    </xf>
    <xf numFmtId="0" fontId="7" fillId="25" borderId="18" xfId="0" applyFont="1" applyFill="1" applyBorder="1" applyAlignment="1">
      <alignment vertical="top"/>
    </xf>
    <xf numFmtId="0" fontId="5" fillId="25" borderId="27" xfId="0" applyFont="1" applyFill="1" applyBorder="1" applyAlignment="1">
      <alignment horizontal="left" vertical="center"/>
    </xf>
    <xf numFmtId="0" fontId="7" fillId="25" borderId="0" xfId="0" applyFont="1" applyFill="1" applyBorder="1" applyAlignment="1">
      <alignment vertical="center"/>
    </xf>
    <xf numFmtId="0" fontId="7" fillId="25" borderId="83" xfId="0" applyFont="1" applyFill="1" applyBorder="1" applyAlignment="1">
      <alignment vertical="top"/>
    </xf>
    <xf numFmtId="0" fontId="7" fillId="25" borderId="67" xfId="0" applyFont="1" applyFill="1" applyBorder="1" applyAlignment="1">
      <alignment horizontal="center" vertical="top"/>
    </xf>
    <xf numFmtId="0" fontId="7" fillId="25" borderId="16" xfId="0" applyFont="1" applyFill="1" applyBorder="1" applyAlignment="1" applyProtection="1">
      <alignment horizontal="center" vertical="center"/>
      <protection locked="0"/>
    </xf>
    <xf numFmtId="0" fontId="7" fillId="25" borderId="84" xfId="0" applyFont="1" applyFill="1" applyBorder="1" applyAlignment="1" applyProtection="1">
      <alignment horizontal="center" vertical="center"/>
      <protection locked="0"/>
    </xf>
    <xf numFmtId="0" fontId="7" fillId="25" borderId="85" xfId="0" applyFont="1" applyFill="1" applyBorder="1" applyAlignment="1">
      <alignment vertical="top"/>
    </xf>
    <xf numFmtId="0" fontId="2" fillId="25" borderId="22" xfId="0" applyFont="1" applyFill="1" applyBorder="1" applyAlignment="1">
      <alignment horizontal="center" vertical="top"/>
    </xf>
    <xf numFmtId="0" fontId="8" fillId="37" borderId="21" xfId="0" applyFont="1" applyFill="1" applyBorder="1" applyAlignment="1">
      <alignment horizontal="center" vertical="center"/>
    </xf>
    <xf numFmtId="0" fontId="8" fillId="37" borderId="73" xfId="0" applyFont="1" applyFill="1" applyBorder="1" applyAlignment="1">
      <alignment horizontal="center" vertical="center"/>
    </xf>
    <xf numFmtId="0" fontId="7" fillId="25" borderId="12" xfId="0" applyFont="1" applyFill="1" applyBorder="1" applyAlignment="1">
      <alignment vertical="top"/>
    </xf>
    <xf numFmtId="0" fontId="2" fillId="25" borderId="12" xfId="0" applyFont="1" applyFill="1" applyBorder="1" applyAlignment="1">
      <alignment horizontal="center" vertical="top"/>
    </xf>
    <xf numFmtId="0" fontId="5" fillId="25" borderId="0" xfId="0" applyFont="1" applyFill="1" applyAlignment="1">
      <alignment vertical="top"/>
    </xf>
    <xf numFmtId="0" fontId="7" fillId="25" borderId="27" xfId="0" applyFont="1" applyFill="1" applyBorder="1" applyProtection="1"/>
    <xf numFmtId="0" fontId="7" fillId="25" borderId="17" xfId="0" applyFont="1" applyFill="1" applyBorder="1" applyAlignment="1" applyProtection="1">
      <alignment vertical="center"/>
    </xf>
    <xf numFmtId="0" fontId="20" fillId="25" borderId="15" xfId="0" applyFont="1" applyFill="1" applyBorder="1" applyAlignment="1" applyProtection="1">
      <alignment horizontal="left" vertical="center"/>
    </xf>
    <xf numFmtId="0" fontId="20" fillId="25" borderId="71" xfId="0" applyFont="1" applyFill="1" applyBorder="1" applyAlignment="1" applyProtection="1">
      <alignment horizontal="left" vertical="center"/>
    </xf>
    <xf numFmtId="0" fontId="20" fillId="25" borderId="0" xfId="0" applyFont="1" applyFill="1" applyBorder="1" applyAlignment="1" applyProtection="1">
      <alignment horizontal="left" vertical="center"/>
    </xf>
    <xf numFmtId="0" fontId="5" fillId="25" borderId="0" xfId="0" applyFont="1" applyFill="1" applyBorder="1" applyAlignment="1" applyProtection="1">
      <alignment vertical="center"/>
    </xf>
    <xf numFmtId="0" fontId="18" fillId="25" borderId="0" xfId="0" applyFont="1" applyFill="1" applyBorder="1" applyProtection="1"/>
    <xf numFmtId="0" fontId="11" fillId="25" borderId="28" xfId="0" applyFont="1" applyFill="1" applyBorder="1" applyAlignment="1" applyProtection="1">
      <alignment horizontal="center" vertical="center"/>
    </xf>
    <xf numFmtId="0" fontId="6" fillId="25" borderId="0" xfId="0" applyFont="1" applyFill="1" applyBorder="1" applyAlignment="1" applyProtection="1">
      <alignment horizontal="center" vertical="center"/>
    </xf>
    <xf numFmtId="0" fontId="63" fillId="31" borderId="0" xfId="0" applyFont="1" applyFill="1" applyBorder="1" applyAlignment="1" applyProtection="1">
      <alignment horizontal="center" vertical="center"/>
      <protection locked="0"/>
    </xf>
    <xf numFmtId="165" fontId="5" fillId="25" borderId="0" xfId="0" applyNumberFormat="1" applyFont="1" applyFill="1" applyBorder="1" applyAlignment="1" applyProtection="1">
      <alignment horizontal="center" vertical="center"/>
    </xf>
    <xf numFmtId="164" fontId="5" fillId="25" borderId="28" xfId="0" applyNumberFormat="1" applyFont="1" applyFill="1" applyBorder="1" applyAlignment="1" applyProtection="1">
      <alignment horizontal="center" vertical="center"/>
    </xf>
    <xf numFmtId="0" fontId="7" fillId="25" borderId="70" xfId="0" applyFont="1" applyFill="1" applyBorder="1" applyAlignment="1" applyProtection="1">
      <alignment vertical="center"/>
    </xf>
    <xf numFmtId="0" fontId="7" fillId="25" borderId="77" xfId="0" applyFont="1" applyFill="1" applyBorder="1" applyAlignment="1" applyProtection="1">
      <alignment vertical="center"/>
    </xf>
    <xf numFmtId="0" fontId="7" fillId="25" borderId="12" xfId="0" applyFont="1" applyFill="1" applyBorder="1" applyAlignment="1" applyProtection="1">
      <alignment horizontal="center"/>
    </xf>
    <xf numFmtId="169" fontId="7" fillId="25" borderId="12" xfId="32" applyNumberFormat="1" applyFont="1" applyFill="1" applyBorder="1" applyAlignment="1" applyProtection="1">
      <alignment horizontal="center"/>
    </xf>
    <xf numFmtId="169" fontId="7" fillId="25" borderId="0" xfId="32" applyNumberFormat="1" applyFont="1" applyFill="1" applyBorder="1" applyAlignment="1" applyProtection="1">
      <alignment horizontal="center"/>
    </xf>
    <xf numFmtId="0" fontId="7" fillId="25" borderId="22" xfId="0" applyFont="1" applyFill="1" applyBorder="1" applyAlignment="1" applyProtection="1">
      <alignment horizontal="center"/>
    </xf>
    <xf numFmtId="169" fontId="7" fillId="25" borderId="27" xfId="32" applyNumberFormat="1" applyFont="1" applyFill="1" applyBorder="1" applyAlignment="1" applyProtection="1">
      <alignment horizontal="center"/>
    </xf>
    <xf numFmtId="169" fontId="7" fillId="25" borderId="17" xfId="32" applyNumberFormat="1" applyFont="1" applyFill="1" applyBorder="1" applyAlignment="1" applyProtection="1">
      <alignment horizontal="center"/>
    </xf>
    <xf numFmtId="0" fontId="7" fillId="25" borderId="26" xfId="0" applyFont="1" applyFill="1" applyBorder="1" applyAlignment="1" applyProtection="1">
      <alignment horizontal="center"/>
    </xf>
    <xf numFmtId="2" fontId="7" fillId="25" borderId="14" xfId="0" applyNumberFormat="1" applyFont="1" applyFill="1" applyBorder="1" applyAlignment="1" applyProtection="1">
      <alignment horizontal="center"/>
    </xf>
    <xf numFmtId="0" fontId="7" fillId="25" borderId="15" xfId="0" applyFont="1" applyFill="1" applyBorder="1" applyProtection="1"/>
    <xf numFmtId="0" fontId="7" fillId="25" borderId="71" xfId="0" applyFont="1" applyFill="1" applyBorder="1" applyAlignment="1" applyProtection="1">
      <alignment horizontal="center"/>
    </xf>
    <xf numFmtId="0" fontId="7" fillId="25" borderId="11" xfId="0" applyFont="1" applyFill="1" applyBorder="1" applyProtection="1"/>
    <xf numFmtId="0" fontId="7" fillId="25" borderId="28" xfId="0" applyFont="1" applyFill="1" applyBorder="1" applyProtection="1"/>
    <xf numFmtId="166" fontId="7" fillId="25" borderId="19" xfId="0" applyNumberFormat="1" applyFont="1" applyFill="1" applyBorder="1" applyAlignment="1" applyProtection="1">
      <alignment horizontal="center"/>
    </xf>
    <xf numFmtId="2" fontId="7" fillId="25" borderId="20" xfId="0" applyNumberFormat="1" applyFont="1" applyFill="1" applyBorder="1" applyAlignment="1" applyProtection="1">
      <alignment horizontal="center"/>
    </xf>
    <xf numFmtId="2" fontId="7" fillId="25" borderId="22" xfId="0" applyNumberFormat="1" applyFont="1" applyFill="1" applyBorder="1" applyAlignment="1" applyProtection="1">
      <alignment horizontal="center"/>
    </xf>
    <xf numFmtId="0" fontId="7" fillId="25" borderId="15" xfId="0" applyFont="1" applyFill="1" applyBorder="1" applyAlignment="1" applyProtection="1">
      <alignment horizontal="center"/>
    </xf>
    <xf numFmtId="0" fontId="7" fillId="25" borderId="18" xfId="0" applyFont="1" applyFill="1" applyBorder="1" applyAlignment="1" applyProtection="1">
      <alignment horizontal="center"/>
    </xf>
    <xf numFmtId="169" fontId="7" fillId="25" borderId="28" xfId="32" applyNumberFormat="1" applyFont="1" applyFill="1" applyBorder="1" applyAlignment="1" applyProtection="1">
      <alignment horizontal="center"/>
    </xf>
    <xf numFmtId="169" fontId="7" fillId="25" borderId="18" xfId="32" applyNumberFormat="1" applyFont="1" applyFill="1" applyBorder="1" applyAlignment="1" applyProtection="1">
      <alignment horizontal="center"/>
    </xf>
    <xf numFmtId="169" fontId="7" fillId="25" borderId="19" xfId="32" applyNumberFormat="1" applyFont="1" applyFill="1" applyBorder="1" applyAlignment="1" applyProtection="1">
      <alignment horizontal="center"/>
    </xf>
    <xf numFmtId="169" fontId="7" fillId="25" borderId="14" xfId="0" applyNumberFormat="1" applyFont="1" applyFill="1" applyBorder="1" applyAlignment="1" applyProtection="1">
      <alignment horizontal="center"/>
    </xf>
    <xf numFmtId="164" fontId="57" fillId="31" borderId="0" xfId="0" applyNumberFormat="1" applyFont="1" applyFill="1" applyBorder="1" applyAlignment="1" applyProtection="1">
      <alignment horizontal="center" vertical="center"/>
      <protection locked="0"/>
    </xf>
    <xf numFmtId="0" fontId="13" fillId="25" borderId="22" xfId="0" applyFont="1" applyFill="1" applyBorder="1" applyAlignment="1" applyProtection="1">
      <alignment horizontal="center" wrapText="1"/>
    </xf>
    <xf numFmtId="2" fontId="7" fillId="25" borderId="12" xfId="0" applyNumberFormat="1" applyFont="1" applyFill="1" applyBorder="1" applyAlignment="1" applyProtection="1">
      <alignment horizontal="center"/>
    </xf>
    <xf numFmtId="166" fontId="7" fillId="25" borderId="14" xfId="0" applyNumberFormat="1" applyFont="1" applyFill="1" applyBorder="1" applyAlignment="1" applyProtection="1">
      <alignment horizontal="center"/>
    </xf>
    <xf numFmtId="0" fontId="7" fillId="25" borderId="26" xfId="0" applyFont="1" applyFill="1" applyBorder="1" applyProtection="1"/>
    <xf numFmtId="0" fontId="7" fillId="25" borderId="25" xfId="0" applyFont="1" applyFill="1" applyBorder="1" applyProtection="1"/>
    <xf numFmtId="0" fontId="7" fillId="25" borderId="29" xfId="0" applyFont="1" applyFill="1" applyBorder="1" applyProtection="1"/>
    <xf numFmtId="169" fontId="7" fillId="25" borderId="71" xfId="32" applyNumberFormat="1" applyFont="1" applyFill="1" applyBorder="1" applyAlignment="1" applyProtection="1">
      <alignment horizontal="center"/>
    </xf>
    <xf numFmtId="0" fontId="7" fillId="32" borderId="20" xfId="0" applyFont="1" applyFill="1" applyBorder="1" applyProtection="1"/>
    <xf numFmtId="0" fontId="7" fillId="32" borderId="17" xfId="0" applyFont="1" applyFill="1" applyBorder="1" applyProtection="1"/>
    <xf numFmtId="166" fontId="7" fillId="32" borderId="19" xfId="0" applyNumberFormat="1" applyFont="1" applyFill="1" applyBorder="1" applyAlignment="1" applyProtection="1">
      <alignment horizontal="center"/>
    </xf>
    <xf numFmtId="166" fontId="7" fillId="32" borderId="22" xfId="0" applyNumberFormat="1" applyFont="1" applyFill="1" applyBorder="1" applyAlignment="1" applyProtection="1">
      <alignment horizontal="center"/>
    </xf>
    <xf numFmtId="0" fontId="7" fillId="32" borderId="12" xfId="0" applyFont="1" applyFill="1" applyBorder="1" applyProtection="1"/>
    <xf numFmtId="166" fontId="7" fillId="32" borderId="12" xfId="0" applyNumberFormat="1" applyFont="1" applyFill="1" applyBorder="1" applyAlignment="1" applyProtection="1">
      <alignment horizontal="center"/>
    </xf>
    <xf numFmtId="168" fontId="7" fillId="32" borderId="20" xfId="0" applyNumberFormat="1" applyFont="1" applyFill="1" applyBorder="1" applyProtection="1"/>
    <xf numFmtId="0" fontId="7" fillId="32" borderId="14" xfId="0" applyFont="1" applyFill="1" applyBorder="1" applyProtection="1"/>
    <xf numFmtId="0" fontId="7" fillId="32" borderId="22" xfId="0" applyFont="1" applyFill="1" applyBorder="1" applyProtection="1"/>
    <xf numFmtId="0" fontId="57" fillId="31" borderId="55" xfId="0" applyFont="1" applyFill="1" applyBorder="1" applyAlignment="1" applyProtection="1">
      <alignment horizontal="center" vertical="center"/>
      <protection locked="0"/>
    </xf>
    <xf numFmtId="166" fontId="7" fillId="25" borderId="17" xfId="0" applyNumberFormat="1" applyFont="1" applyFill="1" applyBorder="1" applyAlignment="1" applyProtection="1">
      <alignment horizontal="center"/>
    </xf>
    <xf numFmtId="166" fontId="7" fillId="25" borderId="18" xfId="0" applyNumberFormat="1" applyFont="1" applyFill="1" applyBorder="1" applyAlignment="1" applyProtection="1">
      <alignment horizontal="center"/>
    </xf>
    <xf numFmtId="0" fontId="55" fillId="32" borderId="20" xfId="0" applyFont="1" applyFill="1" applyBorder="1" applyProtection="1"/>
    <xf numFmtId="0" fontId="55" fillId="32" borderId="14" xfId="0" applyFont="1" applyFill="1" applyBorder="1" applyProtection="1"/>
    <xf numFmtId="0" fontId="55" fillId="25" borderId="14" xfId="0" applyFont="1" applyFill="1" applyBorder="1" applyProtection="1"/>
    <xf numFmtId="0" fontId="55" fillId="25" borderId="22" xfId="0" applyFont="1" applyFill="1" applyBorder="1" applyProtection="1"/>
    <xf numFmtId="166" fontId="55" fillId="25" borderId="14" xfId="0" applyNumberFormat="1" applyFont="1" applyFill="1" applyBorder="1" applyAlignment="1" applyProtection="1">
      <alignment horizontal="center"/>
    </xf>
    <xf numFmtId="166" fontId="55" fillId="25" borderId="22" xfId="0" applyNumberFormat="1" applyFont="1" applyFill="1" applyBorder="1" applyAlignment="1" applyProtection="1">
      <alignment horizontal="center"/>
    </xf>
    <xf numFmtId="166" fontId="55" fillId="25" borderId="20" xfId="0" applyNumberFormat="1" applyFont="1" applyFill="1" applyBorder="1" applyAlignment="1" applyProtection="1">
      <alignment horizontal="center"/>
    </xf>
    <xf numFmtId="166" fontId="55" fillId="32" borderId="22" xfId="0" applyNumberFormat="1" applyFont="1" applyFill="1" applyBorder="1" applyAlignment="1" applyProtection="1">
      <alignment horizontal="center"/>
    </xf>
    <xf numFmtId="0" fontId="55" fillId="32" borderId="71" xfId="0" applyFont="1" applyFill="1" applyBorder="1" applyProtection="1"/>
    <xf numFmtId="0" fontId="55" fillId="25" borderId="71" xfId="0" applyFont="1" applyFill="1" applyBorder="1" applyProtection="1"/>
    <xf numFmtId="0" fontId="2" fillId="25" borderId="26" xfId="0" applyFont="1" applyFill="1" applyBorder="1"/>
    <xf numFmtId="172" fontId="7" fillId="25" borderId="29" xfId="44" applyNumberFormat="1" applyFont="1" applyFill="1" applyBorder="1" applyAlignment="1">
      <alignment horizontal="center"/>
    </xf>
    <xf numFmtId="0" fontId="0" fillId="31" borderId="14" xfId="0" applyFill="1" applyBorder="1"/>
    <xf numFmtId="0" fontId="0" fillId="31" borderId="20" xfId="0" applyFill="1" applyBorder="1"/>
    <xf numFmtId="0" fontId="0" fillId="31" borderId="22" xfId="0" applyFill="1" applyBorder="1"/>
    <xf numFmtId="0" fontId="2" fillId="32" borderId="20" xfId="0" applyFont="1" applyFill="1" applyBorder="1"/>
    <xf numFmtId="166" fontId="7" fillId="32" borderId="22" xfId="0" applyNumberFormat="1" applyFont="1" applyFill="1" applyBorder="1" applyAlignment="1">
      <alignment horizontal="center"/>
    </xf>
    <xf numFmtId="0" fontId="7" fillId="25" borderId="65" xfId="0" applyFont="1" applyFill="1" applyBorder="1" applyAlignment="1" applyProtection="1">
      <alignment vertical="center"/>
    </xf>
    <xf numFmtId="0" fontId="7" fillId="25" borderId="44" xfId="0" applyFont="1" applyFill="1" applyBorder="1" applyAlignment="1" applyProtection="1">
      <alignment vertical="center"/>
    </xf>
    <xf numFmtId="166" fontId="7" fillId="25" borderId="0" xfId="0" applyNumberFormat="1" applyFont="1" applyFill="1" applyBorder="1" applyAlignment="1" applyProtection="1">
      <alignment horizontal="center"/>
    </xf>
    <xf numFmtId="166" fontId="7" fillId="25" borderId="15" xfId="0" applyNumberFormat="1" applyFont="1" applyFill="1" applyBorder="1" applyAlignment="1" applyProtection="1">
      <alignment horizontal="center"/>
    </xf>
    <xf numFmtId="166" fontId="7" fillId="25" borderId="71" xfId="0" applyNumberFormat="1" applyFont="1" applyFill="1" applyBorder="1" applyAlignment="1" applyProtection="1">
      <alignment horizontal="center"/>
    </xf>
    <xf numFmtId="0" fontId="5" fillId="25" borderId="54" xfId="0" applyFont="1" applyFill="1" applyBorder="1" applyAlignment="1" applyProtection="1">
      <alignment horizontal="right" vertical="center"/>
    </xf>
    <xf numFmtId="166" fontId="7" fillId="25" borderId="27" xfId="0" applyNumberFormat="1" applyFont="1" applyFill="1" applyBorder="1" applyAlignment="1" applyProtection="1">
      <alignment horizontal="center"/>
    </xf>
    <xf numFmtId="166" fontId="7" fillId="25" borderId="26" xfId="0" applyNumberFormat="1" applyFont="1" applyFill="1" applyBorder="1" applyAlignment="1" applyProtection="1">
      <alignment horizontal="center"/>
    </xf>
    <xf numFmtId="166" fontId="7" fillId="25" borderId="26" xfId="0" applyNumberFormat="1" applyFont="1" applyFill="1" applyBorder="1" applyAlignment="1" applyProtection="1">
      <alignment horizontal="left"/>
    </xf>
    <xf numFmtId="0" fontId="7" fillId="25" borderId="25" xfId="0" applyFont="1" applyFill="1" applyBorder="1" applyAlignment="1" applyProtection="1">
      <alignment horizontal="left"/>
    </xf>
    <xf numFmtId="0" fontId="2" fillId="0" borderId="0" xfId="0" applyFont="1" applyFill="1" applyBorder="1" applyAlignment="1">
      <alignment horizontal="center"/>
    </xf>
    <xf numFmtId="0" fontId="12" fillId="25" borderId="15" xfId="0" applyFont="1" applyFill="1" applyBorder="1" applyAlignment="1" applyProtection="1">
      <alignment horizontal="left" vertical="center"/>
    </xf>
    <xf numFmtId="0" fontId="7" fillId="25" borderId="71" xfId="0" applyFont="1" applyFill="1" applyBorder="1" applyAlignment="1" applyProtection="1">
      <alignment vertical="center"/>
    </xf>
    <xf numFmtId="0" fontId="7" fillId="25" borderId="27" xfId="0" applyFont="1" applyFill="1" applyBorder="1" applyAlignment="1" applyProtection="1">
      <alignment horizontal="left" vertical="center"/>
    </xf>
    <xf numFmtId="0" fontId="7" fillId="25" borderId="14" xfId="0" applyFont="1" applyFill="1" applyBorder="1" applyAlignment="1" applyProtection="1">
      <alignment horizontal="left" vertical="center"/>
    </xf>
    <xf numFmtId="0" fontId="7" fillId="25" borderId="14" xfId="0" applyFont="1" applyFill="1" applyBorder="1" applyAlignment="1" applyProtection="1">
      <alignment vertical="center"/>
    </xf>
    <xf numFmtId="0" fontId="5" fillId="25" borderId="45" xfId="0" applyFont="1" applyFill="1" applyBorder="1" applyAlignment="1" applyProtection="1">
      <alignment vertical="center"/>
    </xf>
    <xf numFmtId="0" fontId="7" fillId="25" borderId="64" xfId="0" applyFont="1" applyFill="1" applyBorder="1" applyAlignment="1" applyProtection="1">
      <alignment horizontal="left" vertical="center"/>
    </xf>
    <xf numFmtId="0" fontId="7" fillId="25" borderId="58" xfId="0" applyFont="1" applyFill="1" applyBorder="1" applyAlignment="1" applyProtection="1">
      <alignment horizontal="left" vertical="center"/>
    </xf>
    <xf numFmtId="0" fontId="7" fillId="25" borderId="43" xfId="0" applyFont="1" applyFill="1" applyBorder="1" applyAlignment="1" applyProtection="1">
      <alignment horizontal="left" vertical="center"/>
    </xf>
    <xf numFmtId="0" fontId="7" fillId="25" borderId="52" xfId="0" applyFont="1" applyFill="1" applyBorder="1" applyAlignment="1" applyProtection="1">
      <alignment horizontal="left" vertical="center"/>
    </xf>
    <xf numFmtId="0" fontId="7" fillId="25" borderId="46" xfId="0" applyFont="1" applyFill="1" applyBorder="1" applyAlignment="1" applyProtection="1">
      <alignment horizontal="left" vertical="center"/>
    </xf>
    <xf numFmtId="0" fontId="7" fillId="25" borderId="65" xfId="0" applyFont="1" applyFill="1" applyBorder="1" applyAlignment="1" applyProtection="1">
      <alignment horizontal="left" vertical="center"/>
    </xf>
    <xf numFmtId="0" fontId="7" fillId="25" borderId="30" xfId="0" applyFont="1" applyFill="1" applyBorder="1" applyAlignment="1" applyProtection="1">
      <alignment horizontal="left" vertical="center"/>
    </xf>
    <xf numFmtId="0" fontId="7" fillId="25" borderId="44" xfId="0" applyFont="1" applyFill="1" applyBorder="1" applyAlignment="1" applyProtection="1">
      <alignment horizontal="left" vertical="center"/>
    </xf>
    <xf numFmtId="0" fontId="12" fillId="25" borderId="27" xfId="0" applyFont="1" applyFill="1" applyBorder="1" applyAlignment="1" applyProtection="1">
      <alignment horizontal="left" vertical="center"/>
    </xf>
    <xf numFmtId="0" fontId="0" fillId="25" borderId="15" xfId="0" applyFill="1" applyBorder="1" applyProtection="1"/>
    <xf numFmtId="0" fontId="0" fillId="25" borderId="71" xfId="0" applyFill="1" applyBorder="1" applyProtection="1"/>
    <xf numFmtId="0" fontId="0" fillId="25" borderId="11" xfId="0" applyFill="1" applyBorder="1" applyProtection="1"/>
    <xf numFmtId="0" fontId="0" fillId="25" borderId="27" xfId="0" applyFill="1" applyBorder="1" applyProtection="1"/>
    <xf numFmtId="0" fontId="0" fillId="25" borderId="0" xfId="0" applyFill="1" applyBorder="1" applyProtection="1"/>
    <xf numFmtId="0" fontId="0" fillId="25" borderId="28" xfId="0" applyFill="1" applyBorder="1" applyProtection="1"/>
    <xf numFmtId="0" fontId="53" fillId="25" borderId="27" xfId="0" applyFont="1" applyFill="1" applyBorder="1" applyAlignment="1" applyProtection="1">
      <alignment horizontal="center"/>
    </xf>
    <xf numFmtId="0" fontId="53" fillId="25" borderId="28" xfId="0" applyFont="1" applyFill="1" applyBorder="1" applyAlignment="1" applyProtection="1">
      <alignment horizontal="center"/>
    </xf>
    <xf numFmtId="0" fontId="0" fillId="25" borderId="17" xfId="0" applyFill="1" applyBorder="1" applyProtection="1"/>
    <xf numFmtId="0" fontId="0" fillId="25" borderId="19" xfId="0" applyFill="1" applyBorder="1" applyProtection="1"/>
    <xf numFmtId="0" fontId="54" fillId="25" borderId="17" xfId="0" applyFont="1" applyFill="1" applyBorder="1" applyAlignment="1" applyProtection="1">
      <alignment horizontal="center"/>
    </xf>
    <xf numFmtId="0" fontId="54" fillId="25" borderId="18" xfId="0" applyFont="1" applyFill="1" applyBorder="1" applyAlignment="1" applyProtection="1">
      <alignment horizontal="center"/>
    </xf>
    <xf numFmtId="0" fontId="54" fillId="25" borderId="19" xfId="0" applyFont="1" applyFill="1" applyBorder="1" applyAlignment="1" applyProtection="1">
      <alignment horizontal="center"/>
    </xf>
    <xf numFmtId="0" fontId="5" fillId="31" borderId="58" xfId="0" applyFont="1" applyFill="1" applyBorder="1" applyAlignment="1" applyProtection="1">
      <alignment horizontal="center"/>
    </xf>
    <xf numFmtId="0" fontId="2" fillId="25" borderId="0" xfId="0" applyFont="1" applyFill="1" applyProtection="1"/>
    <xf numFmtId="0" fontId="0" fillId="31" borderId="0" xfId="0" applyFill="1" applyProtection="1"/>
    <xf numFmtId="0" fontId="7" fillId="31" borderId="58" xfId="0" applyFont="1" applyFill="1" applyBorder="1" applyAlignment="1" applyProtection="1">
      <alignment horizontal="center" wrapText="1"/>
    </xf>
    <xf numFmtId="0" fontId="7" fillId="31" borderId="38" xfId="0" applyFont="1" applyFill="1" applyBorder="1" applyAlignment="1" applyProtection="1">
      <alignment horizontal="center" wrapText="1"/>
    </xf>
    <xf numFmtId="9" fontId="0" fillId="25" borderId="18" xfId="0" applyNumberFormat="1" applyFill="1" applyBorder="1" applyAlignment="1">
      <alignment horizontal="center"/>
    </xf>
    <xf numFmtId="0" fontId="13" fillId="25" borderId="12" xfId="0" applyFont="1" applyFill="1" applyBorder="1" applyAlignment="1" applyProtection="1">
      <alignment horizontal="center" wrapText="1"/>
    </xf>
    <xf numFmtId="166" fontId="7" fillId="25" borderId="28" xfId="0" applyNumberFormat="1" applyFont="1" applyFill="1" applyBorder="1" applyAlignment="1" applyProtection="1">
      <alignment horizontal="center"/>
    </xf>
    <xf numFmtId="9" fontId="0" fillId="25" borderId="17" xfId="0" applyNumberFormat="1" applyFill="1" applyBorder="1" applyAlignment="1">
      <alignment horizontal="center"/>
    </xf>
    <xf numFmtId="9" fontId="0" fillId="25" borderId="19" xfId="0" applyNumberFormat="1" applyFill="1" applyBorder="1" applyAlignment="1">
      <alignment horizontal="center"/>
    </xf>
    <xf numFmtId="2" fontId="7" fillId="25" borderId="49" xfId="0" applyNumberFormat="1" applyFont="1" applyFill="1" applyBorder="1" applyAlignment="1" applyProtection="1">
      <alignment horizontal="center" vertical="center"/>
    </xf>
    <xf numFmtId="0" fontId="13" fillId="25" borderId="26" xfId="0" applyFont="1" applyFill="1" applyBorder="1" applyAlignment="1" applyProtection="1">
      <alignment horizontal="center" wrapText="1"/>
    </xf>
    <xf numFmtId="166" fontId="7" fillId="25" borderId="29" xfId="0" applyNumberFormat="1" applyFont="1" applyFill="1" applyBorder="1" applyAlignment="1" applyProtection="1">
      <alignment horizontal="center"/>
    </xf>
    <xf numFmtId="0" fontId="7" fillId="32" borderId="29" xfId="0" applyFont="1" applyFill="1" applyBorder="1" applyProtection="1"/>
    <xf numFmtId="0" fontId="8" fillId="25" borderId="27" xfId="0" applyFont="1" applyFill="1" applyBorder="1" applyProtection="1"/>
    <xf numFmtId="0" fontId="8" fillId="25" borderId="0" xfId="0" applyFont="1" applyFill="1" applyBorder="1" applyProtection="1"/>
    <xf numFmtId="0" fontId="27" fillId="25" borderId="0" xfId="0" applyFont="1" applyFill="1" applyBorder="1" applyProtection="1"/>
    <xf numFmtId="0" fontId="19" fillId="25" borderId="0" xfId="0" applyFont="1" applyFill="1" applyBorder="1" applyProtection="1"/>
    <xf numFmtId="0" fontId="16" fillId="25" borderId="0" xfId="0" applyFont="1" applyFill="1" applyBorder="1" applyProtection="1"/>
    <xf numFmtId="0" fontId="19" fillId="25" borderId="18" xfId="0" applyFont="1" applyFill="1" applyBorder="1" applyProtection="1"/>
    <xf numFmtId="0" fontId="18" fillId="25" borderId="18" xfId="0" applyFont="1" applyFill="1" applyBorder="1" applyProtection="1"/>
    <xf numFmtId="167" fontId="7" fillId="25" borderId="31" xfId="0" applyNumberFormat="1" applyFont="1" applyFill="1" applyBorder="1" applyAlignment="1" applyProtection="1">
      <alignment horizontal="center" vertical="center" wrapText="1"/>
    </xf>
    <xf numFmtId="0" fontId="7" fillId="25" borderId="18" xfId="0" applyFont="1" applyFill="1" applyBorder="1" applyAlignment="1" applyProtection="1">
      <alignment horizontal="left" vertical="center"/>
    </xf>
    <xf numFmtId="0" fontId="12" fillId="25" borderId="15" xfId="0" applyFont="1" applyFill="1" applyBorder="1" applyAlignment="1" applyProtection="1">
      <alignment vertical="center"/>
    </xf>
    <xf numFmtId="0" fontId="7" fillId="25" borderId="17" xfId="0" applyFont="1" applyFill="1" applyBorder="1" applyAlignment="1" applyProtection="1">
      <alignment vertical="center"/>
    </xf>
    <xf numFmtId="0" fontId="7" fillId="25" borderId="62" xfId="0" applyFont="1" applyFill="1" applyBorder="1" applyAlignment="1" applyProtection="1">
      <alignment vertical="center"/>
    </xf>
    <xf numFmtId="0" fontId="7" fillId="25" borderId="61" xfId="0" applyFont="1" applyFill="1" applyBorder="1" applyAlignment="1" applyProtection="1">
      <alignment horizontal="center"/>
    </xf>
    <xf numFmtId="0" fontId="7" fillId="25" borderId="19" xfId="0" applyFont="1" applyFill="1" applyBorder="1" applyAlignment="1" applyProtection="1">
      <alignment horizontal="center"/>
    </xf>
    <xf numFmtId="22" fontId="13" fillId="25" borderId="0" xfId="0" applyNumberFormat="1" applyFont="1" applyFill="1" applyAlignment="1" applyProtection="1">
      <alignment horizontal="left"/>
    </xf>
    <xf numFmtId="0" fontId="7" fillId="25" borderId="45" xfId="0" applyFont="1" applyFill="1" applyBorder="1" applyAlignment="1" applyProtection="1">
      <alignment horizontal="left" vertical="center"/>
    </xf>
    <xf numFmtId="0" fontId="2" fillId="31" borderId="0" xfId="0" applyFont="1" applyFill="1"/>
    <xf numFmtId="166" fontId="57" fillId="25" borderId="0" xfId="0" applyNumberFormat="1" applyFont="1" applyFill="1" applyProtection="1"/>
    <xf numFmtId="0" fontId="62" fillId="25" borderId="0" xfId="0" applyFont="1" applyFill="1" applyProtection="1"/>
    <xf numFmtId="0" fontId="61" fillId="25" borderId="0" xfId="0" applyFont="1" applyFill="1" applyProtection="1"/>
    <xf numFmtId="0" fontId="61" fillId="31" borderId="0" xfId="0" applyFont="1" applyFill="1" applyProtection="1"/>
    <xf numFmtId="0" fontId="57" fillId="25" borderId="0" xfId="0" applyFont="1" applyFill="1" applyBorder="1" applyProtection="1"/>
    <xf numFmtId="166" fontId="57" fillId="25" borderId="0" xfId="0" applyNumberFormat="1" applyFont="1" applyFill="1" applyBorder="1" applyProtection="1"/>
    <xf numFmtId="9" fontId="57" fillId="26" borderId="13" xfId="32" applyFont="1" applyFill="1" applyBorder="1" applyAlignment="1" applyProtection="1">
      <alignment horizontal="center" vertical="center"/>
      <protection locked="0"/>
    </xf>
    <xf numFmtId="0" fontId="0" fillId="31" borderId="0" xfId="0" applyFill="1" applyBorder="1" applyAlignment="1">
      <alignment horizontal="center"/>
    </xf>
    <xf numFmtId="0" fontId="0" fillId="31" borderId="18" xfId="0" applyFill="1" applyBorder="1"/>
    <xf numFmtId="166" fontId="0" fillId="31" borderId="0" xfId="0" applyNumberFormat="1" applyFill="1"/>
    <xf numFmtId="0" fontId="2" fillId="31" borderId="26" xfId="0" applyFont="1" applyFill="1" applyBorder="1"/>
    <xf numFmtId="0" fontId="2" fillId="31" borderId="25" xfId="0" applyFont="1" applyFill="1" applyBorder="1"/>
    <xf numFmtId="0" fontId="0" fillId="31" borderId="26" xfId="0" applyFill="1" applyBorder="1" applyAlignment="1">
      <alignment horizontal="center"/>
    </xf>
    <xf numFmtId="166" fontId="0" fillId="31" borderId="25" xfId="0" applyNumberFormat="1" applyFill="1" applyBorder="1" applyAlignment="1">
      <alignment horizontal="center"/>
    </xf>
    <xf numFmtId="0" fontId="2" fillId="32" borderId="29" xfId="0" applyFont="1" applyFill="1" applyBorder="1"/>
    <xf numFmtId="0" fontId="0" fillId="32" borderId="29" xfId="0" applyFill="1" applyBorder="1"/>
    <xf numFmtId="9" fontId="5" fillId="25" borderId="14" xfId="32" applyFont="1" applyFill="1" applyBorder="1" applyAlignment="1" applyProtection="1">
      <alignment horizontal="left" vertical="center"/>
    </xf>
    <xf numFmtId="9" fontId="57" fillId="26" borderId="39" xfId="32" applyFont="1" applyFill="1" applyBorder="1" applyAlignment="1" applyProtection="1">
      <alignment horizontal="center" vertical="center"/>
      <protection locked="0"/>
    </xf>
    <xf numFmtId="9" fontId="57" fillId="38" borderId="13" xfId="32" applyFont="1" applyFill="1" applyBorder="1" applyAlignment="1" applyProtection="1">
      <alignment horizontal="center" vertical="center"/>
      <protection locked="0"/>
    </xf>
    <xf numFmtId="9" fontId="57" fillId="38" borderId="42" xfId="32" applyFont="1" applyFill="1" applyBorder="1" applyAlignment="1" applyProtection="1">
      <alignment horizontal="center" vertical="center"/>
      <protection locked="0"/>
    </xf>
    <xf numFmtId="0" fontId="67" fillId="0" borderId="0" xfId="0" applyFont="1"/>
    <xf numFmtId="0" fontId="67" fillId="0" borderId="0" xfId="0" applyFont="1" applyBorder="1"/>
    <xf numFmtId="9" fontId="0" fillId="0" borderId="0" xfId="0" applyNumberFormat="1" applyAlignment="1">
      <alignment horizontal="left"/>
    </xf>
    <xf numFmtId="0" fontId="0" fillId="0" borderId="0" xfId="0" applyBorder="1" applyAlignment="1">
      <alignment horizontal="left"/>
    </xf>
    <xf numFmtId="0" fontId="2" fillId="25" borderId="0" xfId="0" applyFont="1" applyFill="1" applyAlignment="1">
      <alignment horizontal="left" vertical="top"/>
    </xf>
    <xf numFmtId="0" fontId="2" fillId="0" borderId="0" xfId="0" applyFont="1"/>
    <xf numFmtId="0" fontId="2" fillId="0" borderId="18" xfId="0" applyFont="1" applyBorder="1"/>
    <xf numFmtId="0" fontId="2" fillId="0" borderId="18" xfId="0" applyFont="1" applyFill="1" applyBorder="1"/>
    <xf numFmtId="0" fontId="2" fillId="0" borderId="0" xfId="0" applyFont="1" applyBorder="1"/>
    <xf numFmtId="0" fontId="2" fillId="0" borderId="18" xfId="0" applyFont="1" applyBorder="1" applyAlignment="1">
      <alignment horizontal="left"/>
    </xf>
    <xf numFmtId="0" fontId="7" fillId="25" borderId="86" xfId="0" applyFont="1" applyFill="1" applyBorder="1" applyProtection="1"/>
    <xf numFmtId="170" fontId="60" fillId="31" borderId="21" xfId="0" applyNumberFormat="1" applyFont="1" applyFill="1" applyBorder="1" applyAlignment="1">
      <alignment horizontal="center" vertical="center" wrapText="1"/>
    </xf>
    <xf numFmtId="0" fontId="7" fillId="25" borderId="21" xfId="0" applyFont="1" applyFill="1" applyBorder="1" applyAlignment="1" applyProtection="1">
      <alignment horizontal="right" vertical="center"/>
    </xf>
    <xf numFmtId="166" fontId="7" fillId="25" borderId="22" xfId="0" applyNumberFormat="1" applyFont="1" applyFill="1" applyBorder="1" applyAlignment="1" applyProtection="1">
      <alignment horizontal="center"/>
    </xf>
    <xf numFmtId="0" fontId="55" fillId="31" borderId="42" xfId="0" applyFont="1" applyFill="1" applyBorder="1" applyAlignment="1">
      <alignment horizontal="center" wrapText="1"/>
    </xf>
    <xf numFmtId="0" fontId="20" fillId="31" borderId="13" xfId="0" applyFont="1" applyFill="1" applyBorder="1" applyAlignment="1">
      <alignment horizontal="center" wrapText="1"/>
    </xf>
    <xf numFmtId="0" fontId="51" fillId="25" borderId="13" xfId="0" applyFont="1" applyFill="1" applyBorder="1" applyAlignment="1">
      <alignment horizontal="left" wrapText="1"/>
    </xf>
    <xf numFmtId="0" fontId="5" fillId="25" borderId="0" xfId="0" applyFont="1" applyFill="1" applyAlignment="1" applyProtection="1">
      <alignment vertical="center"/>
    </xf>
    <xf numFmtId="0" fontId="2" fillId="30" borderId="13" xfId="0" applyFont="1" applyFill="1" applyBorder="1" applyAlignment="1">
      <alignment horizontal="center" wrapText="1"/>
    </xf>
    <xf numFmtId="0" fontId="51" fillId="30" borderId="13" xfId="0" applyFont="1" applyFill="1" applyBorder="1" applyAlignment="1">
      <alignment horizontal="center" wrapText="1"/>
    </xf>
    <xf numFmtId="0" fontId="5" fillId="25" borderId="0" xfId="0" quotePrefix="1" applyFont="1" applyFill="1" applyAlignment="1" applyProtection="1">
      <alignment horizontal="right" vertical="center"/>
    </xf>
    <xf numFmtId="0" fontId="55" fillId="31" borderId="71" xfId="0" applyFont="1" applyFill="1" applyBorder="1" applyAlignment="1">
      <alignment wrapText="1"/>
    </xf>
    <xf numFmtId="0" fontId="7" fillId="25" borderId="0" xfId="0" applyFont="1" applyFill="1" applyAlignment="1" applyProtection="1">
      <alignment horizontal="right"/>
    </xf>
    <xf numFmtId="0" fontId="5" fillId="25" borderId="50" xfId="0" applyFont="1" applyFill="1" applyBorder="1" applyAlignment="1" applyProtection="1">
      <alignment vertical="center"/>
    </xf>
    <xf numFmtId="0" fontId="7" fillId="25" borderId="44" xfId="0" applyFont="1" applyFill="1" applyBorder="1" applyAlignment="1" applyProtection="1">
      <alignment horizontal="right" vertical="center"/>
    </xf>
    <xf numFmtId="169" fontId="7" fillId="25" borderId="15" xfId="32" applyNumberFormat="1" applyFont="1" applyFill="1" applyBorder="1" applyAlignment="1" applyProtection="1">
      <alignment horizontal="center"/>
    </xf>
    <xf numFmtId="169" fontId="7" fillId="25" borderId="86" xfId="32" applyNumberFormat="1" applyFont="1" applyFill="1" applyBorder="1" applyAlignment="1" applyProtection="1">
      <alignment horizontal="center"/>
    </xf>
    <xf numFmtId="2" fontId="7" fillId="25" borderId="17" xfId="0" applyNumberFormat="1" applyFont="1" applyFill="1" applyBorder="1" applyAlignment="1" applyProtection="1">
      <alignment horizontal="center"/>
    </xf>
    <xf numFmtId="2" fontId="7" fillId="25" borderId="18" xfId="0" applyNumberFormat="1" applyFont="1" applyFill="1" applyBorder="1" applyAlignment="1" applyProtection="1">
      <alignment horizontal="center"/>
    </xf>
    <xf numFmtId="2" fontId="7" fillId="25" borderId="19" xfId="0" applyNumberFormat="1" applyFont="1" applyFill="1" applyBorder="1" applyAlignment="1" applyProtection="1">
      <alignment horizontal="center"/>
    </xf>
    <xf numFmtId="0" fontId="55" fillId="31" borderId="32" xfId="0" applyFont="1" applyFill="1" applyBorder="1" applyAlignment="1">
      <alignment horizontal="center" wrapText="1"/>
    </xf>
    <xf numFmtId="0" fontId="77" fillId="31" borderId="15" xfId="0" applyFont="1" applyFill="1" applyBorder="1" applyAlignment="1">
      <alignment wrapText="1"/>
    </xf>
    <xf numFmtId="166" fontId="55" fillId="25" borderId="62" xfId="0" applyNumberFormat="1" applyFont="1" applyFill="1" applyBorder="1" applyAlignment="1" applyProtection="1">
      <alignment horizontal="center"/>
    </xf>
    <xf numFmtId="166" fontId="55" fillId="25" borderId="42" xfId="0" applyNumberFormat="1" applyFont="1" applyFill="1" applyBorder="1" applyAlignment="1" applyProtection="1">
      <alignment horizontal="center"/>
    </xf>
    <xf numFmtId="170" fontId="58" fillId="31" borderId="32" xfId="0" applyNumberFormat="1" applyFont="1" applyFill="1" applyBorder="1" applyAlignment="1">
      <alignment horizontal="center" wrapText="1"/>
    </xf>
    <xf numFmtId="0" fontId="58" fillId="31" borderId="32" xfId="0" applyFont="1" applyFill="1" applyBorder="1" applyAlignment="1">
      <alignment horizontal="center" wrapText="1"/>
    </xf>
    <xf numFmtId="170" fontId="59" fillId="31" borderId="58" xfId="0" applyNumberFormat="1" applyFont="1" applyFill="1" applyBorder="1" applyAlignment="1">
      <alignment horizontal="center" wrapText="1"/>
    </xf>
    <xf numFmtId="170" fontId="59" fillId="31" borderId="38" xfId="0" applyNumberFormat="1" applyFont="1" applyFill="1" applyBorder="1" applyAlignment="1">
      <alignment horizontal="center" wrapText="1"/>
    </xf>
    <xf numFmtId="0" fontId="7" fillId="29" borderId="13" xfId="0" quotePrefix="1" applyFont="1" applyFill="1" applyBorder="1" applyAlignment="1">
      <alignment wrapText="1"/>
    </xf>
    <xf numFmtId="0" fontId="7" fillId="32" borderId="13" xfId="0" quotePrefix="1" applyFont="1" applyFill="1" applyBorder="1" applyAlignment="1">
      <alignment wrapText="1"/>
    </xf>
    <xf numFmtId="0" fontId="7" fillId="31" borderId="58" xfId="0" applyFont="1" applyFill="1" applyBorder="1" applyAlignment="1" applyProtection="1">
      <alignment horizontal="right" wrapText="1"/>
    </xf>
    <xf numFmtId="0" fontId="7" fillId="25" borderId="87" xfId="0" applyFont="1" applyFill="1" applyBorder="1" applyAlignment="1" applyProtection="1">
      <alignment horizontal="center"/>
    </xf>
    <xf numFmtId="166" fontId="7" fillId="25" borderId="88" xfId="0" applyNumberFormat="1" applyFont="1" applyFill="1" applyBorder="1" applyAlignment="1" applyProtection="1">
      <alignment horizontal="center" vertical="center"/>
    </xf>
    <xf numFmtId="0" fontId="7" fillId="25" borderId="30" xfId="0" applyFont="1" applyFill="1" applyBorder="1" applyAlignment="1" applyProtection="1">
      <alignment horizontal="left" vertical="center"/>
    </xf>
    <xf numFmtId="0" fontId="7" fillId="25" borderId="44" xfId="0" applyFont="1" applyFill="1" applyBorder="1" applyAlignment="1" applyProtection="1">
      <alignment horizontal="left" vertical="center"/>
    </xf>
    <xf numFmtId="0" fontId="12" fillId="25" borderId="27" xfId="0" applyFont="1" applyFill="1" applyBorder="1" applyProtection="1"/>
    <xf numFmtId="0" fontId="72" fillId="25" borderId="88" xfId="0" applyFont="1" applyFill="1" applyBorder="1" applyAlignment="1" applyProtection="1">
      <alignment horizontal="center"/>
    </xf>
    <xf numFmtId="0" fontId="7" fillId="25" borderId="50" xfId="0" applyFont="1" applyFill="1" applyBorder="1" applyProtection="1"/>
    <xf numFmtId="0" fontId="7" fillId="25" borderId="50" xfId="0" applyFont="1" applyFill="1" applyBorder="1" applyAlignment="1" applyProtection="1">
      <alignment horizontal="right" vertical="center"/>
    </xf>
    <xf numFmtId="9" fontId="7" fillId="25" borderId="0" xfId="0" applyNumberFormat="1" applyFont="1" applyFill="1" applyProtection="1"/>
    <xf numFmtId="2" fontId="7" fillId="25" borderId="0" xfId="0" applyNumberFormat="1" applyFont="1" applyFill="1" applyBorder="1" applyAlignment="1" applyProtection="1">
      <alignment horizontal="center"/>
    </xf>
    <xf numFmtId="2" fontId="7" fillId="32" borderId="19" xfId="0" applyNumberFormat="1" applyFont="1" applyFill="1" applyBorder="1" applyAlignment="1" applyProtection="1">
      <alignment horizontal="center"/>
    </xf>
    <xf numFmtId="2" fontId="7" fillId="32" borderId="12" xfId="0" applyNumberFormat="1" applyFont="1" applyFill="1" applyBorder="1" applyAlignment="1" applyProtection="1">
      <alignment horizontal="center"/>
    </xf>
    <xf numFmtId="0" fontId="7" fillId="31" borderId="86" xfId="0" applyFont="1" applyFill="1" applyBorder="1" applyAlignment="1" applyProtection="1">
      <alignment horizontal="center"/>
    </xf>
    <xf numFmtId="0" fontId="7" fillId="31" borderId="28" xfId="0" applyFont="1" applyFill="1" applyBorder="1" applyAlignment="1" applyProtection="1">
      <alignment horizontal="center"/>
    </xf>
    <xf numFmtId="0" fontId="7" fillId="31" borderId="28" xfId="0" applyFont="1" applyFill="1" applyBorder="1" applyProtection="1"/>
    <xf numFmtId="0" fontId="7" fillId="31" borderId="25" xfId="0" applyFont="1" applyFill="1" applyBorder="1" applyProtection="1"/>
    <xf numFmtId="2" fontId="7" fillId="31" borderId="29" xfId="0" applyNumberFormat="1" applyFont="1" applyFill="1" applyBorder="1" applyAlignment="1" applyProtection="1">
      <alignment horizontal="center"/>
    </xf>
    <xf numFmtId="2" fontId="7" fillId="31" borderId="28" xfId="0" applyNumberFormat="1" applyFont="1" applyFill="1" applyBorder="1" applyAlignment="1" applyProtection="1">
      <alignment horizontal="center"/>
    </xf>
    <xf numFmtId="2" fontId="7" fillId="31" borderId="19" xfId="0" applyNumberFormat="1" applyFont="1" applyFill="1" applyBorder="1" applyAlignment="1" applyProtection="1">
      <alignment horizontal="center"/>
    </xf>
    <xf numFmtId="2" fontId="7" fillId="25" borderId="27" xfId="0" applyNumberFormat="1" applyFont="1" applyFill="1" applyBorder="1" applyAlignment="1" applyProtection="1">
      <alignment horizontal="center"/>
    </xf>
    <xf numFmtId="2" fontId="7" fillId="25" borderId="28" xfId="0" applyNumberFormat="1" applyFont="1" applyFill="1" applyBorder="1" applyAlignment="1" applyProtection="1">
      <alignment horizontal="center"/>
    </xf>
    <xf numFmtId="2" fontId="7" fillId="32" borderId="22" xfId="0" applyNumberFormat="1" applyFont="1" applyFill="1" applyBorder="1" applyAlignment="1" applyProtection="1">
      <alignment horizontal="center"/>
    </xf>
    <xf numFmtId="0" fontId="7" fillId="31" borderId="15" xfId="0" applyFont="1" applyFill="1" applyBorder="1" applyProtection="1"/>
    <xf numFmtId="0" fontId="7" fillId="31" borderId="27" xfId="0" applyFont="1" applyFill="1" applyBorder="1" applyProtection="1"/>
    <xf numFmtId="0" fontId="7" fillId="31" borderId="26" xfId="0" applyFont="1" applyFill="1" applyBorder="1" applyProtection="1"/>
    <xf numFmtId="0" fontId="7" fillId="31" borderId="29" xfId="0" applyFont="1" applyFill="1" applyBorder="1" applyProtection="1"/>
    <xf numFmtId="0" fontId="7" fillId="32" borderId="28" xfId="0" applyFont="1" applyFill="1" applyBorder="1" applyAlignment="1" applyProtection="1">
      <alignment horizontal="center"/>
    </xf>
    <xf numFmtId="0" fontId="7" fillId="32" borderId="25" xfId="0" applyFont="1" applyFill="1" applyBorder="1" applyProtection="1"/>
    <xf numFmtId="0" fontId="7" fillId="31" borderId="17" xfId="0" applyFont="1" applyFill="1" applyBorder="1" applyProtection="1"/>
    <xf numFmtId="169" fontId="7" fillId="25" borderId="25" xfId="32" applyNumberFormat="1" applyFont="1" applyFill="1" applyBorder="1" applyAlignment="1" applyProtection="1">
      <alignment horizontal="center"/>
    </xf>
    <xf numFmtId="0" fontId="57" fillId="31" borderId="54" xfId="0" applyFont="1" applyFill="1" applyBorder="1" applyAlignment="1" applyProtection="1">
      <alignment horizontal="center" vertical="center"/>
      <protection locked="0"/>
    </xf>
    <xf numFmtId="166" fontId="7" fillId="25" borderId="39" xfId="0" applyNumberFormat="1" applyFont="1" applyFill="1" applyBorder="1" applyAlignment="1" applyProtection="1">
      <alignment horizontal="center" vertical="center"/>
    </xf>
    <xf numFmtId="166" fontId="7" fillId="25" borderId="44" xfId="0" applyNumberFormat="1" applyFont="1" applyFill="1" applyBorder="1" applyAlignment="1" applyProtection="1">
      <alignment horizontal="center" vertical="center"/>
    </xf>
    <xf numFmtId="2" fontId="7" fillId="31" borderId="26" xfId="0" applyNumberFormat="1" applyFont="1" applyFill="1" applyBorder="1" applyAlignment="1" applyProtection="1">
      <alignment horizontal="center"/>
    </xf>
    <xf numFmtId="2" fontId="7" fillId="25" borderId="15" xfId="0" applyNumberFormat="1" applyFont="1" applyFill="1" applyBorder="1" applyAlignment="1" applyProtection="1">
      <alignment horizontal="center"/>
    </xf>
    <xf numFmtId="2" fontId="7" fillId="25" borderId="71" xfId="0" applyNumberFormat="1" applyFont="1" applyFill="1" applyBorder="1" applyAlignment="1" applyProtection="1">
      <alignment horizontal="center"/>
    </xf>
    <xf numFmtId="0" fontId="7" fillId="30" borderId="13" xfId="0" applyFont="1" applyFill="1" applyBorder="1" applyAlignment="1">
      <alignment wrapText="1"/>
    </xf>
    <xf numFmtId="2" fontId="8" fillId="25" borderId="11" xfId="0" applyNumberFormat="1" applyFont="1" applyFill="1" applyBorder="1" applyAlignment="1" applyProtection="1">
      <alignment horizontal="center" vertical="center"/>
    </xf>
    <xf numFmtId="0" fontId="56" fillId="25" borderId="11" xfId="0" applyFont="1" applyFill="1" applyBorder="1" applyAlignment="1" applyProtection="1">
      <alignment horizontal="center" vertical="center"/>
    </xf>
    <xf numFmtId="0" fontId="8" fillId="25" borderId="31" xfId="0" applyFont="1" applyFill="1" applyBorder="1" applyAlignment="1" applyProtection="1">
      <alignment horizontal="center" vertical="center"/>
    </xf>
    <xf numFmtId="0" fontId="8" fillId="25" borderId="51" xfId="0" applyFont="1" applyFill="1" applyBorder="1" applyAlignment="1" applyProtection="1">
      <alignment horizontal="center" vertical="center"/>
    </xf>
    <xf numFmtId="0" fontId="56" fillId="25" borderId="31" xfId="0" applyFont="1" applyFill="1" applyBorder="1" applyAlignment="1" applyProtection="1">
      <alignment horizontal="center" vertical="center"/>
    </xf>
    <xf numFmtId="0" fontId="64" fillId="25" borderId="0" xfId="0" applyFont="1" applyFill="1" applyAlignment="1" applyProtection="1">
      <alignment horizontal="center"/>
    </xf>
    <xf numFmtId="0" fontId="7" fillId="25" borderId="37" xfId="0" applyFont="1" applyFill="1" applyBorder="1" applyAlignment="1" applyProtection="1">
      <alignment horizontal="center" vertical="center"/>
    </xf>
    <xf numFmtId="0" fontId="7" fillId="25" borderId="19" xfId="0" applyFont="1" applyFill="1" applyBorder="1" applyAlignment="1" applyProtection="1">
      <alignment horizontal="center"/>
    </xf>
    <xf numFmtId="0" fontId="7" fillId="25" borderId="86" xfId="0" applyFont="1" applyFill="1" applyBorder="1" applyAlignment="1" applyProtection="1">
      <alignment horizontal="center"/>
    </xf>
    <xf numFmtId="0" fontId="7" fillId="25" borderId="17" xfId="0" applyFont="1" applyFill="1" applyBorder="1" applyAlignment="1" applyProtection="1">
      <alignment horizontal="center"/>
    </xf>
    <xf numFmtId="0" fontId="0" fillId="31" borderId="86" xfId="0" applyFill="1" applyBorder="1" applyAlignment="1">
      <alignment horizontal="center"/>
    </xf>
    <xf numFmtId="0" fontId="0" fillId="31" borderId="17" xfId="0" applyFill="1" applyBorder="1" applyAlignment="1">
      <alignment horizontal="center"/>
    </xf>
    <xf numFmtId="0" fontId="0" fillId="31" borderId="18" xfId="0" applyFill="1" applyBorder="1" applyAlignment="1">
      <alignment horizontal="center"/>
    </xf>
    <xf numFmtId="0" fontId="0" fillId="31" borderId="19" xfId="0" applyFill="1" applyBorder="1" applyAlignment="1">
      <alignment horizontal="center"/>
    </xf>
    <xf numFmtId="0" fontId="0" fillId="31" borderId="26" xfId="0" applyFill="1" applyBorder="1"/>
    <xf numFmtId="0" fontId="0" fillId="31" borderId="29" xfId="0" applyFill="1" applyBorder="1"/>
    <xf numFmtId="0" fontId="0" fillId="31" borderId="0" xfId="0" applyFill="1" applyBorder="1"/>
    <xf numFmtId="0" fontId="0" fillId="31" borderId="25" xfId="0" applyFill="1" applyBorder="1"/>
    <xf numFmtId="0" fontId="0" fillId="31" borderId="15" xfId="0" applyFill="1" applyBorder="1"/>
    <xf numFmtId="0" fontId="0" fillId="31" borderId="27" xfId="0" applyFill="1" applyBorder="1"/>
    <xf numFmtId="0" fontId="0" fillId="31" borderId="86" xfId="0" applyFill="1" applyBorder="1"/>
    <xf numFmtId="0" fontId="0" fillId="31" borderId="27" xfId="0" applyFill="1" applyBorder="1" applyAlignment="1">
      <alignment horizontal="center"/>
    </xf>
    <xf numFmtId="0" fontId="0" fillId="31" borderId="28" xfId="0" applyFill="1" applyBorder="1" applyAlignment="1">
      <alignment horizontal="center"/>
    </xf>
    <xf numFmtId="0" fontId="0" fillId="31" borderId="71" xfId="0" applyFill="1" applyBorder="1"/>
    <xf numFmtId="0" fontId="0" fillId="31" borderId="28" xfId="0" applyFill="1" applyBorder="1"/>
    <xf numFmtId="0" fontId="0" fillId="32" borderId="25" xfId="0" applyFill="1" applyBorder="1"/>
    <xf numFmtId="0" fontId="0" fillId="32" borderId="27" xfId="0" applyFill="1" applyBorder="1"/>
    <xf numFmtId="0" fontId="0" fillId="32" borderId="0" xfId="0" applyFill="1" applyBorder="1"/>
    <xf numFmtId="0" fontId="0" fillId="32" borderId="28" xfId="0" applyFill="1" applyBorder="1"/>
    <xf numFmtId="166" fontId="7" fillId="25" borderId="20" xfId="0" applyNumberFormat="1" applyFont="1" applyFill="1" applyBorder="1" applyAlignment="1" applyProtection="1">
      <alignment horizontal="center"/>
    </xf>
    <xf numFmtId="170" fontId="57" fillId="31" borderId="13" xfId="0" applyNumberFormat="1" applyFont="1" applyFill="1" applyBorder="1" applyAlignment="1" applyProtection="1">
      <alignment horizontal="center" vertical="center"/>
      <protection locked="0"/>
    </xf>
    <xf numFmtId="0" fontId="2" fillId="31" borderId="15" xfId="0" applyFont="1" applyFill="1" applyBorder="1"/>
    <xf numFmtId="0" fontId="2" fillId="31" borderId="29" xfId="0" applyFont="1" applyFill="1" applyBorder="1"/>
    <xf numFmtId="166" fontId="7" fillId="25" borderId="86" xfId="0" applyNumberFormat="1" applyFont="1" applyFill="1" applyBorder="1" applyAlignment="1" applyProtection="1">
      <alignment horizontal="center"/>
    </xf>
    <xf numFmtId="166" fontId="7" fillId="31" borderId="20" xfId="0" applyNumberFormat="1" applyFont="1" applyFill="1" applyBorder="1" applyAlignment="1" applyProtection="1">
      <alignment horizontal="center"/>
    </xf>
    <xf numFmtId="166" fontId="7" fillId="31" borderId="14" xfId="0" applyNumberFormat="1" applyFont="1" applyFill="1" applyBorder="1" applyAlignment="1" applyProtection="1">
      <alignment horizontal="center"/>
    </xf>
    <xf numFmtId="166" fontId="7" fillId="31" borderId="22" xfId="0" applyNumberFormat="1" applyFont="1" applyFill="1" applyBorder="1" applyAlignment="1" applyProtection="1">
      <alignment horizontal="center"/>
    </xf>
    <xf numFmtId="0" fontId="7" fillId="31" borderId="12" xfId="0" applyFont="1" applyFill="1" applyBorder="1" applyAlignment="1" applyProtection="1">
      <alignment horizontal="left"/>
    </xf>
    <xf numFmtId="166" fontId="7" fillId="31" borderId="12" xfId="0" applyNumberFormat="1" applyFont="1" applyFill="1" applyBorder="1" applyAlignment="1" applyProtection="1">
      <alignment horizontal="center"/>
    </xf>
    <xf numFmtId="0" fontId="0" fillId="32" borderId="20" xfId="0" applyFill="1" applyBorder="1"/>
    <xf numFmtId="0" fontId="0" fillId="32" borderId="14" xfId="0" applyFill="1" applyBorder="1"/>
    <xf numFmtId="0" fontId="0" fillId="32" borderId="12" xfId="0" applyFill="1" applyBorder="1"/>
    <xf numFmtId="0" fontId="17" fillId="25" borderId="0" xfId="0" applyFont="1" applyFill="1" applyProtection="1"/>
    <xf numFmtId="0" fontId="1" fillId="31" borderId="0" xfId="0" applyFont="1" applyFill="1"/>
    <xf numFmtId="166" fontId="0" fillId="31" borderId="15" xfId="0" applyNumberFormat="1" applyFill="1" applyBorder="1" applyAlignment="1">
      <alignment horizontal="center"/>
    </xf>
    <xf numFmtId="166" fontId="0" fillId="31" borderId="17" xfId="0" applyNumberFormat="1" applyFill="1" applyBorder="1" applyAlignment="1">
      <alignment horizontal="center"/>
    </xf>
    <xf numFmtId="166" fontId="0" fillId="31" borderId="18" xfId="0" applyNumberFormat="1" applyFill="1" applyBorder="1" applyAlignment="1">
      <alignment horizontal="center"/>
    </xf>
    <xf numFmtId="166" fontId="0" fillId="31" borderId="71" xfId="0" applyNumberFormat="1" applyFill="1" applyBorder="1" applyAlignment="1">
      <alignment horizontal="center"/>
    </xf>
    <xf numFmtId="166" fontId="7" fillId="31" borderId="26" xfId="0" applyNumberFormat="1" applyFont="1" applyFill="1" applyBorder="1" applyAlignment="1" applyProtection="1">
      <alignment horizontal="center"/>
    </xf>
    <xf numFmtId="166" fontId="7" fillId="31" borderId="25" xfId="0" applyNumberFormat="1" applyFont="1" applyFill="1" applyBorder="1" applyAlignment="1" applyProtection="1">
      <alignment horizontal="center"/>
    </xf>
    <xf numFmtId="166" fontId="7" fillId="31" borderId="29" xfId="0" applyNumberFormat="1" applyFont="1" applyFill="1" applyBorder="1" applyAlignment="1" applyProtection="1">
      <alignment horizontal="center"/>
    </xf>
    <xf numFmtId="166" fontId="72" fillId="25" borderId="89" xfId="0" applyNumberFormat="1" applyFont="1" applyFill="1" applyBorder="1" applyAlignment="1" applyProtection="1">
      <alignment horizontal="center"/>
    </xf>
    <xf numFmtId="0" fontId="7" fillId="31" borderId="25" xfId="0" applyFont="1" applyFill="1" applyBorder="1" applyAlignment="1" applyProtection="1">
      <alignment horizontal="center"/>
    </xf>
    <xf numFmtId="0" fontId="55" fillId="31" borderId="25" xfId="0" applyFont="1" applyFill="1" applyBorder="1" applyAlignment="1" applyProtection="1">
      <alignment horizontal="center"/>
    </xf>
    <xf numFmtId="0" fontId="55" fillId="31" borderId="29" xfId="0" applyFont="1" applyFill="1" applyBorder="1" applyAlignment="1" applyProtection="1">
      <alignment horizontal="center"/>
    </xf>
    <xf numFmtId="166" fontId="7" fillId="25" borderId="25" xfId="0" applyNumberFormat="1" applyFont="1" applyFill="1" applyBorder="1" applyAlignment="1" applyProtection="1">
      <alignment horizontal="center"/>
    </xf>
    <xf numFmtId="0" fontId="64" fillId="25" borderId="0" xfId="0" applyFont="1" applyFill="1" applyBorder="1" applyProtection="1"/>
    <xf numFmtId="2" fontId="64" fillId="25" borderId="0" xfId="0" applyNumberFormat="1" applyFont="1" applyFill="1" applyBorder="1" applyProtection="1"/>
    <xf numFmtId="166" fontId="64" fillId="25" borderId="0" xfId="0" applyNumberFormat="1" applyFont="1" applyFill="1" applyBorder="1" applyProtection="1"/>
    <xf numFmtId="0" fontId="57" fillId="25" borderId="0" xfId="0" applyFont="1" applyFill="1" applyBorder="1" applyAlignment="1" applyProtection="1">
      <alignment horizontal="center"/>
    </xf>
    <xf numFmtId="0" fontId="61" fillId="25" borderId="0" xfId="0" applyFont="1" applyFill="1" applyBorder="1" applyProtection="1"/>
    <xf numFmtId="0" fontId="62" fillId="25" borderId="0" xfId="0" applyFont="1" applyFill="1" applyBorder="1" applyProtection="1"/>
    <xf numFmtId="0" fontId="61" fillId="31" borderId="0" xfId="0" applyFont="1" applyFill="1" applyBorder="1" applyProtection="1"/>
    <xf numFmtId="0" fontId="7" fillId="25" borderId="70" xfId="0" applyFont="1" applyFill="1" applyBorder="1" applyAlignment="1">
      <alignment vertical="center"/>
    </xf>
    <xf numFmtId="0" fontId="2" fillId="25" borderId="50" xfId="0" applyFont="1" applyFill="1" applyBorder="1" applyAlignment="1">
      <alignment vertical="center"/>
    </xf>
    <xf numFmtId="166" fontId="7" fillId="25" borderId="54" xfId="0" applyNumberFormat="1" applyFont="1" applyFill="1" applyBorder="1" applyAlignment="1">
      <alignment horizontal="center" vertical="center"/>
    </xf>
    <xf numFmtId="0" fontId="7" fillId="25" borderId="78" xfId="0" applyFont="1" applyFill="1" applyBorder="1" applyAlignment="1">
      <alignment horizontal="center" vertical="center"/>
    </xf>
    <xf numFmtId="166" fontId="55" fillId="32" borderId="73" xfId="32" applyNumberFormat="1" applyFont="1" applyFill="1" applyBorder="1" applyAlignment="1" applyProtection="1">
      <alignment horizontal="center" vertical="center"/>
      <protection locked="0"/>
    </xf>
    <xf numFmtId="0" fontId="55" fillId="31" borderId="64" xfId="0" applyFont="1" applyFill="1" applyBorder="1" applyAlignment="1">
      <alignment horizontal="left" vertical="center"/>
    </xf>
    <xf numFmtId="0" fontId="73" fillId="31" borderId="58" xfId="0" applyFont="1" applyFill="1" applyBorder="1" applyAlignment="1">
      <alignment vertical="center"/>
    </xf>
    <xf numFmtId="0" fontId="55" fillId="30" borderId="32" xfId="0" applyFont="1" applyFill="1" applyBorder="1" applyAlignment="1" applyProtection="1">
      <alignment horizontal="center" vertical="center"/>
      <protection locked="0"/>
    </xf>
    <xf numFmtId="2" fontId="55" fillId="31" borderId="21" xfId="0" applyNumberFormat="1" applyFont="1" applyFill="1" applyBorder="1" applyAlignment="1">
      <alignment horizontal="center" vertical="center"/>
    </xf>
    <xf numFmtId="0" fontId="55" fillId="31" borderId="21" xfId="0" applyFont="1" applyFill="1" applyBorder="1" applyAlignment="1">
      <alignment horizontal="center" vertical="center"/>
    </xf>
    <xf numFmtId="0" fontId="58" fillId="31" borderId="40" xfId="0" applyFont="1" applyFill="1" applyBorder="1" applyAlignment="1">
      <alignment horizontal="center" wrapText="1"/>
    </xf>
    <xf numFmtId="0" fontId="7" fillId="25" borderId="68" xfId="0" applyFont="1" applyFill="1" applyBorder="1" applyAlignment="1" applyProtection="1">
      <alignment horizontal="center" vertical="center"/>
    </xf>
    <xf numFmtId="0" fontId="58" fillId="31" borderId="19" xfId="0" applyFont="1" applyFill="1" applyBorder="1" applyAlignment="1">
      <alignment horizontal="center"/>
    </xf>
    <xf numFmtId="0" fontId="7" fillId="32" borderId="22" xfId="0" applyFont="1" applyFill="1" applyBorder="1" applyAlignment="1" applyProtection="1">
      <alignment horizontal="center" vertical="center"/>
      <protection locked="0"/>
    </xf>
    <xf numFmtId="0" fontId="58" fillId="31" borderId="17" xfId="0" applyFont="1" applyFill="1" applyBorder="1" applyAlignment="1">
      <alignment horizontal="center" wrapText="1"/>
    </xf>
    <xf numFmtId="169" fontId="7" fillId="25" borderId="68" xfId="32" applyNumberFormat="1" applyFont="1" applyFill="1" applyBorder="1" applyAlignment="1" applyProtection="1">
      <alignment horizontal="center" vertical="center"/>
    </xf>
    <xf numFmtId="0" fontId="5" fillId="25" borderId="45" xfId="0" applyFont="1" applyFill="1" applyBorder="1" applyAlignment="1" applyProtection="1">
      <alignment horizontal="center" vertical="center" wrapText="1"/>
    </xf>
    <xf numFmtId="0" fontId="7" fillId="25" borderId="43" xfId="0" applyFont="1" applyFill="1" applyBorder="1" applyAlignment="1" applyProtection="1">
      <alignment horizontal="right" vertical="center"/>
    </xf>
    <xf numFmtId="166" fontId="7" fillId="25" borderId="62" xfId="0" applyNumberFormat="1" applyFont="1" applyFill="1" applyBorder="1" applyAlignment="1" applyProtection="1">
      <alignment horizontal="center" vertical="center"/>
    </xf>
    <xf numFmtId="0" fontId="5" fillId="25" borderId="68" xfId="0" applyFont="1" applyFill="1" applyBorder="1" applyAlignment="1" applyProtection="1">
      <alignment horizontal="center" vertical="center" wrapText="1"/>
    </xf>
    <xf numFmtId="0" fontId="5" fillId="25" borderId="20" xfId="0" applyFont="1" applyFill="1" applyBorder="1" applyAlignment="1" applyProtection="1">
      <alignment horizontal="center" vertical="center" wrapText="1"/>
    </xf>
    <xf numFmtId="166" fontId="57" fillId="25" borderId="0" xfId="0" applyNumberFormat="1" applyFont="1" applyFill="1" applyBorder="1" applyAlignment="1" applyProtection="1">
      <alignment horizontal="right"/>
    </xf>
    <xf numFmtId="0" fontId="57" fillId="25" borderId="0" xfId="0" applyFont="1" applyFill="1" applyBorder="1" applyAlignment="1" applyProtection="1">
      <alignment horizontal="right" wrapText="1"/>
    </xf>
    <xf numFmtId="0" fontId="57" fillId="25" borderId="0" xfId="0" applyFont="1" applyFill="1" applyBorder="1" applyAlignment="1" applyProtection="1">
      <alignment horizontal="right"/>
    </xf>
    <xf numFmtId="166" fontId="61" fillId="25" borderId="0" xfId="0" applyNumberFormat="1" applyFont="1" applyFill="1" applyBorder="1" applyAlignment="1" applyProtection="1"/>
    <xf numFmtId="0" fontId="68" fillId="25" borderId="0" xfId="0" applyFont="1" applyFill="1" applyProtection="1"/>
    <xf numFmtId="0" fontId="66" fillId="25" borderId="0" xfId="0" applyFont="1" applyFill="1" applyProtection="1"/>
    <xf numFmtId="0" fontId="67" fillId="25" borderId="0" xfId="0" applyFont="1" applyFill="1" applyProtection="1"/>
    <xf numFmtId="0" fontId="67" fillId="31" borderId="0" xfId="0" applyFont="1" applyFill="1" applyProtection="1"/>
    <xf numFmtId="0" fontId="57" fillId="25" borderId="0" xfId="0" quotePrefix="1" applyFont="1" applyFill="1" applyBorder="1" applyProtection="1"/>
    <xf numFmtId="0" fontId="57" fillId="25" borderId="0" xfId="0" applyFont="1" applyFill="1" applyAlignment="1" applyProtection="1">
      <alignment horizontal="right"/>
    </xf>
    <xf numFmtId="0" fontId="7" fillId="28" borderId="13" xfId="0" applyFont="1" applyFill="1" applyBorder="1" applyAlignment="1">
      <alignment horizontal="left" wrapText="1"/>
    </xf>
    <xf numFmtId="0" fontId="5" fillId="25" borderId="87" xfId="0" applyFont="1" applyFill="1" applyBorder="1" applyAlignment="1" applyProtection="1">
      <alignment horizontal="center"/>
    </xf>
    <xf numFmtId="0" fontId="5" fillId="25" borderId="39" xfId="0" applyFont="1" applyFill="1" applyBorder="1" applyAlignment="1" applyProtection="1">
      <alignment horizontal="center" vertical="center" wrapText="1"/>
      <protection locked="0"/>
    </xf>
    <xf numFmtId="0" fontId="7" fillId="27" borderId="39" xfId="0" applyFont="1" applyFill="1" applyBorder="1" applyAlignment="1" applyProtection="1">
      <alignment horizontal="center" vertical="center" wrapText="1"/>
      <protection locked="0"/>
    </xf>
    <xf numFmtId="0" fontId="8" fillId="25" borderId="49" xfId="0" applyFont="1" applyFill="1" applyBorder="1" applyAlignment="1" applyProtection="1">
      <alignment horizontal="center" vertical="center"/>
    </xf>
    <xf numFmtId="0" fontId="17" fillId="25" borderId="0" xfId="0" applyFont="1" applyFill="1" applyBorder="1" applyAlignment="1" applyProtection="1">
      <alignment horizontal="left" vertical="center"/>
    </xf>
    <xf numFmtId="0" fontId="5" fillId="30" borderId="17" xfId="0" applyFont="1" applyFill="1" applyBorder="1" applyAlignment="1" applyProtection="1">
      <alignment horizontal="center" vertical="center"/>
    </xf>
    <xf numFmtId="0" fontId="30" fillId="25" borderId="0" xfId="0" applyFont="1" applyFill="1" applyAlignment="1" applyProtection="1">
      <alignment horizontal="center"/>
    </xf>
    <xf numFmtId="0" fontId="30" fillId="25" borderId="0" xfId="0" applyFont="1" applyFill="1" applyAlignment="1" applyProtection="1">
      <alignment horizontal="center" vertical="center"/>
    </xf>
    <xf numFmtId="0" fontId="82" fillId="25" borderId="0" xfId="0" applyFont="1" applyFill="1" applyProtection="1"/>
    <xf numFmtId="0" fontId="30" fillId="25" borderId="0" xfId="0" applyFont="1" applyFill="1" applyProtection="1"/>
    <xf numFmtId="0" fontId="30" fillId="25" borderId="0" xfId="0" applyFont="1" applyFill="1" applyAlignment="1" applyProtection="1"/>
    <xf numFmtId="0" fontId="30" fillId="25" borderId="0" xfId="0" applyFont="1" applyFill="1"/>
    <xf numFmtId="0" fontId="30" fillId="31" borderId="0" xfId="0" applyFont="1" applyFill="1"/>
    <xf numFmtId="0" fontId="30" fillId="0" borderId="0" xfId="0" applyFont="1"/>
    <xf numFmtId="0" fontId="30" fillId="31" borderId="28" xfId="0" applyFont="1" applyFill="1" applyBorder="1"/>
    <xf numFmtId="0" fontId="30" fillId="31" borderId="0" xfId="0" applyFont="1" applyFill="1" applyBorder="1"/>
    <xf numFmtId="0" fontId="30" fillId="25" borderId="0" xfId="0" applyFont="1" applyFill="1" applyAlignment="1">
      <alignment horizontal="center" vertical="center"/>
    </xf>
    <xf numFmtId="0" fontId="30" fillId="25" borderId="0" xfId="0" applyFont="1" applyFill="1" applyAlignment="1">
      <alignment vertical="center"/>
    </xf>
    <xf numFmtId="0" fontId="30" fillId="25" borderId="0" xfId="0" applyFont="1" applyFill="1" applyBorder="1" applyAlignment="1">
      <alignment horizontal="center" vertical="center"/>
    </xf>
    <xf numFmtId="0" fontId="30" fillId="31" borderId="28" xfId="0" applyFont="1" applyFill="1" applyBorder="1" applyAlignment="1">
      <alignment vertical="center"/>
    </xf>
    <xf numFmtId="0" fontId="30" fillId="31" borderId="28" xfId="0" applyFont="1" applyFill="1" applyBorder="1" applyAlignment="1">
      <alignment horizontal="center" vertical="center"/>
    </xf>
    <xf numFmtId="2" fontId="30" fillId="25" borderId="0" xfId="0" applyNumberFormat="1" applyFont="1" applyFill="1" applyProtection="1"/>
    <xf numFmtId="0" fontId="30" fillId="31" borderId="0" xfId="0" applyFont="1" applyFill="1" applyProtection="1"/>
    <xf numFmtId="0" fontId="30" fillId="25" borderId="49" xfId="0" applyFont="1" applyFill="1" applyBorder="1" applyAlignment="1" applyProtection="1">
      <alignment horizontal="center" vertical="center" wrapText="1"/>
    </xf>
    <xf numFmtId="167" fontId="7" fillId="25" borderId="0" xfId="0" applyNumberFormat="1" applyFont="1" applyFill="1" applyProtection="1"/>
    <xf numFmtId="0" fontId="17" fillId="25" borderId="0" xfId="0" applyFont="1" applyFill="1" applyBorder="1" applyAlignment="1" applyProtection="1">
      <alignment horizontal="left" vertical="center" wrapText="1"/>
    </xf>
    <xf numFmtId="166" fontId="0" fillId="31" borderId="26" xfId="0" applyNumberFormat="1" applyFill="1" applyBorder="1" applyAlignment="1">
      <alignment horizontal="center"/>
    </xf>
    <xf numFmtId="0" fontId="5" fillId="25" borderId="82" xfId="0" applyFont="1" applyFill="1" applyBorder="1" applyAlignment="1" applyProtection="1">
      <alignment horizontal="center" vertical="center" wrapText="1"/>
    </xf>
    <xf numFmtId="0" fontId="5" fillId="25" borderId="82" xfId="0" applyFont="1" applyFill="1" applyBorder="1" applyAlignment="1" applyProtection="1">
      <alignment horizontal="center" vertical="center"/>
    </xf>
    <xf numFmtId="9" fontId="57" fillId="26" borderId="32" xfId="32" applyFont="1" applyFill="1" applyBorder="1" applyAlignment="1" applyProtection="1">
      <alignment horizontal="center" vertical="center"/>
      <protection locked="0"/>
    </xf>
    <xf numFmtId="0" fontId="7" fillId="25" borderId="44" xfId="0" applyFont="1" applyFill="1" applyBorder="1" applyProtection="1"/>
    <xf numFmtId="0" fontId="7" fillId="25" borderId="15" xfId="0" applyFont="1" applyFill="1" applyBorder="1" applyAlignment="1" applyProtection="1">
      <alignment horizontal="center"/>
    </xf>
    <xf numFmtId="0" fontId="7" fillId="25" borderId="86" xfId="0" applyFont="1" applyFill="1" applyBorder="1" applyAlignment="1" applyProtection="1">
      <alignment horizontal="center"/>
    </xf>
    <xf numFmtId="0" fontId="0" fillId="31" borderId="17" xfId="0" applyFill="1" applyBorder="1"/>
    <xf numFmtId="0" fontId="0" fillId="31" borderId="19" xfId="0" applyFill="1" applyBorder="1"/>
    <xf numFmtId="0" fontId="7" fillId="25" borderId="13" xfId="0" applyFont="1" applyFill="1" applyBorder="1" applyAlignment="1" applyProtection="1">
      <alignment horizontal="center" vertical="center"/>
    </xf>
    <xf numFmtId="0" fontId="0" fillId="39" borderId="94" xfId="0" applyFill="1" applyBorder="1" applyAlignment="1"/>
    <xf numFmtId="0" fontId="0" fillId="39" borderId="93" xfId="0" applyFill="1" applyBorder="1"/>
    <xf numFmtId="0" fontId="0" fillId="39" borderId="92" xfId="0" applyFill="1" applyBorder="1" applyAlignment="1"/>
    <xf numFmtId="0" fontId="0" fillId="39" borderId="0" xfId="0" applyFill="1" applyBorder="1"/>
    <xf numFmtId="0" fontId="0" fillId="39" borderId="92" xfId="0" applyFill="1" applyBorder="1"/>
    <xf numFmtId="0" fontId="83" fillId="39" borderId="93" xfId="0" applyFont="1" applyFill="1" applyBorder="1" applyAlignment="1">
      <alignment horizontal="center"/>
    </xf>
    <xf numFmtId="0" fontId="83" fillId="39" borderId="0" xfId="0" applyFont="1" applyFill="1" applyBorder="1" applyAlignment="1">
      <alignment horizontal="center"/>
    </xf>
    <xf numFmtId="0" fontId="0" fillId="39" borderId="56" xfId="0" applyFill="1" applyBorder="1"/>
    <xf numFmtId="0" fontId="0" fillId="39" borderId="96" xfId="0" applyFill="1" applyBorder="1"/>
    <xf numFmtId="0" fontId="0" fillId="39" borderId="91" xfId="0" applyFill="1" applyBorder="1" applyAlignment="1"/>
    <xf numFmtId="0" fontId="0" fillId="39" borderId="0" xfId="0" applyFill="1" applyBorder="1" applyAlignment="1"/>
    <xf numFmtId="0" fontId="0" fillId="39" borderId="0" xfId="0" applyFill="1" applyBorder="1" applyAlignment="1">
      <alignment horizontal="center"/>
    </xf>
    <xf numFmtId="0" fontId="0" fillId="39" borderId="92" xfId="0" applyFill="1" applyBorder="1" applyAlignment="1">
      <alignment horizontal="center"/>
    </xf>
    <xf numFmtId="0" fontId="0" fillId="39" borderId="90" xfId="0" applyFill="1" applyBorder="1" applyAlignment="1">
      <alignment horizontal="center"/>
    </xf>
    <xf numFmtId="0" fontId="0" fillId="39" borderId="93" xfId="0" applyFill="1" applyBorder="1" applyAlignment="1">
      <alignment horizontal="center"/>
    </xf>
    <xf numFmtId="2" fontId="0" fillId="39" borderId="93" xfId="0" applyNumberFormat="1" applyFill="1" applyBorder="1" applyAlignment="1">
      <alignment horizontal="center"/>
    </xf>
    <xf numFmtId="2" fontId="0" fillId="39" borderId="0" xfId="0" applyNumberFormat="1" applyFill="1" applyBorder="1" applyAlignment="1">
      <alignment horizontal="center"/>
    </xf>
    <xf numFmtId="166" fontId="0" fillId="39" borderId="93" xfId="0" applyNumberFormat="1" applyFill="1" applyBorder="1" applyAlignment="1">
      <alignment horizontal="center"/>
    </xf>
    <xf numFmtId="166" fontId="0" fillId="39" borderId="0" xfId="0" applyNumberFormat="1" applyFill="1" applyBorder="1" applyAlignment="1">
      <alignment horizontal="center"/>
    </xf>
    <xf numFmtId="166" fontId="0" fillId="39" borderId="95" xfId="0" applyNumberFormat="1" applyFill="1" applyBorder="1" applyAlignment="1">
      <alignment horizontal="center"/>
    </xf>
    <xf numFmtId="166" fontId="0" fillId="39" borderId="56" xfId="0" applyNumberFormat="1" applyFill="1" applyBorder="1" applyAlignment="1">
      <alignment horizontal="center"/>
    </xf>
    <xf numFmtId="0" fontId="53" fillId="31" borderId="0" xfId="0" applyFont="1" applyFill="1"/>
    <xf numFmtId="0" fontId="83" fillId="31" borderId="0" xfId="0" applyFont="1" applyFill="1" applyBorder="1"/>
    <xf numFmtId="0" fontId="0" fillId="39" borderId="93" xfId="0" applyFill="1" applyBorder="1" applyAlignment="1">
      <alignment horizontal="left"/>
    </xf>
    <xf numFmtId="0" fontId="0" fillId="31" borderId="0" xfId="0" applyFill="1" applyAlignment="1">
      <alignment horizontal="left"/>
    </xf>
    <xf numFmtId="0" fontId="7" fillId="40" borderId="13" xfId="0" applyFont="1" applyFill="1" applyBorder="1" applyAlignment="1">
      <alignment wrapText="1"/>
    </xf>
    <xf numFmtId="1" fontId="0" fillId="39" borderId="93" xfId="0" applyNumberFormat="1" applyFill="1" applyBorder="1" applyAlignment="1">
      <alignment horizontal="center"/>
    </xf>
    <xf numFmtId="1" fontId="0" fillId="39" borderId="0" xfId="0" applyNumberFormat="1" applyFill="1" applyBorder="1" applyAlignment="1">
      <alignment horizontal="center"/>
    </xf>
    <xf numFmtId="0" fontId="7" fillId="31" borderId="12" xfId="0" applyFont="1" applyFill="1" applyBorder="1" applyProtection="1"/>
    <xf numFmtId="166" fontId="0" fillId="31" borderId="20" xfId="0" applyNumberFormat="1" applyFill="1" applyBorder="1" applyAlignment="1">
      <alignment horizontal="center"/>
    </xf>
    <xf numFmtId="166" fontId="0" fillId="31" borderId="14" xfId="0" applyNumberFormat="1" applyFill="1" applyBorder="1" applyAlignment="1">
      <alignment horizontal="center"/>
    </xf>
    <xf numFmtId="166" fontId="0" fillId="31" borderId="0" xfId="0" applyNumberFormat="1" applyFill="1" applyProtection="1"/>
    <xf numFmtId="166" fontId="2" fillId="25" borderId="0" xfId="0" applyNumberFormat="1" applyFont="1" applyFill="1" applyProtection="1"/>
    <xf numFmtId="0" fontId="7" fillId="25" borderId="98" xfId="0" applyFont="1" applyFill="1" applyBorder="1" applyProtection="1"/>
    <xf numFmtId="169" fontId="7" fillId="25" borderId="19" xfId="0" applyNumberFormat="1" applyFont="1" applyFill="1" applyBorder="1" applyAlignment="1" applyProtection="1">
      <alignment horizontal="center"/>
    </xf>
    <xf numFmtId="166" fontId="7" fillId="25" borderId="98" xfId="0" applyNumberFormat="1" applyFont="1" applyFill="1" applyBorder="1" applyAlignment="1" applyProtection="1">
      <alignment horizontal="center"/>
    </xf>
    <xf numFmtId="166" fontId="7" fillId="25" borderId="97" xfId="0" applyNumberFormat="1" applyFont="1" applyFill="1" applyBorder="1" applyAlignment="1" applyProtection="1">
      <alignment horizontal="center"/>
    </xf>
    <xf numFmtId="2" fontId="7" fillId="25" borderId="25" xfId="0" applyNumberFormat="1" applyFont="1" applyFill="1" applyBorder="1" applyAlignment="1" applyProtection="1">
      <alignment horizontal="center"/>
    </xf>
    <xf numFmtId="0" fontId="7" fillId="25" borderId="97" xfId="0" applyFont="1" applyFill="1" applyBorder="1" applyProtection="1"/>
    <xf numFmtId="0" fontId="7" fillId="25" borderId="12" xfId="0" applyFont="1" applyFill="1" applyBorder="1" applyProtection="1"/>
    <xf numFmtId="9" fontId="7" fillId="25" borderId="12" xfId="32" applyFont="1" applyFill="1" applyBorder="1" applyAlignment="1" applyProtection="1">
      <alignment horizontal="center"/>
    </xf>
    <xf numFmtId="0" fontId="0" fillId="0" borderId="0" xfId="0" applyFill="1" applyBorder="1" applyAlignment="1">
      <alignment horizontal="center"/>
    </xf>
    <xf numFmtId="0" fontId="2" fillId="0" borderId="0" xfId="0" applyFont="1" applyFill="1" applyBorder="1"/>
    <xf numFmtId="14" fontId="2" fillId="0" borderId="0" xfId="0" applyNumberFormat="1" applyFont="1" applyFill="1" applyBorder="1"/>
    <xf numFmtId="0" fontId="0" fillId="0" borderId="0" xfId="0" quotePrefix="1" applyFill="1" applyBorder="1" applyAlignment="1">
      <alignment horizontal="center"/>
    </xf>
    <xf numFmtId="0" fontId="0" fillId="25" borderId="103" xfId="0" applyFill="1" applyBorder="1"/>
    <xf numFmtId="0" fontId="7" fillId="32" borderId="29" xfId="0" applyFont="1" applyFill="1" applyBorder="1" applyAlignment="1" applyProtection="1">
      <alignment horizontal="center"/>
    </xf>
    <xf numFmtId="2" fontId="7" fillId="25" borderId="97" xfId="0" applyNumberFormat="1" applyFont="1" applyFill="1" applyBorder="1" applyAlignment="1" applyProtection="1">
      <alignment horizontal="center"/>
    </xf>
    <xf numFmtId="0" fontId="8" fillId="25" borderId="61" xfId="0" applyFont="1" applyFill="1" applyBorder="1" applyAlignment="1" applyProtection="1">
      <alignment horizontal="center" vertical="center"/>
    </xf>
    <xf numFmtId="0" fontId="7" fillId="25" borderId="27" xfId="0" applyFont="1" applyFill="1" applyBorder="1" applyAlignment="1" applyProtection="1">
      <alignment horizontal="center"/>
    </xf>
    <xf numFmtId="0" fontId="7" fillId="25" borderId="28" xfId="0" applyFont="1" applyFill="1" applyBorder="1" applyAlignment="1" applyProtection="1">
      <alignment horizontal="center"/>
    </xf>
    <xf numFmtId="0" fontId="7" fillId="25" borderId="17" xfId="0" applyFont="1" applyFill="1" applyBorder="1" applyAlignment="1" applyProtection="1">
      <alignment horizontal="center"/>
    </xf>
    <xf numFmtId="0" fontId="7" fillId="25" borderId="19" xfId="0" applyFont="1" applyFill="1" applyBorder="1" applyAlignment="1" applyProtection="1">
      <alignment horizontal="center"/>
    </xf>
    <xf numFmtId="0" fontId="7" fillId="25" borderId="65" xfId="0" applyFont="1" applyFill="1" applyBorder="1" applyAlignment="1" applyProtection="1">
      <alignment vertical="center"/>
    </xf>
    <xf numFmtId="0" fontId="7" fillId="25" borderId="44" xfId="0" applyFont="1" applyFill="1" applyBorder="1" applyAlignment="1" applyProtection="1">
      <alignment vertical="center"/>
    </xf>
    <xf numFmtId="0" fontId="7" fillId="25" borderId="17" xfId="0" applyFont="1" applyFill="1" applyBorder="1" applyAlignment="1" applyProtection="1">
      <alignment vertical="center"/>
    </xf>
    <xf numFmtId="0" fontId="5" fillId="25" borderId="39" xfId="0" applyFont="1" applyFill="1" applyBorder="1" applyAlignment="1" applyProtection="1">
      <alignment horizontal="center" vertical="center"/>
    </xf>
    <xf numFmtId="0" fontId="5" fillId="25" borderId="31" xfId="0" applyFont="1" applyFill="1" applyBorder="1" applyAlignment="1" applyProtection="1">
      <alignment horizontal="center" vertical="center"/>
    </xf>
    <xf numFmtId="0" fontId="7" fillId="25" borderId="39" xfId="0" applyFont="1" applyFill="1" applyBorder="1" applyAlignment="1" applyProtection="1">
      <alignment horizontal="left" vertical="center"/>
    </xf>
    <xf numFmtId="0" fontId="7" fillId="25" borderId="30" xfId="0" applyFont="1" applyFill="1" applyBorder="1" applyAlignment="1" applyProtection="1">
      <alignment horizontal="left" vertical="center"/>
    </xf>
    <xf numFmtId="0" fontId="7" fillId="25" borderId="44" xfId="0" applyFont="1" applyFill="1" applyBorder="1" applyAlignment="1" applyProtection="1">
      <alignment horizontal="left" vertical="center"/>
    </xf>
    <xf numFmtId="0" fontId="7" fillId="25" borderId="62" xfId="0" applyFont="1" applyFill="1" applyBorder="1" applyAlignment="1" applyProtection="1">
      <alignment vertical="center"/>
    </xf>
    <xf numFmtId="0" fontId="5" fillId="25" borderId="39" xfId="0" applyFont="1" applyFill="1" applyBorder="1" applyAlignment="1" applyProtection="1">
      <alignment horizontal="center" vertical="center" wrapText="1"/>
      <protection locked="0"/>
    </xf>
    <xf numFmtId="0" fontId="5" fillId="25" borderId="31" xfId="0" applyFont="1" applyFill="1" applyBorder="1" applyAlignment="1" applyProtection="1">
      <alignment horizontal="center" vertical="center" wrapText="1"/>
      <protection locked="0"/>
    </xf>
    <xf numFmtId="0" fontId="5" fillId="25" borderId="48" xfId="0" applyFont="1" applyFill="1" applyBorder="1" applyAlignment="1" applyProtection="1">
      <alignment horizontal="center" vertical="center"/>
    </xf>
    <xf numFmtId="0" fontId="5" fillId="25" borderId="49" xfId="0" applyFont="1" applyFill="1" applyBorder="1" applyAlignment="1" applyProtection="1">
      <alignment horizontal="center" vertical="center"/>
    </xf>
    <xf numFmtId="0" fontId="7" fillId="25" borderId="48" xfId="0" applyFont="1" applyFill="1" applyBorder="1" applyAlignment="1" applyProtection="1">
      <alignment horizontal="left" vertical="center"/>
    </xf>
    <xf numFmtId="0" fontId="7" fillId="25" borderId="45" xfId="0" applyFont="1" applyFill="1" applyBorder="1" applyAlignment="1" applyProtection="1">
      <alignment horizontal="left" vertical="center"/>
    </xf>
    <xf numFmtId="0" fontId="7" fillId="25" borderId="46" xfId="0" applyFont="1" applyFill="1" applyBorder="1" applyAlignment="1" applyProtection="1">
      <alignment horizontal="left" vertical="center"/>
    </xf>
    <xf numFmtId="0" fontId="5" fillId="25" borderId="39" xfId="0" applyFont="1" applyFill="1" applyBorder="1" applyAlignment="1" applyProtection="1">
      <alignment horizontal="left" vertical="center" wrapText="1"/>
    </xf>
    <xf numFmtId="0" fontId="5" fillId="25" borderId="30" xfId="0" applyFont="1" applyFill="1" applyBorder="1" applyAlignment="1" applyProtection="1">
      <alignment horizontal="left" vertical="center" wrapText="1"/>
    </xf>
    <xf numFmtId="0" fontId="5" fillId="25" borderId="44" xfId="0" applyFont="1" applyFill="1" applyBorder="1" applyAlignment="1" applyProtection="1">
      <alignment horizontal="left" vertical="center" wrapText="1"/>
    </xf>
    <xf numFmtId="0" fontId="7" fillId="25" borderId="104" xfId="0" applyFont="1" applyFill="1" applyBorder="1" applyProtection="1"/>
    <xf numFmtId="0" fontId="7" fillId="25" borderId="98" xfId="0" applyFont="1" applyFill="1" applyBorder="1" applyAlignment="1" applyProtection="1">
      <alignment horizontal="center"/>
    </xf>
    <xf numFmtId="0" fontId="7" fillId="25" borderId="104" xfId="0" applyFont="1" applyFill="1" applyBorder="1" applyAlignment="1" applyProtection="1">
      <alignment horizontal="center"/>
    </xf>
    <xf numFmtId="0" fontId="22" fillId="25" borderId="105" xfId="0" applyFont="1" applyFill="1" applyBorder="1" applyAlignment="1">
      <alignment horizontal="center" wrapText="1"/>
    </xf>
    <xf numFmtId="0" fontId="22" fillId="31" borderId="105" xfId="0" applyFont="1" applyFill="1" applyBorder="1" applyAlignment="1">
      <alignment horizontal="center" wrapText="1"/>
    </xf>
    <xf numFmtId="0" fontId="22" fillId="25" borderId="105" xfId="0" applyFont="1" applyFill="1" applyBorder="1" applyAlignment="1">
      <alignment horizontal="left" wrapText="1"/>
    </xf>
    <xf numFmtId="0" fontId="7" fillId="28" borderId="105" xfId="0" applyFont="1" applyFill="1" applyBorder="1" applyAlignment="1">
      <alignment wrapText="1"/>
    </xf>
    <xf numFmtId="0" fontId="7" fillId="32" borderId="105" xfId="0" applyFont="1" applyFill="1" applyBorder="1" applyAlignment="1">
      <alignment wrapText="1"/>
    </xf>
    <xf numFmtId="0" fontId="7" fillId="29" borderId="105" xfId="0" applyFont="1" applyFill="1" applyBorder="1" applyAlignment="1">
      <alignment wrapText="1"/>
    </xf>
    <xf numFmtId="0" fontId="7" fillId="25" borderId="103" xfId="0" applyFont="1" applyFill="1" applyBorder="1" applyAlignment="1" applyProtection="1">
      <alignment horizontal="center"/>
    </xf>
    <xf numFmtId="0" fontId="57" fillId="31" borderId="39" xfId="0" applyFont="1" applyFill="1" applyBorder="1" applyAlignment="1" applyProtection="1">
      <alignment horizontal="center" vertical="center"/>
      <protection locked="0"/>
    </xf>
    <xf numFmtId="0" fontId="8" fillId="25" borderId="68" xfId="0" applyFont="1" applyFill="1" applyBorder="1" applyAlignment="1" applyProtection="1">
      <alignment horizontal="center" vertical="center"/>
    </xf>
    <xf numFmtId="0" fontId="8" fillId="25" borderId="21" xfId="0" applyFont="1" applyFill="1" applyBorder="1" applyAlignment="1" applyProtection="1">
      <alignment horizontal="center" vertical="center"/>
    </xf>
    <xf numFmtId="0" fontId="11" fillId="25" borderId="14" xfId="0" applyFont="1" applyFill="1" applyBorder="1" applyAlignment="1" applyProtection="1">
      <alignment vertical="center"/>
    </xf>
    <xf numFmtId="0" fontId="0" fillId="0" borderId="98" xfId="0" applyBorder="1"/>
    <xf numFmtId="0" fontId="0" fillId="0" borderId="71" xfId="0" applyBorder="1"/>
    <xf numFmtId="0" fontId="58" fillId="0" borderId="27" xfId="0" applyFont="1" applyBorder="1" applyAlignment="1">
      <alignment vertical="center"/>
    </xf>
    <xf numFmtId="0" fontId="58" fillId="0" borderId="0" xfId="0" applyFont="1" applyBorder="1" applyAlignment="1">
      <alignment vertical="center"/>
    </xf>
    <xf numFmtId="9" fontId="58" fillId="0" borderId="0" xfId="0" applyNumberFormat="1" applyFont="1" applyBorder="1" applyAlignment="1">
      <alignment vertical="center"/>
    </xf>
    <xf numFmtId="0" fontId="58" fillId="0" borderId="17" xfId="0" applyFont="1" applyBorder="1" applyAlignment="1">
      <alignment vertical="center"/>
    </xf>
    <xf numFmtId="0" fontId="58" fillId="0" borderId="18" xfId="0" applyFont="1" applyBorder="1" applyAlignment="1">
      <alignment vertical="center"/>
    </xf>
    <xf numFmtId="0" fontId="7" fillId="25" borderId="0" xfId="0" applyFont="1" applyFill="1"/>
    <xf numFmtId="0" fontId="5" fillId="25" borderId="0" xfId="0" applyFont="1" applyFill="1" applyAlignment="1">
      <alignment horizontal="center" vertical="center"/>
    </xf>
    <xf numFmtId="0" fontId="5" fillId="25" borderId="0" xfId="0" applyFont="1" applyFill="1"/>
    <xf numFmtId="0" fontId="5" fillId="25" borderId="103" xfId="0" applyFont="1" applyFill="1" applyBorder="1" applyAlignment="1">
      <alignment wrapText="1"/>
    </xf>
    <xf numFmtId="0" fontId="5" fillId="25" borderId="103" xfId="0" applyFont="1" applyFill="1" applyBorder="1"/>
    <xf numFmtId="0" fontId="5" fillId="25" borderId="25" xfId="0" applyFont="1" applyFill="1" applyBorder="1"/>
    <xf numFmtId="0" fontId="5" fillId="25" borderId="12" xfId="0" applyFont="1" applyFill="1" applyBorder="1"/>
    <xf numFmtId="0" fontId="5" fillId="25" borderId="98" xfId="0" applyFont="1" applyFill="1" applyBorder="1"/>
    <xf numFmtId="0" fontId="5" fillId="25" borderId="86" xfId="0" applyFont="1" applyFill="1" applyBorder="1"/>
    <xf numFmtId="0" fontId="5" fillId="25" borderId="27" xfId="0" applyFont="1" applyFill="1" applyBorder="1"/>
    <xf numFmtId="0" fontId="5" fillId="25" borderId="28" xfId="0" applyFont="1" applyFill="1" applyBorder="1"/>
    <xf numFmtId="0" fontId="5" fillId="25" borderId="29" xfId="0" applyFont="1" applyFill="1" applyBorder="1"/>
    <xf numFmtId="0" fontId="5" fillId="25" borderId="0" xfId="0" applyFont="1" applyFill="1" applyAlignment="1">
      <alignment wrapText="1"/>
    </xf>
    <xf numFmtId="0" fontId="5" fillId="25" borderId="0" xfId="0" applyFont="1" applyFill="1" applyBorder="1" applyAlignment="1">
      <alignment horizontal="center" vertical="center"/>
    </xf>
    <xf numFmtId="0" fontId="5" fillId="25" borderId="0" xfId="0" applyFont="1" applyFill="1" applyBorder="1"/>
    <xf numFmtId="0" fontId="8" fillId="28" borderId="13" xfId="0" applyFont="1" applyFill="1" applyBorder="1" applyAlignment="1">
      <alignment wrapText="1"/>
    </xf>
    <xf numFmtId="0" fontId="17" fillId="25" borderId="0" xfId="0" applyFont="1" applyFill="1" applyBorder="1"/>
    <xf numFmtId="0" fontId="7" fillId="31" borderId="0" xfId="0" applyFont="1" applyFill="1" applyBorder="1"/>
    <xf numFmtId="0" fontId="0" fillId="25" borderId="0" xfId="0" applyFill="1" applyAlignment="1">
      <alignment vertical="center"/>
    </xf>
    <xf numFmtId="0" fontId="5" fillId="25" borderId="17" xfId="0" applyFont="1" applyFill="1" applyBorder="1" applyAlignment="1">
      <alignment vertical="center"/>
    </xf>
    <xf numFmtId="0" fontId="5" fillId="25" borderId="19" xfId="0" applyFont="1" applyFill="1" applyBorder="1" applyAlignment="1">
      <alignment vertical="center"/>
    </xf>
    <xf numFmtId="0" fontId="5" fillId="25" borderId="0" xfId="0" applyFont="1" applyFill="1" applyAlignment="1">
      <alignment vertical="center"/>
    </xf>
    <xf numFmtId="0" fontId="5" fillId="25" borderId="25" xfId="0" applyFont="1" applyFill="1" applyBorder="1" applyAlignment="1">
      <alignment vertical="center"/>
    </xf>
    <xf numFmtId="0" fontId="7" fillId="25" borderId="0" xfId="0" applyFont="1" applyFill="1" applyAlignment="1">
      <alignment vertical="center"/>
    </xf>
    <xf numFmtId="0" fontId="5" fillId="25" borderId="103" xfId="0" applyFont="1" applyFill="1" applyBorder="1" applyAlignment="1">
      <alignment vertical="center"/>
    </xf>
    <xf numFmtId="0" fontId="7" fillId="25" borderId="103" xfId="0" applyFont="1" applyFill="1" applyBorder="1" applyProtection="1"/>
    <xf numFmtId="9" fontId="7" fillId="25" borderId="0" xfId="0" applyNumberFormat="1" applyFont="1" applyFill="1" applyAlignment="1" applyProtection="1">
      <alignment vertical="center"/>
    </xf>
    <xf numFmtId="175" fontId="7" fillId="25" borderId="28" xfId="0" applyNumberFormat="1" applyFont="1" applyFill="1" applyBorder="1" applyAlignment="1" applyProtection="1">
      <alignment vertical="center"/>
    </xf>
    <xf numFmtId="9" fontId="0" fillId="0" borderId="18" xfId="0" applyNumberFormat="1" applyBorder="1" applyAlignment="1">
      <alignment vertical="center"/>
    </xf>
    <xf numFmtId="9" fontId="7" fillId="25" borderId="18" xfId="0" applyNumberFormat="1" applyFont="1" applyFill="1" applyBorder="1" applyAlignment="1" applyProtection="1">
      <alignment vertical="center"/>
    </xf>
    <xf numFmtId="174" fontId="7" fillId="25" borderId="19" xfId="0" applyNumberFormat="1" applyFont="1" applyFill="1" applyBorder="1" applyAlignment="1" applyProtection="1">
      <alignment vertical="center"/>
    </xf>
    <xf numFmtId="164" fontId="57" fillId="31" borderId="27" xfId="0" applyNumberFormat="1" applyFont="1" applyFill="1" applyBorder="1" applyAlignment="1" applyProtection="1">
      <alignment horizontal="center" vertical="center"/>
      <protection locked="0"/>
    </xf>
    <xf numFmtId="164" fontId="55" fillId="30" borderId="81" xfId="0" applyNumberFormat="1" applyFont="1" applyFill="1" applyBorder="1" applyAlignment="1" applyProtection="1">
      <alignment horizontal="center" vertical="center"/>
      <protection locked="0"/>
    </xf>
    <xf numFmtId="0" fontId="7" fillId="25" borderId="0" xfId="0" applyFont="1" applyFill="1" applyAlignment="1" applyProtection="1">
      <alignment horizontal="center"/>
    </xf>
    <xf numFmtId="0" fontId="7" fillId="25" borderId="0" xfId="0" applyFont="1" applyFill="1" applyBorder="1" applyAlignment="1" applyProtection="1">
      <alignment horizontal="center"/>
    </xf>
    <xf numFmtId="0" fontId="72" fillId="25" borderId="0" xfId="0" applyFont="1" applyFill="1" applyProtection="1"/>
    <xf numFmtId="0" fontId="7" fillId="25" borderId="52" xfId="0" applyFont="1" applyFill="1" applyBorder="1" applyAlignment="1" applyProtection="1">
      <alignment vertical="center"/>
    </xf>
    <xf numFmtId="0" fontId="5" fillId="25" borderId="37" xfId="0" applyFont="1" applyFill="1" applyBorder="1" applyAlignment="1" applyProtection="1">
      <alignment horizontal="center" vertical="center"/>
    </xf>
    <xf numFmtId="0" fontId="7" fillId="25" borderId="65" xfId="0" applyFont="1" applyFill="1" applyBorder="1" applyAlignment="1" applyProtection="1">
      <alignment vertical="center"/>
    </xf>
    <xf numFmtId="0" fontId="7" fillId="25" borderId="64" xfId="0" applyFont="1" applyFill="1" applyBorder="1" applyAlignment="1" applyProtection="1">
      <alignment vertical="center"/>
    </xf>
    <xf numFmtId="0" fontId="7" fillId="25" borderId="35" xfId="0" applyFont="1" applyFill="1" applyBorder="1" applyAlignment="1" applyProtection="1">
      <alignment vertical="center"/>
    </xf>
    <xf numFmtId="0" fontId="7" fillId="25" borderId="63" xfId="0" applyFont="1" applyFill="1" applyBorder="1" applyAlignment="1" applyProtection="1">
      <alignment vertical="center"/>
    </xf>
    <xf numFmtId="0" fontId="5" fillId="30" borderId="58" xfId="0" applyFont="1" applyFill="1" applyBorder="1" applyAlignment="1" applyProtection="1">
      <alignment horizontal="center"/>
      <protection locked="0"/>
    </xf>
    <xf numFmtId="0" fontId="7" fillId="25" borderId="39" xfId="0" applyFont="1" applyFill="1" applyBorder="1" applyAlignment="1" applyProtection="1">
      <alignment horizontal="left" vertical="center"/>
    </xf>
    <xf numFmtId="0" fontId="5" fillId="25" borderId="39" xfId="0" applyFont="1" applyFill="1" applyBorder="1" applyAlignment="1" applyProtection="1">
      <alignment horizontal="center" vertical="center"/>
    </xf>
    <xf numFmtId="0" fontId="7" fillId="31" borderId="45" xfId="0" applyFont="1" applyFill="1" applyBorder="1" applyAlignment="1" applyProtection="1">
      <alignment horizontal="right"/>
      <protection locked="0"/>
    </xf>
    <xf numFmtId="0" fontId="7" fillId="25" borderId="14" xfId="0" applyFont="1" applyFill="1" applyBorder="1" applyAlignment="1" applyProtection="1">
      <alignment vertical="center"/>
      <protection locked="0"/>
    </xf>
    <xf numFmtId="0" fontId="7" fillId="25" borderId="0" xfId="0" applyFont="1" applyFill="1" applyBorder="1" applyAlignment="1" applyProtection="1">
      <alignment vertical="center"/>
      <protection locked="0"/>
    </xf>
    <xf numFmtId="0" fontId="7" fillId="25" borderId="71" xfId="0" applyFont="1" applyFill="1" applyBorder="1" applyAlignment="1" applyProtection="1">
      <alignment vertical="center"/>
      <protection locked="0"/>
    </xf>
    <xf numFmtId="0" fontId="8" fillId="25" borderId="22" xfId="0" applyFont="1" applyFill="1" applyBorder="1" applyAlignment="1" applyProtection="1">
      <alignment horizontal="center" vertical="center"/>
      <protection locked="0"/>
    </xf>
    <xf numFmtId="0" fontId="7" fillId="25" borderId="64" xfId="0" applyFont="1" applyFill="1" applyBorder="1" applyAlignment="1" applyProtection="1">
      <alignment vertical="center"/>
      <protection locked="0"/>
    </xf>
    <xf numFmtId="0" fontId="7" fillId="25" borderId="43" xfId="0" applyFont="1" applyFill="1" applyBorder="1" applyAlignment="1" applyProtection="1">
      <alignment vertical="center"/>
      <protection locked="0"/>
    </xf>
    <xf numFmtId="0" fontId="7" fillId="25" borderId="0" xfId="0" applyFont="1" applyFill="1" applyProtection="1">
      <protection locked="0"/>
    </xf>
    <xf numFmtId="0" fontId="7" fillId="25" borderId="71" xfId="0" applyFont="1" applyFill="1" applyBorder="1" applyProtection="1">
      <protection locked="0"/>
    </xf>
    <xf numFmtId="0" fontId="7" fillId="25" borderId="104" xfId="0" applyFont="1" applyFill="1" applyBorder="1" applyProtection="1">
      <protection locked="0"/>
    </xf>
    <xf numFmtId="0" fontId="28" fillId="25" borderId="13" xfId="0" applyFont="1" applyFill="1" applyBorder="1" applyAlignment="1" applyProtection="1">
      <alignment vertical="center"/>
      <protection locked="0"/>
    </xf>
    <xf numFmtId="0" fontId="5" fillId="25" borderId="39" xfId="0" applyFont="1" applyFill="1" applyBorder="1" applyAlignment="1" applyProtection="1">
      <alignment horizontal="center" vertical="center"/>
      <protection locked="0"/>
    </xf>
    <xf numFmtId="2" fontId="7" fillId="35" borderId="82" xfId="0" applyNumberFormat="1" applyFont="1" applyFill="1" applyBorder="1" applyAlignment="1" applyProtection="1">
      <alignment horizontal="center" vertical="center"/>
      <protection locked="0"/>
    </xf>
    <xf numFmtId="0" fontId="7" fillId="25" borderId="0" xfId="0" applyFont="1" applyFill="1" applyBorder="1" applyProtection="1">
      <protection locked="0"/>
    </xf>
    <xf numFmtId="0" fontId="7" fillId="25" borderId="28" xfId="0" applyFont="1" applyFill="1" applyBorder="1" applyProtection="1">
      <protection locked="0"/>
    </xf>
    <xf numFmtId="0" fontId="7" fillId="25" borderId="45" xfId="0" applyFont="1" applyFill="1" applyBorder="1" applyProtection="1">
      <protection locked="0"/>
    </xf>
    <xf numFmtId="0" fontId="7" fillId="25" borderId="16" xfId="0" applyFont="1" applyFill="1" applyBorder="1" applyProtection="1">
      <protection locked="0"/>
    </xf>
    <xf numFmtId="0" fontId="7" fillId="25" borderId="44" xfId="0" applyFont="1" applyFill="1" applyBorder="1" applyAlignment="1" applyProtection="1">
      <alignment vertical="center"/>
      <protection locked="0"/>
    </xf>
    <xf numFmtId="0" fontId="5" fillId="25" borderId="53" xfId="0" applyFont="1" applyFill="1" applyBorder="1" applyAlignment="1" applyProtection="1">
      <alignment horizontal="center" vertical="center"/>
      <protection locked="0"/>
    </xf>
    <xf numFmtId="0" fontId="7" fillId="25" borderId="77" xfId="0" applyFont="1" applyFill="1" applyBorder="1" applyAlignment="1" applyProtection="1">
      <alignment vertical="center"/>
      <protection locked="0"/>
    </xf>
    <xf numFmtId="2" fontId="7" fillId="31" borderId="78" xfId="0" applyNumberFormat="1" applyFont="1" applyFill="1" applyBorder="1" applyAlignment="1" applyProtection="1">
      <alignment horizontal="center" vertical="center"/>
      <protection locked="0"/>
    </xf>
    <xf numFmtId="0" fontId="7" fillId="25" borderId="106" xfId="0" applyFont="1" applyFill="1" applyBorder="1" applyAlignment="1" applyProtection="1">
      <alignment vertical="center"/>
      <protection locked="0"/>
    </xf>
    <xf numFmtId="0" fontId="7" fillId="25" borderId="63" xfId="0" applyFont="1" applyFill="1" applyBorder="1" applyAlignment="1" applyProtection="1">
      <alignment vertical="center"/>
      <protection locked="0"/>
    </xf>
    <xf numFmtId="0" fontId="7" fillId="25" borderId="65" xfId="0" applyFont="1" applyFill="1" applyBorder="1" applyProtection="1">
      <protection locked="0"/>
    </xf>
    <xf numFmtId="0" fontId="7" fillId="25" borderId="30" xfId="0" applyFont="1" applyFill="1" applyBorder="1" applyProtection="1">
      <protection locked="0"/>
    </xf>
    <xf numFmtId="165" fontId="5" fillId="25" borderId="0" xfId="0" applyNumberFormat="1" applyFont="1" applyFill="1" applyBorder="1" applyAlignment="1" applyProtection="1">
      <alignment horizontal="center" vertical="center"/>
      <protection locked="0"/>
    </xf>
    <xf numFmtId="0" fontId="24" fillId="25" borderId="28" xfId="0" applyFont="1" applyFill="1" applyBorder="1" applyAlignment="1" applyProtection="1">
      <alignment horizontal="center" vertical="center" wrapText="1"/>
      <protection locked="0"/>
    </xf>
    <xf numFmtId="0" fontId="7" fillId="25" borderId="77" xfId="0" applyFont="1" applyFill="1" applyBorder="1" applyProtection="1">
      <protection locked="0"/>
    </xf>
    <xf numFmtId="0" fontId="7" fillId="25" borderId="54" xfId="0" applyFont="1" applyFill="1" applyBorder="1" applyProtection="1">
      <protection locked="0"/>
    </xf>
    <xf numFmtId="0" fontId="27" fillId="25" borderId="14" xfId="0" applyFont="1" applyFill="1" applyBorder="1" applyProtection="1">
      <protection locked="0"/>
    </xf>
    <xf numFmtId="0" fontId="19" fillId="25" borderId="14" xfId="0" applyFont="1" applyFill="1" applyBorder="1" applyProtection="1">
      <protection locked="0"/>
    </xf>
    <xf numFmtId="0" fontId="7" fillId="35" borderId="21" xfId="0" applyFont="1" applyFill="1" applyBorder="1" applyAlignment="1" applyProtection="1">
      <alignment horizontal="center" vertical="center"/>
      <protection locked="0"/>
    </xf>
    <xf numFmtId="0" fontId="7" fillId="25" borderId="14" xfId="0" applyFont="1" applyFill="1" applyBorder="1" applyProtection="1">
      <protection locked="0"/>
    </xf>
    <xf numFmtId="0" fontId="7" fillId="25" borderId="22" xfId="0" applyFont="1" applyFill="1" applyBorder="1" applyProtection="1">
      <protection locked="0"/>
    </xf>
    <xf numFmtId="0" fontId="7" fillId="25" borderId="30" xfId="0" applyFont="1" applyFill="1" applyBorder="1" applyAlignment="1" applyProtection="1">
      <alignment vertical="center"/>
      <protection locked="0"/>
    </xf>
    <xf numFmtId="0" fontId="7" fillId="25" borderId="30" xfId="0" applyFont="1" applyFill="1" applyBorder="1" applyAlignment="1" applyProtection="1">
      <alignment horizontal="left" vertical="center"/>
      <protection locked="0"/>
    </xf>
    <xf numFmtId="0" fontId="7" fillId="25" borderId="30" xfId="0" applyFont="1" applyFill="1" applyBorder="1" applyAlignment="1" applyProtection="1">
      <protection locked="0"/>
    </xf>
    <xf numFmtId="0" fontId="7" fillId="25" borderId="57" xfId="0" applyFont="1" applyFill="1" applyBorder="1" applyAlignment="1" applyProtection="1">
      <alignment horizontal="left" vertical="center"/>
      <protection locked="0"/>
    </xf>
    <xf numFmtId="0" fontId="7" fillId="25" borderId="63" xfId="0" applyFont="1" applyFill="1" applyBorder="1" applyAlignment="1" applyProtection="1">
      <alignment horizontal="left" vertical="center"/>
      <protection locked="0"/>
    </xf>
    <xf numFmtId="2" fontId="7" fillId="31" borderId="81" xfId="0" applyNumberFormat="1" applyFont="1" applyFill="1" applyBorder="1" applyAlignment="1" applyProtection="1">
      <alignment horizontal="center" vertical="center"/>
      <protection locked="0"/>
    </xf>
    <xf numFmtId="0" fontId="7" fillId="25" borderId="44" xfId="0" applyFont="1" applyFill="1" applyBorder="1" applyAlignment="1" applyProtection="1">
      <alignment horizontal="left" vertical="center"/>
      <protection locked="0"/>
    </xf>
    <xf numFmtId="2" fontId="7" fillId="31" borderId="82" xfId="0" applyNumberFormat="1" applyFont="1" applyFill="1" applyBorder="1" applyAlignment="1" applyProtection="1">
      <alignment horizontal="center" vertical="center"/>
      <protection locked="0"/>
    </xf>
    <xf numFmtId="0" fontId="7" fillId="25" borderId="27" xfId="0" applyFont="1" applyFill="1" applyBorder="1" applyAlignment="1" applyProtection="1">
      <alignment vertical="center"/>
      <protection locked="0"/>
    </xf>
    <xf numFmtId="0" fontId="8" fillId="25" borderId="14" xfId="0" applyFont="1" applyFill="1" applyBorder="1" applyAlignment="1" applyProtection="1">
      <alignment horizontal="center"/>
      <protection locked="0"/>
    </xf>
    <xf numFmtId="0" fontId="8" fillId="25" borderId="22" xfId="0" applyFont="1" applyFill="1" applyBorder="1" applyAlignment="1" applyProtection="1">
      <alignment horizontal="center"/>
      <protection locked="0"/>
    </xf>
    <xf numFmtId="0" fontId="8" fillId="25" borderId="71" xfId="0" applyFont="1" applyFill="1" applyBorder="1" applyAlignment="1" applyProtection="1">
      <alignment horizontal="left" vertical="center"/>
      <protection locked="0"/>
    </xf>
    <xf numFmtId="0" fontId="5" fillId="25" borderId="0" xfId="0" applyFont="1" applyFill="1" applyAlignment="1" applyProtection="1">
      <alignment horizontal="left" vertical="top" wrapText="1"/>
      <protection locked="0"/>
    </xf>
    <xf numFmtId="0" fontId="0" fillId="25" borderId="0" xfId="0" applyFill="1" applyProtection="1">
      <protection locked="0"/>
    </xf>
    <xf numFmtId="0" fontId="5" fillId="25" borderId="57" xfId="0" applyFont="1" applyFill="1" applyBorder="1" applyProtection="1">
      <protection locked="0"/>
    </xf>
    <xf numFmtId="0" fontId="5" fillId="25" borderId="36" xfId="0" applyFont="1" applyFill="1" applyBorder="1" applyProtection="1">
      <protection locked="0"/>
    </xf>
    <xf numFmtId="0" fontId="5" fillId="25" borderId="0" xfId="0" applyFont="1" applyFill="1" applyProtection="1">
      <protection locked="0"/>
    </xf>
    <xf numFmtId="0" fontId="5" fillId="25" borderId="14" xfId="0" applyFont="1" applyFill="1" applyBorder="1" applyProtection="1">
      <protection locked="0"/>
    </xf>
    <xf numFmtId="0" fontId="5" fillId="25" borderId="22" xfId="0" applyFont="1" applyFill="1" applyBorder="1" applyProtection="1">
      <protection locked="0"/>
    </xf>
    <xf numFmtId="0" fontId="7" fillId="25" borderId="50" xfId="0" applyFont="1" applyFill="1" applyBorder="1" applyProtection="1">
      <protection locked="0"/>
    </xf>
    <xf numFmtId="0" fontId="7" fillId="35" borderId="51" xfId="0" applyFont="1" applyFill="1" applyBorder="1" applyAlignment="1" applyProtection="1">
      <alignment horizontal="center" vertical="center"/>
      <protection locked="0"/>
    </xf>
    <xf numFmtId="0" fontId="8" fillId="25" borderId="14" xfId="0" applyFont="1" applyFill="1" applyBorder="1" applyAlignment="1" applyProtection="1">
      <alignment horizontal="center" vertical="center"/>
      <protection locked="0"/>
    </xf>
    <xf numFmtId="2" fontId="7" fillId="31" borderId="75" xfId="0" applyNumberFormat="1" applyFont="1" applyFill="1" applyBorder="1" applyAlignment="1" applyProtection="1">
      <alignment horizontal="center" vertical="center"/>
      <protection locked="0"/>
    </xf>
    <xf numFmtId="164" fontId="55" fillId="30" borderId="76" xfId="0" applyNumberFormat="1" applyFont="1" applyFill="1" applyBorder="1" applyAlignment="1" applyProtection="1">
      <alignment horizontal="center" vertical="center"/>
      <protection locked="0"/>
    </xf>
    <xf numFmtId="0" fontId="7" fillId="25" borderId="46" xfId="0" applyFont="1" applyFill="1" applyBorder="1" applyAlignment="1" applyProtection="1">
      <alignment vertical="center"/>
      <protection locked="0"/>
    </xf>
    <xf numFmtId="0" fontId="66" fillId="25" borderId="98" xfId="0" applyFont="1" applyFill="1" applyBorder="1" applyProtection="1"/>
    <xf numFmtId="1" fontId="7" fillId="30" borderId="82" xfId="44" applyNumberFormat="1" applyFont="1" applyFill="1" applyBorder="1" applyAlignment="1" applyProtection="1">
      <alignment horizontal="center" vertical="center"/>
      <protection locked="0"/>
    </xf>
    <xf numFmtId="0" fontId="0" fillId="25" borderId="10" xfId="0" applyFill="1" applyBorder="1" applyProtection="1"/>
    <xf numFmtId="0" fontId="4" fillId="25" borderId="27" xfId="0" applyFont="1" applyFill="1" applyBorder="1" applyAlignment="1" applyProtection="1">
      <alignment vertical="center"/>
    </xf>
    <xf numFmtId="0" fontId="7" fillId="25" borderId="98" xfId="0" applyFont="1" applyFill="1" applyBorder="1" applyAlignment="1" applyProtection="1">
      <alignment vertical="center"/>
    </xf>
    <xf numFmtId="0" fontId="5" fillId="25" borderId="53" xfId="0" applyFont="1" applyFill="1" applyBorder="1" applyAlignment="1" applyProtection="1">
      <alignment horizontal="center" vertical="center"/>
    </xf>
    <xf numFmtId="0" fontId="5" fillId="25" borderId="32" xfId="0" applyFont="1" applyFill="1" applyBorder="1" applyAlignment="1" applyProtection="1">
      <alignment horizontal="center" vertical="center"/>
    </xf>
    <xf numFmtId="0" fontId="7" fillId="25" borderId="65" xfId="0" applyFont="1" applyFill="1" applyBorder="1" applyProtection="1"/>
    <xf numFmtId="0" fontId="7" fillId="25" borderId="0" xfId="0" applyFont="1" applyFill="1" applyBorder="1" applyAlignment="1" applyProtection="1">
      <alignment horizontal="center" vertical="center"/>
    </xf>
    <xf numFmtId="0" fontId="5" fillId="25" borderId="59" xfId="0" applyFont="1" applyFill="1" applyBorder="1" applyAlignment="1" applyProtection="1">
      <alignment horizontal="center" vertical="center"/>
    </xf>
    <xf numFmtId="0" fontId="4" fillId="25" borderId="20" xfId="0" applyFont="1" applyFill="1" applyBorder="1" applyAlignment="1" applyProtection="1">
      <alignment vertical="center"/>
    </xf>
    <xf numFmtId="0" fontId="7" fillId="25" borderId="58" xfId="0" applyFont="1" applyFill="1" applyBorder="1" applyAlignment="1" applyProtection="1">
      <alignment horizontal="center" vertical="center" wrapText="1"/>
    </xf>
    <xf numFmtId="0" fontId="7" fillId="25" borderId="30" xfId="0" applyFont="1" applyFill="1" applyBorder="1" applyAlignment="1" applyProtection="1">
      <alignment vertical="center"/>
    </xf>
    <xf numFmtId="0" fontId="7" fillId="25" borderId="39" xfId="0" applyFont="1" applyFill="1" applyBorder="1" applyAlignment="1" applyProtection="1">
      <alignment vertical="center"/>
    </xf>
    <xf numFmtId="0" fontId="7" fillId="25" borderId="23" xfId="0" applyFont="1" applyFill="1" applyBorder="1" applyAlignment="1" applyProtection="1">
      <alignment vertical="center"/>
    </xf>
    <xf numFmtId="0" fontId="7" fillId="25" borderId="57" xfId="0" applyFont="1" applyFill="1" applyBorder="1" applyAlignment="1" applyProtection="1">
      <alignment horizontal="left" vertical="center"/>
    </xf>
    <xf numFmtId="0" fontId="7" fillId="25" borderId="59" xfId="0" applyFont="1" applyFill="1" applyBorder="1" applyAlignment="1" applyProtection="1">
      <alignment horizontal="left" vertical="center"/>
    </xf>
    <xf numFmtId="0" fontId="7" fillId="25" borderId="68" xfId="0" applyFont="1" applyFill="1" applyBorder="1" applyAlignment="1" applyProtection="1">
      <alignment vertical="center"/>
    </xf>
    <xf numFmtId="0" fontId="66" fillId="25" borderId="35" xfId="0" applyFont="1" applyFill="1" applyBorder="1" applyAlignment="1" applyProtection="1">
      <alignment vertical="center"/>
    </xf>
    <xf numFmtId="0" fontId="7" fillId="25" borderId="106" xfId="0" applyFont="1" applyFill="1" applyBorder="1" applyAlignment="1" applyProtection="1">
      <alignment vertical="center"/>
    </xf>
    <xf numFmtId="0" fontId="4" fillId="25" borderId="0" xfId="0" applyFont="1" applyFill="1" applyAlignment="1" applyProtection="1">
      <alignment vertical="top"/>
    </xf>
    <xf numFmtId="0" fontId="0" fillId="25" borderId="14" xfId="0" applyFill="1" applyBorder="1" applyProtection="1"/>
    <xf numFmtId="0" fontId="7" fillId="0" borderId="20" xfId="0" applyFont="1" applyFill="1" applyBorder="1" applyAlignment="1" applyProtection="1">
      <alignment vertical="center"/>
    </xf>
    <xf numFmtId="0" fontId="5" fillId="25" borderId="98" xfId="0" applyFont="1" applyFill="1" applyBorder="1" applyAlignment="1" applyProtection="1">
      <alignment horizontal="left" vertical="center"/>
    </xf>
    <xf numFmtId="0" fontId="5" fillId="25" borderId="71" xfId="0" applyFont="1" applyFill="1" applyBorder="1" applyAlignment="1" applyProtection="1">
      <alignment horizontal="left" vertical="center"/>
    </xf>
    <xf numFmtId="0" fontId="5" fillId="25" borderId="86" xfId="0" applyFont="1" applyFill="1" applyBorder="1" applyAlignment="1" applyProtection="1">
      <alignment horizontal="left" vertical="center"/>
    </xf>
    <xf numFmtId="0" fontId="5" fillId="25" borderId="27" xfId="0" applyFont="1" applyFill="1" applyBorder="1" applyProtection="1"/>
    <xf numFmtId="0" fontId="5" fillId="25" borderId="0" xfId="0" applyFont="1" applyFill="1" applyBorder="1" applyAlignment="1" applyProtection="1">
      <alignment horizontal="left" vertical="center"/>
    </xf>
    <xf numFmtId="0" fontId="5" fillId="25" borderId="28" xfId="0" applyFont="1" applyFill="1" applyBorder="1" applyAlignment="1" applyProtection="1">
      <alignment horizontal="left" vertical="center"/>
    </xf>
    <xf numFmtId="0" fontId="5" fillId="25" borderId="17" xfId="0" applyFont="1" applyFill="1" applyBorder="1" applyProtection="1"/>
    <xf numFmtId="0" fontId="5" fillId="25" borderId="18" xfId="0" applyFont="1" applyFill="1" applyBorder="1" applyAlignment="1" applyProtection="1">
      <alignment horizontal="left" vertical="center"/>
    </xf>
    <xf numFmtId="0" fontId="5" fillId="25" borderId="19" xfId="0" applyFont="1" applyFill="1" applyBorder="1" applyAlignment="1" applyProtection="1">
      <alignment horizontal="left" vertical="center"/>
    </xf>
    <xf numFmtId="0" fontId="8" fillId="25" borderId="20" xfId="0" applyFont="1" applyFill="1" applyBorder="1" applyAlignment="1" applyProtection="1">
      <alignment vertical="center"/>
    </xf>
    <xf numFmtId="0" fontId="0" fillId="25" borderId="106" xfId="0" applyFill="1" applyBorder="1" applyAlignment="1" applyProtection="1">
      <alignment vertical="center"/>
    </xf>
    <xf numFmtId="173" fontId="7" fillId="25" borderId="30" xfId="0" applyNumberFormat="1" applyFont="1" applyFill="1" applyBorder="1" applyAlignment="1" applyProtection="1">
      <alignment vertical="center"/>
    </xf>
    <xf numFmtId="0" fontId="0" fillId="25" borderId="44" xfId="0" applyFill="1" applyBorder="1" applyAlignment="1" applyProtection="1">
      <alignment vertical="center"/>
    </xf>
    <xf numFmtId="0" fontId="0" fillId="25" borderId="44" xfId="0" applyFill="1" applyBorder="1" applyProtection="1"/>
    <xf numFmtId="173" fontId="7" fillId="25" borderId="30" xfId="0" applyNumberFormat="1" applyFont="1" applyFill="1" applyBorder="1" applyAlignment="1" applyProtection="1">
      <alignment vertical="center" wrapText="1"/>
    </xf>
    <xf numFmtId="173" fontId="7" fillId="25" borderId="45" xfId="0" applyNumberFormat="1" applyFont="1" applyFill="1" applyBorder="1" applyAlignment="1" applyProtection="1">
      <alignment vertical="center" wrapText="1"/>
    </xf>
    <xf numFmtId="0" fontId="61" fillId="0" borderId="0" xfId="0" applyFont="1" applyBorder="1"/>
    <xf numFmtId="9" fontId="63" fillId="0" borderId="0" xfId="0" applyNumberFormat="1" applyFont="1" applyBorder="1" applyAlignment="1">
      <alignment vertical="center"/>
    </xf>
    <xf numFmtId="0" fontId="61" fillId="0" borderId="0" xfId="0" applyFont="1" applyBorder="1" applyAlignment="1">
      <alignment vertical="center"/>
    </xf>
    <xf numFmtId="0" fontId="61" fillId="25" borderId="0" xfId="0" applyFont="1" applyFill="1"/>
    <xf numFmtId="0" fontId="61" fillId="31" borderId="0" xfId="0" applyFont="1" applyFill="1"/>
    <xf numFmtId="0" fontId="61" fillId="0" borderId="0" xfId="0" applyFont="1"/>
    <xf numFmtId="0" fontId="66" fillId="25" borderId="27" xfId="0" applyFont="1" applyFill="1" applyBorder="1" applyProtection="1"/>
    <xf numFmtId="0" fontId="7" fillId="25" borderId="54" xfId="0" applyFont="1" applyFill="1" applyBorder="1" applyAlignment="1" applyProtection="1">
      <alignment horizontal="center" vertical="center"/>
    </xf>
    <xf numFmtId="0" fontId="7" fillId="25" borderId="52" xfId="0" applyFont="1" applyFill="1" applyBorder="1" applyAlignment="1" applyProtection="1">
      <alignment vertical="center"/>
    </xf>
    <xf numFmtId="0" fontId="57" fillId="25" borderId="0" xfId="0" applyFont="1" applyFill="1" applyBorder="1" applyAlignment="1" applyProtection="1">
      <alignment horizontal="center" vertical="center"/>
      <protection locked="0"/>
    </xf>
    <xf numFmtId="0" fontId="66" fillId="25" borderId="30" xfId="0" applyFont="1" applyFill="1" applyBorder="1" applyAlignment="1" applyProtection="1">
      <alignment vertical="center"/>
    </xf>
    <xf numFmtId="0" fontId="66" fillId="25" borderId="71" xfId="0" applyFont="1" applyFill="1" applyBorder="1" applyProtection="1"/>
    <xf numFmtId="164" fontId="7" fillId="25" borderId="0" xfId="0" applyNumberFormat="1" applyFont="1" applyFill="1" applyProtection="1"/>
    <xf numFmtId="0" fontId="5" fillId="25" borderId="55" xfId="0" applyFont="1" applyFill="1" applyBorder="1" applyAlignment="1" applyProtection="1">
      <alignment horizontal="center" vertical="center"/>
    </xf>
    <xf numFmtId="0" fontId="7" fillId="25" borderId="21" xfId="0" applyFont="1" applyFill="1" applyBorder="1" applyAlignment="1" applyProtection="1">
      <alignment vertical="center"/>
    </xf>
    <xf numFmtId="0" fontId="7" fillId="25" borderId="78" xfId="0" applyNumberFormat="1" applyFont="1" applyFill="1" applyBorder="1" applyAlignment="1" applyProtection="1">
      <alignment horizontal="center" vertical="center"/>
      <protection locked="0"/>
    </xf>
    <xf numFmtId="0" fontId="7" fillId="30" borderId="84" xfId="0" applyNumberFormat="1" applyFont="1" applyFill="1" applyBorder="1" applyAlignment="1" applyProtection="1">
      <alignment horizontal="center" vertical="center"/>
      <protection locked="0"/>
    </xf>
    <xf numFmtId="0" fontId="57" fillId="31" borderId="13" xfId="0" applyNumberFormat="1" applyFont="1" applyFill="1" applyBorder="1" applyAlignment="1" applyProtection="1">
      <alignment horizontal="center" vertical="center"/>
      <protection locked="0"/>
    </xf>
    <xf numFmtId="0" fontId="7" fillId="31" borderId="21" xfId="0" applyNumberFormat="1" applyFont="1" applyFill="1" applyBorder="1" applyAlignment="1" applyProtection="1">
      <alignment vertical="center"/>
      <protection locked="0"/>
    </xf>
    <xf numFmtId="0" fontId="66" fillId="25" borderId="0" xfId="0" applyFont="1" applyFill="1" applyBorder="1" applyAlignment="1" applyProtection="1">
      <alignment vertical="center"/>
    </xf>
    <xf numFmtId="0" fontId="7" fillId="25" borderId="66" xfId="0" applyFont="1" applyFill="1" applyBorder="1" applyAlignment="1" applyProtection="1">
      <alignment horizontal="right" vertical="center"/>
    </xf>
    <xf numFmtId="0" fontId="7" fillId="25" borderId="14" xfId="0" applyFont="1" applyFill="1" applyBorder="1" applyAlignment="1" applyProtection="1">
      <alignment horizontal="right" vertical="center"/>
    </xf>
    <xf numFmtId="0" fontId="72" fillId="25" borderId="0" xfId="0" applyFont="1" applyFill="1" applyBorder="1" applyProtection="1"/>
    <xf numFmtId="0" fontId="5" fillId="25" borderId="39" xfId="0" applyFont="1" applyFill="1" applyBorder="1" applyAlignment="1" applyProtection="1">
      <alignment horizontal="center" vertical="center" wrapText="1"/>
      <protection locked="0"/>
    </xf>
    <xf numFmtId="0" fontId="5" fillId="25" borderId="31" xfId="0" applyFont="1" applyFill="1" applyBorder="1" applyAlignment="1" applyProtection="1">
      <alignment horizontal="center" vertical="center" wrapText="1"/>
      <protection locked="0"/>
    </xf>
    <xf numFmtId="0" fontId="7" fillId="25" borderId="37" xfId="0" applyFont="1" applyFill="1" applyBorder="1" applyAlignment="1" applyProtection="1">
      <alignment horizontal="left" vertical="center"/>
    </xf>
    <xf numFmtId="0" fontId="7" fillId="25" borderId="58" xfId="0" applyFont="1" applyFill="1" applyBorder="1" applyAlignment="1" applyProtection="1">
      <alignment horizontal="left" vertical="center"/>
    </xf>
    <xf numFmtId="0" fontId="7" fillId="25" borderId="43" xfId="0" applyFont="1" applyFill="1" applyBorder="1" applyAlignment="1" applyProtection="1">
      <alignment horizontal="left" vertical="center"/>
    </xf>
    <xf numFmtId="0" fontId="7" fillId="25" borderId="39" xfId="0" applyFont="1" applyFill="1" applyBorder="1" applyAlignment="1" applyProtection="1">
      <alignment horizontal="left" vertical="center"/>
    </xf>
    <xf numFmtId="0" fontId="7" fillId="25" borderId="30" xfId="0" applyFont="1" applyFill="1" applyBorder="1" applyAlignment="1" applyProtection="1">
      <alignment horizontal="left" vertical="center"/>
    </xf>
    <xf numFmtId="0" fontId="7" fillId="25" borderId="44" xfId="0" applyFont="1" applyFill="1" applyBorder="1" applyAlignment="1" applyProtection="1">
      <alignment horizontal="left" vertical="center"/>
    </xf>
    <xf numFmtId="0" fontId="5" fillId="25" borderId="39" xfId="0" applyFont="1" applyFill="1" applyBorder="1" applyAlignment="1" applyProtection="1">
      <alignment horizontal="center" vertical="center"/>
    </xf>
    <xf numFmtId="0" fontId="5" fillId="25" borderId="31" xfId="0" applyFont="1" applyFill="1" applyBorder="1" applyAlignment="1" applyProtection="1">
      <alignment horizontal="center" vertical="center"/>
    </xf>
    <xf numFmtId="0" fontId="5" fillId="25" borderId="37" xfId="0" applyFont="1" applyFill="1" applyBorder="1" applyAlignment="1" applyProtection="1">
      <alignment horizontal="center" vertical="center"/>
    </xf>
    <xf numFmtId="0" fontId="5" fillId="25" borderId="38" xfId="0" applyFont="1" applyFill="1" applyBorder="1" applyAlignment="1" applyProtection="1">
      <alignment horizontal="center" vertical="center"/>
    </xf>
    <xf numFmtId="0" fontId="66" fillId="25" borderId="27" xfId="0" applyFont="1" applyFill="1" applyBorder="1" applyAlignment="1" applyProtection="1">
      <alignment horizontal="left" vertical="center" wrapText="1"/>
    </xf>
    <xf numFmtId="0" fontId="66" fillId="25" borderId="0" xfId="0" applyFont="1" applyFill="1" applyAlignment="1" applyProtection="1">
      <alignment horizontal="left" vertical="center" wrapText="1"/>
    </xf>
    <xf numFmtId="0" fontId="66" fillId="25" borderId="28" xfId="0" applyFont="1" applyFill="1" applyBorder="1" applyAlignment="1" applyProtection="1">
      <alignment horizontal="left" vertical="center" wrapText="1"/>
    </xf>
    <xf numFmtId="0" fontId="66" fillId="25" borderId="17" xfId="0" applyFont="1" applyFill="1" applyBorder="1" applyAlignment="1" applyProtection="1">
      <alignment horizontal="left" vertical="center" wrapText="1"/>
    </xf>
    <xf numFmtId="0" fontId="66" fillId="25" borderId="18" xfId="0" applyFont="1" applyFill="1" applyBorder="1" applyAlignment="1" applyProtection="1">
      <alignment horizontal="left" vertical="center" wrapText="1"/>
    </xf>
    <xf numFmtId="0" fontId="66" fillId="25" borderId="19" xfId="0" applyFont="1" applyFill="1" applyBorder="1" applyAlignment="1" applyProtection="1">
      <alignment horizontal="left" vertical="center" wrapText="1"/>
    </xf>
    <xf numFmtId="0" fontId="66" fillId="25" borderId="27" xfId="0" applyFont="1" applyFill="1" applyBorder="1" applyAlignment="1" applyProtection="1">
      <alignment horizontal="left"/>
    </xf>
    <xf numFmtId="0" fontId="66" fillId="25" borderId="0" xfId="0" applyFont="1" applyFill="1" applyBorder="1" applyAlignment="1" applyProtection="1">
      <alignment horizontal="left"/>
    </xf>
    <xf numFmtId="0" fontId="66" fillId="25" borderId="28" xfId="0" applyFont="1" applyFill="1" applyBorder="1" applyAlignment="1" applyProtection="1">
      <alignment horizontal="left"/>
    </xf>
    <xf numFmtId="0" fontId="7" fillId="35" borderId="37" xfId="0" applyFont="1" applyFill="1" applyBorder="1" applyAlignment="1" applyProtection="1">
      <alignment horizontal="center" vertical="center"/>
      <protection locked="0"/>
    </xf>
    <xf numFmtId="0" fontId="7" fillId="35" borderId="58" xfId="0" applyFont="1" applyFill="1" applyBorder="1" applyAlignment="1" applyProtection="1">
      <alignment horizontal="center" vertical="center"/>
      <protection locked="0"/>
    </xf>
    <xf numFmtId="0" fontId="7" fillId="35" borderId="38" xfId="0" applyFont="1" applyFill="1" applyBorder="1" applyAlignment="1" applyProtection="1">
      <alignment horizontal="center" vertical="center"/>
      <protection locked="0"/>
    </xf>
    <xf numFmtId="0" fontId="7" fillId="35" borderId="39" xfId="0" applyFont="1" applyFill="1" applyBorder="1" applyAlignment="1" applyProtection="1">
      <alignment horizontal="center" vertical="center"/>
      <protection locked="0"/>
    </xf>
    <xf numFmtId="0" fontId="7" fillId="35" borderId="30" xfId="0" applyFont="1" applyFill="1" applyBorder="1" applyAlignment="1" applyProtection="1">
      <alignment horizontal="center" vertical="center"/>
      <protection locked="0"/>
    </xf>
    <xf numFmtId="0" fontId="7" fillId="35" borderId="31" xfId="0" applyFont="1" applyFill="1" applyBorder="1" applyAlignment="1" applyProtection="1">
      <alignment horizontal="center" vertical="center"/>
      <protection locked="0"/>
    </xf>
    <xf numFmtId="0" fontId="72" fillId="25" borderId="0" xfId="0" applyFont="1" applyFill="1" applyProtection="1"/>
    <xf numFmtId="0" fontId="72" fillId="25" borderId="18" xfId="0" applyFont="1" applyFill="1" applyBorder="1" applyProtection="1"/>
    <xf numFmtId="0" fontId="8" fillId="30" borderId="58" xfId="0" applyFont="1" applyFill="1" applyBorder="1" applyAlignment="1" applyProtection="1">
      <alignment horizontal="left"/>
      <protection locked="0"/>
    </xf>
    <xf numFmtId="0" fontId="5" fillId="30" borderId="58" xfId="0" applyFont="1" applyFill="1" applyBorder="1" applyAlignment="1" applyProtection="1">
      <alignment horizontal="center"/>
      <protection locked="0"/>
    </xf>
    <xf numFmtId="0" fontId="5" fillId="30" borderId="38" xfId="0" applyFont="1" applyFill="1" applyBorder="1" applyAlignment="1" applyProtection="1">
      <alignment horizontal="center"/>
      <protection locked="0"/>
    </xf>
    <xf numFmtId="0" fontId="4" fillId="25" borderId="20" xfId="0" applyFont="1" applyFill="1" applyBorder="1" applyAlignment="1" applyProtection="1">
      <alignment horizontal="center" vertical="center"/>
    </xf>
    <xf numFmtId="0" fontId="4" fillId="25" borderId="14" xfId="0" applyFont="1" applyFill="1" applyBorder="1" applyAlignment="1" applyProtection="1">
      <alignment horizontal="center" vertical="center"/>
    </xf>
    <xf numFmtId="0" fontId="4" fillId="25" borderId="22" xfId="0" applyFont="1" applyFill="1" applyBorder="1" applyAlignment="1" applyProtection="1">
      <alignment horizontal="center" vertical="center"/>
    </xf>
    <xf numFmtId="0" fontId="1" fillId="35" borderId="48" xfId="0" applyFont="1" applyFill="1" applyBorder="1" applyAlignment="1" applyProtection="1">
      <alignment horizontal="center" vertical="center"/>
      <protection locked="0"/>
    </xf>
    <xf numFmtId="0" fontId="1" fillId="35" borderId="45" xfId="0" applyFont="1" applyFill="1" applyBorder="1" applyAlignment="1" applyProtection="1">
      <alignment horizontal="center" vertical="center"/>
      <protection locked="0"/>
    </xf>
    <xf numFmtId="0" fontId="1" fillId="35" borderId="49" xfId="0" applyFont="1" applyFill="1" applyBorder="1" applyAlignment="1" applyProtection="1">
      <alignment horizontal="center" vertical="center"/>
      <protection locked="0"/>
    </xf>
    <xf numFmtId="0" fontId="8" fillId="30" borderId="45" xfId="0" applyFont="1" applyFill="1" applyBorder="1" applyAlignment="1" applyProtection="1">
      <protection locked="0"/>
    </xf>
    <xf numFmtId="1" fontId="5" fillId="30" borderId="45" xfId="0" applyNumberFormat="1" applyFont="1" applyFill="1" applyBorder="1" applyAlignment="1" applyProtection="1">
      <alignment horizontal="center"/>
      <protection locked="0"/>
    </xf>
    <xf numFmtId="1" fontId="5" fillId="30" borderId="49" xfId="0" applyNumberFormat="1" applyFont="1" applyFill="1" applyBorder="1" applyAlignment="1" applyProtection="1">
      <alignment horizontal="center"/>
      <protection locked="0"/>
    </xf>
    <xf numFmtId="0" fontId="7" fillId="25" borderId="14" xfId="0" applyFont="1" applyFill="1" applyBorder="1" applyAlignment="1" applyProtection="1">
      <alignment vertical="center"/>
      <protection locked="0"/>
    </xf>
    <xf numFmtId="0" fontId="8" fillId="25" borderId="14" xfId="0" applyFont="1" applyFill="1" applyBorder="1" applyAlignment="1" applyProtection="1">
      <alignment horizontal="center" vertical="center"/>
      <protection locked="0"/>
    </xf>
    <xf numFmtId="0" fontId="7" fillId="25" borderId="65" xfId="0" applyFont="1" applyFill="1" applyBorder="1" applyAlignment="1" applyProtection="1">
      <alignment vertical="center"/>
    </xf>
    <xf numFmtId="0" fontId="7" fillId="25" borderId="44" xfId="0" applyFont="1" applyFill="1" applyBorder="1" applyAlignment="1" applyProtection="1">
      <alignment vertical="center"/>
    </xf>
    <xf numFmtId="0" fontId="8" fillId="31" borderId="30" xfId="0" applyFont="1" applyFill="1" applyBorder="1" applyAlignment="1" applyProtection="1">
      <protection locked="0"/>
    </xf>
    <xf numFmtId="1" fontId="5" fillId="31" borderId="30" xfId="0" applyNumberFormat="1" applyFont="1" applyFill="1" applyBorder="1" applyAlignment="1" applyProtection="1">
      <alignment horizontal="center"/>
      <protection locked="0"/>
    </xf>
    <xf numFmtId="1" fontId="5" fillId="31" borderId="31" xfId="0" applyNumberFormat="1" applyFont="1" applyFill="1" applyBorder="1" applyAlignment="1" applyProtection="1">
      <alignment horizontal="center"/>
      <protection locked="0"/>
    </xf>
    <xf numFmtId="0" fontId="7" fillId="25" borderId="58" xfId="0" applyFont="1" applyFill="1" applyBorder="1" applyAlignment="1" applyProtection="1">
      <alignment horizontal="center" vertical="center" wrapText="1"/>
    </xf>
    <xf numFmtId="0" fontId="7" fillId="25" borderId="38" xfId="0" applyFont="1" applyFill="1" applyBorder="1" applyAlignment="1" applyProtection="1">
      <alignment horizontal="center" vertical="center" wrapText="1"/>
    </xf>
    <xf numFmtId="0" fontId="55" fillId="25" borderId="27" xfId="0" applyFont="1" applyFill="1" applyBorder="1" applyAlignment="1" applyProtection="1">
      <alignment horizontal="left" vertical="center" wrapText="1"/>
    </xf>
    <xf numFmtId="0" fontId="55" fillId="25" borderId="0" xfId="0" applyFont="1" applyFill="1" applyBorder="1" applyAlignment="1" applyProtection="1">
      <alignment horizontal="left" vertical="center" wrapText="1"/>
    </xf>
    <xf numFmtId="0" fontId="55" fillId="25" borderId="17" xfId="0" applyFont="1" applyFill="1" applyBorder="1" applyAlignment="1" applyProtection="1">
      <alignment horizontal="left" vertical="center" wrapText="1"/>
    </xf>
    <xf numFmtId="0" fontId="55" fillId="25" borderId="18" xfId="0" applyFont="1" applyFill="1" applyBorder="1" applyAlignment="1" applyProtection="1">
      <alignment horizontal="left" vertical="center" wrapText="1"/>
    </xf>
    <xf numFmtId="0" fontId="7" fillId="25" borderId="18" xfId="0" applyFont="1" applyFill="1" applyBorder="1" applyAlignment="1" applyProtection="1">
      <alignment horizontal="center"/>
    </xf>
    <xf numFmtId="0" fontId="7" fillId="25" borderId="0" xfId="0" applyFont="1" applyFill="1" applyBorder="1" applyAlignment="1" applyProtection="1">
      <alignment horizontal="center"/>
    </xf>
    <xf numFmtId="0" fontId="7" fillId="25" borderId="30" xfId="0" applyFont="1" applyFill="1" applyBorder="1" applyAlignment="1" applyProtection="1">
      <alignment horizontal="center"/>
      <protection locked="0"/>
    </xf>
    <xf numFmtId="0" fontId="7" fillId="25" borderId="31" xfId="0" applyFont="1" applyFill="1" applyBorder="1" applyAlignment="1" applyProtection="1">
      <alignment horizontal="center"/>
      <protection locked="0"/>
    </xf>
    <xf numFmtId="0" fontId="2" fillId="35" borderId="107" xfId="0" applyFont="1" applyFill="1" applyBorder="1" applyAlignment="1" applyProtection="1">
      <alignment horizontal="center" vertical="center" wrapText="1"/>
      <protection locked="0"/>
    </xf>
    <xf numFmtId="0" fontId="2" fillId="35" borderId="71" xfId="0" applyFont="1" applyFill="1" applyBorder="1" applyAlignment="1" applyProtection="1">
      <alignment horizontal="center" vertical="center" wrapText="1"/>
      <protection locked="0"/>
    </xf>
    <xf numFmtId="0" fontId="2" fillId="35" borderId="86" xfId="0" applyFont="1" applyFill="1" applyBorder="1" applyAlignment="1" applyProtection="1">
      <alignment horizontal="center" vertical="center" wrapText="1"/>
      <protection locked="0"/>
    </xf>
    <xf numFmtId="0" fontId="2" fillId="35" borderId="59" xfId="0" applyFont="1" applyFill="1" applyBorder="1" applyAlignment="1" applyProtection="1">
      <alignment horizontal="center" vertical="center" wrapText="1"/>
      <protection locked="0"/>
    </xf>
    <xf numFmtId="0" fontId="2" fillId="35" borderId="57" xfId="0" applyFont="1" applyFill="1" applyBorder="1" applyAlignment="1" applyProtection="1">
      <alignment horizontal="center" vertical="center" wrapText="1"/>
      <protection locked="0"/>
    </xf>
    <xf numFmtId="0" fontId="2" fillId="35" borderId="36" xfId="0" applyFont="1" applyFill="1" applyBorder="1" applyAlignment="1" applyProtection="1">
      <alignment horizontal="center" vertical="center" wrapText="1"/>
      <protection locked="0"/>
    </xf>
    <xf numFmtId="0" fontId="1" fillId="25" borderId="15" xfId="0" applyFont="1" applyFill="1" applyBorder="1" applyAlignment="1" applyProtection="1">
      <alignment horizontal="center"/>
    </xf>
    <xf numFmtId="0" fontId="1" fillId="25" borderId="10" xfId="0" applyFont="1" applyFill="1" applyBorder="1" applyAlignment="1" applyProtection="1">
      <alignment horizontal="center"/>
    </xf>
    <xf numFmtId="0" fontId="1" fillId="25" borderId="11" xfId="0" applyFont="1" applyFill="1" applyBorder="1" applyAlignment="1" applyProtection="1">
      <alignment horizontal="center"/>
    </xf>
    <xf numFmtId="0" fontId="53" fillId="25" borderId="27" xfId="0" applyFont="1" applyFill="1" applyBorder="1" applyAlignment="1" applyProtection="1">
      <alignment horizontal="center"/>
    </xf>
    <xf numFmtId="0" fontId="53" fillId="25" borderId="28" xfId="0" applyFont="1" applyFill="1" applyBorder="1" applyAlignment="1" applyProtection="1">
      <alignment horizontal="center"/>
    </xf>
    <xf numFmtId="0" fontId="4" fillId="25" borderId="27" xfId="0" applyFont="1" applyFill="1" applyBorder="1" applyAlignment="1" applyProtection="1">
      <alignment horizontal="center"/>
    </xf>
    <xf numFmtId="0" fontId="4" fillId="25" borderId="0" xfId="0" applyFont="1" applyFill="1" applyBorder="1" applyAlignment="1" applyProtection="1">
      <alignment horizontal="center"/>
    </xf>
    <xf numFmtId="0" fontId="4" fillId="25" borderId="28" xfId="0" applyFont="1" applyFill="1" applyBorder="1" applyAlignment="1" applyProtection="1">
      <alignment horizontal="center"/>
    </xf>
    <xf numFmtId="0" fontId="54" fillId="25" borderId="17" xfId="0" applyFont="1" applyFill="1" applyBorder="1" applyAlignment="1" applyProtection="1">
      <alignment horizontal="center"/>
    </xf>
    <xf numFmtId="0" fontId="54" fillId="25" borderId="18" xfId="0" applyFont="1" applyFill="1" applyBorder="1" applyAlignment="1" applyProtection="1">
      <alignment horizontal="center"/>
    </xf>
    <xf numFmtId="0" fontId="54" fillId="25" borderId="19" xfId="0" applyFont="1" applyFill="1" applyBorder="1" applyAlignment="1" applyProtection="1">
      <alignment horizontal="center"/>
    </xf>
    <xf numFmtId="0" fontId="8" fillId="31" borderId="58" xfId="0" applyFont="1" applyFill="1" applyBorder="1" applyAlignment="1" applyProtection="1">
      <alignment horizontal="left"/>
      <protection locked="0"/>
    </xf>
    <xf numFmtId="0" fontId="5" fillId="31" borderId="58" xfId="0" applyFont="1" applyFill="1" applyBorder="1" applyAlignment="1" applyProtection="1">
      <alignment horizontal="center"/>
      <protection locked="0"/>
    </xf>
    <xf numFmtId="0" fontId="5" fillId="31" borderId="38" xfId="0" applyFont="1" applyFill="1" applyBorder="1" applyAlignment="1" applyProtection="1">
      <alignment horizontal="center"/>
      <protection locked="0"/>
    </xf>
    <xf numFmtId="0" fontId="12" fillId="25" borderId="20" xfId="0" applyFont="1" applyFill="1" applyBorder="1" applyAlignment="1" applyProtection="1">
      <alignment vertical="center"/>
    </xf>
    <xf numFmtId="0" fontId="12" fillId="25" borderId="14" xfId="0" applyFont="1" applyFill="1" applyBorder="1" applyAlignment="1" applyProtection="1">
      <alignment vertical="center"/>
    </xf>
    <xf numFmtId="0" fontId="7" fillId="25" borderId="64" xfId="0" applyFont="1" applyFill="1" applyBorder="1" applyAlignment="1" applyProtection="1">
      <alignment vertical="center"/>
    </xf>
    <xf numFmtId="0" fontId="7" fillId="25" borderId="43" xfId="0" applyFont="1" applyFill="1" applyBorder="1" applyAlignment="1" applyProtection="1">
      <alignment vertical="center"/>
    </xf>
    <xf numFmtId="0" fontId="5" fillId="25" borderId="65" xfId="0" applyFont="1" applyFill="1" applyBorder="1" applyAlignment="1" applyProtection="1">
      <alignment vertical="center" wrapText="1"/>
    </xf>
    <xf numFmtId="0" fontId="5" fillId="25" borderId="44" xfId="0" applyFont="1" applyFill="1" applyBorder="1" applyAlignment="1" applyProtection="1">
      <alignment vertical="center" wrapText="1"/>
    </xf>
    <xf numFmtId="0" fontId="5" fillId="25" borderId="65" xfId="0" applyFont="1" applyFill="1" applyBorder="1" applyAlignment="1" applyProtection="1">
      <alignment vertical="center" wrapText="1"/>
      <protection hidden="1"/>
    </xf>
    <xf numFmtId="0" fontId="5" fillId="25" borderId="44" xfId="0" applyFont="1" applyFill="1" applyBorder="1" applyAlignment="1" applyProtection="1">
      <alignment vertical="center" wrapText="1"/>
      <protection hidden="1"/>
    </xf>
    <xf numFmtId="0" fontId="10" fillId="25" borderId="44" xfId="0" applyFont="1" applyFill="1" applyBorder="1" applyAlignment="1" applyProtection="1">
      <alignment vertical="center"/>
    </xf>
    <xf numFmtId="0" fontId="7" fillId="25" borderId="35" xfId="0" applyFont="1" applyFill="1" applyBorder="1" applyAlignment="1" applyProtection="1">
      <alignment vertical="center"/>
    </xf>
    <xf numFmtId="0" fontId="7" fillId="25" borderId="63" xfId="0" applyFont="1" applyFill="1" applyBorder="1" applyAlignment="1" applyProtection="1">
      <alignment vertical="center"/>
    </xf>
    <xf numFmtId="0" fontId="7" fillId="25" borderId="17" xfId="0" applyFont="1" applyFill="1" applyBorder="1" applyAlignment="1" applyProtection="1">
      <alignment vertical="center"/>
    </xf>
    <xf numFmtId="0" fontId="10" fillId="25" borderId="62" xfId="0" applyFont="1" applyFill="1" applyBorder="1" applyAlignment="1" applyProtection="1">
      <alignment vertical="center"/>
    </xf>
    <xf numFmtId="0" fontId="20" fillId="25" borderId="20" xfId="0" applyFont="1" applyFill="1" applyBorder="1" applyAlignment="1" applyProtection="1">
      <alignment horizontal="left" vertical="center"/>
    </xf>
    <xf numFmtId="0" fontId="20" fillId="25" borderId="14" xfId="0" applyFont="1" applyFill="1" applyBorder="1" applyAlignment="1" applyProtection="1">
      <alignment horizontal="left" vertical="center"/>
    </xf>
    <xf numFmtId="0" fontId="8" fillId="25" borderId="66" xfId="0" applyFont="1" applyFill="1" applyBorder="1" applyAlignment="1" applyProtection="1">
      <alignment horizontal="center" vertical="center"/>
    </xf>
    <xf numFmtId="0" fontId="8" fillId="25" borderId="14" xfId="0" applyFont="1" applyFill="1" applyBorder="1" applyAlignment="1" applyProtection="1">
      <alignment horizontal="center" vertical="center"/>
    </xf>
    <xf numFmtId="0" fontId="8" fillId="25" borderId="22" xfId="0" applyFont="1" applyFill="1" applyBorder="1" applyAlignment="1" applyProtection="1">
      <alignment horizontal="center" vertical="center"/>
    </xf>
    <xf numFmtId="0" fontId="8" fillId="25" borderId="48" xfId="0" applyFont="1" applyFill="1" applyBorder="1" applyAlignment="1" applyProtection="1">
      <alignment horizontal="center" vertical="center"/>
    </xf>
    <xf numFmtId="0" fontId="8" fillId="25" borderId="45" xfId="0" applyFont="1" applyFill="1" applyBorder="1" applyAlignment="1" applyProtection="1">
      <alignment horizontal="center" vertical="center"/>
    </xf>
    <xf numFmtId="0" fontId="8" fillId="25" borderId="49" xfId="0" applyFont="1" applyFill="1" applyBorder="1" applyAlignment="1" applyProtection="1">
      <alignment horizontal="center" vertical="center"/>
    </xf>
    <xf numFmtId="2" fontId="58" fillId="31" borderId="15" xfId="0" applyNumberFormat="1" applyFont="1" applyFill="1" applyBorder="1" applyAlignment="1">
      <alignment horizontal="center" wrapText="1"/>
    </xf>
    <xf numFmtId="2" fontId="58" fillId="31" borderId="86" xfId="0" applyNumberFormat="1" applyFont="1" applyFill="1" applyBorder="1" applyAlignment="1">
      <alignment horizontal="center" wrapText="1"/>
    </xf>
    <xf numFmtId="0" fontId="58" fillId="31" borderId="15" xfId="0" applyFont="1" applyFill="1" applyBorder="1" applyAlignment="1">
      <alignment horizontal="center" wrapText="1"/>
    </xf>
    <xf numFmtId="0" fontId="58" fillId="31" borderId="71" xfId="0" applyFont="1" applyFill="1" applyBorder="1" applyAlignment="1">
      <alignment horizontal="center" wrapText="1"/>
    </xf>
    <xf numFmtId="0" fontId="58" fillId="31" borderId="86" xfId="0" applyFont="1" applyFill="1" applyBorder="1" applyAlignment="1">
      <alignment horizontal="center" wrapText="1"/>
    </xf>
    <xf numFmtId="0" fontId="1" fillId="25" borderId="15" xfId="0" applyFont="1" applyFill="1" applyBorder="1" applyProtection="1"/>
    <xf numFmtId="0" fontId="1" fillId="25" borderId="71" xfId="0" applyFont="1" applyFill="1" applyBorder="1" applyProtection="1"/>
    <xf numFmtId="0" fontId="1" fillId="25" borderId="86" xfId="0" applyFont="1" applyFill="1" applyBorder="1" applyProtection="1"/>
    <xf numFmtId="0" fontId="7" fillId="25" borderId="52" xfId="0" applyFont="1" applyFill="1" applyBorder="1" applyProtection="1"/>
    <xf numFmtId="0" fontId="7" fillId="25" borderId="45" xfId="0" applyFont="1" applyFill="1" applyBorder="1" applyProtection="1"/>
    <xf numFmtId="0" fontId="7" fillId="25" borderId="46" xfId="0" applyFont="1" applyFill="1" applyBorder="1" applyProtection="1"/>
    <xf numFmtId="0" fontId="55" fillId="31" borderId="20" xfId="0" applyFont="1" applyFill="1" applyBorder="1" applyAlignment="1">
      <alignment vertical="center" wrapText="1"/>
    </xf>
    <xf numFmtId="0" fontId="55" fillId="31" borderId="14" xfId="0" applyFont="1" applyFill="1" applyBorder="1" applyAlignment="1">
      <alignment vertical="center" wrapText="1"/>
    </xf>
    <xf numFmtId="0" fontId="55" fillId="31" borderId="60" xfId="0" applyFont="1" applyFill="1" applyBorder="1" applyAlignment="1">
      <alignment vertical="center" wrapText="1"/>
    </xf>
    <xf numFmtId="169" fontId="55" fillId="32" borderId="14" xfId="32" applyNumberFormat="1" applyFont="1" applyFill="1" applyBorder="1" applyAlignment="1" applyProtection="1">
      <alignment horizontal="center" vertical="center"/>
      <protection locked="0"/>
    </xf>
    <xf numFmtId="169" fontId="55" fillId="32" borderId="22" xfId="32" applyNumberFormat="1" applyFont="1" applyFill="1" applyBorder="1" applyAlignment="1" applyProtection="1">
      <alignment horizontal="center" vertical="center"/>
      <protection locked="0"/>
    </xf>
    <xf numFmtId="0" fontId="58" fillId="31" borderId="0" xfId="0" applyFont="1" applyFill="1" applyBorder="1" applyAlignment="1">
      <alignment horizontal="center"/>
    </xf>
    <xf numFmtId="0" fontId="58" fillId="31" borderId="28" xfId="0" applyFont="1" applyFill="1" applyBorder="1" applyAlignment="1">
      <alignment horizontal="center"/>
    </xf>
    <xf numFmtId="169" fontId="7" fillId="32" borderId="66" xfId="0" applyNumberFormat="1" applyFont="1" applyFill="1" applyBorder="1" applyAlignment="1" applyProtection="1">
      <alignment horizontal="center" vertical="center"/>
      <protection locked="0"/>
    </xf>
    <xf numFmtId="169" fontId="7" fillId="32" borderId="22" xfId="0" applyNumberFormat="1" applyFont="1" applyFill="1" applyBorder="1" applyAlignment="1" applyProtection="1">
      <alignment horizontal="center" vertical="center"/>
      <protection locked="0"/>
    </xf>
    <xf numFmtId="0" fontId="5" fillId="25" borderId="35" xfId="0" applyFont="1" applyFill="1" applyBorder="1" applyAlignment="1" applyProtection="1">
      <alignment vertical="center"/>
    </xf>
    <xf numFmtId="0" fontId="5" fillId="25" borderId="63" xfId="0" applyFont="1" applyFill="1" applyBorder="1" applyAlignment="1" applyProtection="1">
      <alignment vertical="center"/>
    </xf>
    <xf numFmtId="9" fontId="5" fillId="25" borderId="14" xfId="32" applyFont="1" applyFill="1" applyBorder="1" applyAlignment="1" applyProtection="1">
      <alignment horizontal="center" vertical="center"/>
    </xf>
    <xf numFmtId="9" fontId="5" fillId="25" borderId="22" xfId="32" applyFont="1" applyFill="1" applyBorder="1" applyAlignment="1" applyProtection="1">
      <alignment horizontal="center" vertical="center"/>
    </xf>
    <xf numFmtId="0" fontId="7" fillId="25" borderId="52" xfId="0" applyFont="1" applyFill="1" applyBorder="1" applyAlignment="1" applyProtection="1">
      <alignment vertical="center"/>
    </xf>
    <xf numFmtId="0" fontId="7" fillId="25" borderId="46" xfId="0" applyFont="1" applyFill="1" applyBorder="1" applyAlignment="1" applyProtection="1">
      <alignment vertical="center"/>
    </xf>
    <xf numFmtId="0" fontId="5" fillId="25" borderId="48" xfId="0" applyFont="1" applyFill="1" applyBorder="1" applyAlignment="1" applyProtection="1">
      <alignment horizontal="center" vertical="center" wrapText="1"/>
    </xf>
    <xf numFmtId="0" fontId="5" fillId="25" borderId="49" xfId="0" applyFont="1" applyFill="1" applyBorder="1" applyAlignment="1" applyProtection="1">
      <alignment horizontal="center" vertical="center" wrapText="1"/>
    </xf>
    <xf numFmtId="0" fontId="4" fillId="25" borderId="20" xfId="0" applyFont="1" applyFill="1" applyBorder="1" applyAlignment="1" applyProtection="1">
      <alignment horizontal="center" vertical="center" wrapText="1"/>
    </xf>
    <xf numFmtId="0" fontId="4" fillId="25" borderId="14" xfId="0" applyFont="1" applyFill="1" applyBorder="1" applyAlignment="1" applyProtection="1">
      <alignment horizontal="center" vertical="center" wrapText="1"/>
    </xf>
    <xf numFmtId="0" fontId="4" fillId="25" borderId="22" xfId="0" applyFont="1" applyFill="1" applyBorder="1" applyAlignment="1" applyProtection="1">
      <alignment horizontal="center" vertical="center" wrapText="1"/>
    </xf>
    <xf numFmtId="0" fontId="7" fillId="25" borderId="65" xfId="0" applyFont="1" applyFill="1" applyBorder="1" applyAlignment="1" applyProtection="1">
      <alignment horizontal="left" vertical="center" wrapText="1"/>
    </xf>
    <xf numFmtId="0" fontId="7" fillId="25" borderId="44" xfId="0" applyFont="1" applyFill="1" applyBorder="1" applyAlignment="1" applyProtection="1">
      <alignment horizontal="left" vertical="center" wrapText="1"/>
    </xf>
    <xf numFmtId="0" fontId="57" fillId="31" borderId="39" xfId="0" applyNumberFormat="1" applyFont="1" applyFill="1" applyBorder="1" applyAlignment="1" applyProtection="1">
      <alignment horizontal="center" vertical="center"/>
      <protection locked="0"/>
    </xf>
    <xf numFmtId="0" fontId="57" fillId="31" borderId="30" xfId="0" applyNumberFormat="1" applyFont="1" applyFill="1" applyBorder="1" applyAlignment="1" applyProtection="1">
      <alignment horizontal="center" vertical="center"/>
      <protection locked="0"/>
    </xf>
    <xf numFmtId="0" fontId="57" fillId="31" borderId="31" xfId="0" applyNumberFormat="1" applyFont="1" applyFill="1" applyBorder="1" applyAlignment="1" applyProtection="1">
      <alignment horizontal="center" vertical="center"/>
      <protection locked="0"/>
    </xf>
    <xf numFmtId="0" fontId="7" fillId="31" borderId="13" xfId="0" applyFont="1" applyFill="1" applyBorder="1" applyAlignment="1" applyProtection="1">
      <alignment horizontal="center" vertical="center"/>
      <protection locked="0"/>
    </xf>
    <xf numFmtId="0" fontId="7" fillId="31" borderId="82" xfId="0" applyFont="1" applyFill="1" applyBorder="1" applyAlignment="1" applyProtection="1">
      <alignment horizontal="center" vertical="center"/>
      <protection locked="0"/>
    </xf>
    <xf numFmtId="164" fontId="55" fillId="31" borderId="35" xfId="0" applyNumberFormat="1" applyFont="1" applyFill="1" applyBorder="1" applyAlignment="1" applyProtection="1">
      <alignment horizontal="center" vertical="center"/>
      <protection locked="0"/>
    </xf>
    <xf numFmtId="164" fontId="55" fillId="31" borderId="57" xfId="0" applyNumberFormat="1" applyFont="1" applyFill="1" applyBorder="1" applyAlignment="1" applyProtection="1">
      <alignment horizontal="center" vertical="center"/>
      <protection locked="0"/>
    </xf>
    <xf numFmtId="0" fontId="5" fillId="25" borderId="20" xfId="0" applyFont="1" applyFill="1" applyBorder="1" applyAlignment="1" applyProtection="1">
      <alignment horizontal="left" vertical="center" wrapText="1"/>
    </xf>
    <xf numFmtId="0" fontId="5" fillId="25" borderId="14" xfId="0" applyFont="1" applyFill="1" applyBorder="1" applyAlignment="1" applyProtection="1">
      <alignment horizontal="left" vertical="center" wrapText="1"/>
    </xf>
    <xf numFmtId="0" fontId="5" fillId="25" borderId="22" xfId="0" applyFont="1" applyFill="1" applyBorder="1" applyAlignment="1" applyProtection="1">
      <alignment horizontal="left" vertical="center" wrapText="1"/>
    </xf>
    <xf numFmtId="0" fontId="7" fillId="31" borderId="39" xfId="0" applyFont="1" applyFill="1" applyBorder="1" applyAlignment="1" applyProtection="1">
      <alignment horizontal="center" vertical="center"/>
      <protection locked="0"/>
    </xf>
    <xf numFmtId="0" fontId="7" fillId="31" borderId="31" xfId="0" applyFont="1" applyFill="1" applyBorder="1" applyAlignment="1" applyProtection="1">
      <alignment horizontal="center" vertical="center"/>
      <protection locked="0"/>
    </xf>
    <xf numFmtId="0" fontId="7" fillId="31" borderId="37" xfId="0" applyFont="1" applyFill="1" applyBorder="1" applyAlignment="1" applyProtection="1">
      <alignment horizontal="center" vertical="center"/>
      <protection locked="0"/>
    </xf>
    <xf numFmtId="0" fontId="7" fillId="31" borderId="38" xfId="0" applyFont="1" applyFill="1" applyBorder="1" applyAlignment="1" applyProtection="1">
      <alignment horizontal="center" vertical="center"/>
      <protection locked="0"/>
    </xf>
    <xf numFmtId="0" fontId="5" fillId="25" borderId="0" xfId="0" applyFont="1" applyFill="1" applyBorder="1" applyAlignment="1">
      <alignment horizontal="left" wrapText="1"/>
    </xf>
    <xf numFmtId="0" fontId="4" fillId="25" borderId="0" xfId="0" applyFont="1" applyFill="1" applyAlignment="1" applyProtection="1">
      <alignment horizontal="center" vertical="center"/>
    </xf>
    <xf numFmtId="0" fontId="7" fillId="35" borderId="48" xfId="0" applyFont="1" applyFill="1" applyBorder="1" applyAlignment="1" applyProtection="1">
      <alignment horizontal="center" vertical="center"/>
      <protection locked="0"/>
    </xf>
    <xf numFmtId="0" fontId="7" fillId="35" borderId="49" xfId="0" applyFont="1" applyFill="1" applyBorder="1" applyAlignment="1" applyProtection="1">
      <alignment horizontal="center" vertical="center"/>
      <protection locked="0"/>
    </xf>
    <xf numFmtId="0" fontId="0" fillId="35" borderId="39" xfId="0" applyFill="1" applyBorder="1" applyAlignment="1" applyProtection="1">
      <alignment horizontal="center" vertical="center"/>
      <protection locked="0"/>
    </xf>
    <xf numFmtId="0" fontId="0" fillId="35" borderId="31" xfId="0" applyFill="1" applyBorder="1" applyAlignment="1" applyProtection="1">
      <alignment horizontal="center" vertical="center"/>
      <protection locked="0"/>
    </xf>
    <xf numFmtId="173" fontId="7" fillId="25" borderId="45" xfId="0" applyNumberFormat="1" applyFont="1" applyFill="1" applyBorder="1" applyAlignment="1" applyProtection="1">
      <alignment horizontal="center" vertical="center" wrapText="1"/>
      <protection locked="0"/>
    </xf>
    <xf numFmtId="173" fontId="7" fillId="25" borderId="46" xfId="0" applyNumberFormat="1" applyFont="1" applyFill="1" applyBorder="1" applyAlignment="1" applyProtection="1">
      <alignment horizontal="center" vertical="center" wrapText="1"/>
      <protection locked="0"/>
    </xf>
    <xf numFmtId="0" fontId="30" fillId="25" borderId="28" xfId="0" applyFont="1" applyFill="1" applyBorder="1" applyAlignment="1">
      <alignment horizontal="center" vertical="center"/>
    </xf>
    <xf numFmtId="0" fontId="5" fillId="25" borderId="15" xfId="0" applyFont="1" applyFill="1" applyBorder="1" applyAlignment="1">
      <alignment horizontal="left" vertical="center" wrapText="1"/>
    </xf>
    <xf numFmtId="0" fontId="5" fillId="25" borderId="71" xfId="0" applyFont="1" applyFill="1" applyBorder="1" applyAlignment="1">
      <alignment horizontal="left" vertical="center" wrapText="1"/>
    </xf>
    <xf numFmtId="0" fontId="5" fillId="25" borderId="11" xfId="0" applyFont="1" applyFill="1" applyBorder="1" applyAlignment="1">
      <alignment horizontal="left" vertical="center" wrapText="1"/>
    </xf>
    <xf numFmtId="0" fontId="8" fillId="25" borderId="15" xfId="0" applyFont="1" applyFill="1" applyBorder="1" applyAlignment="1" applyProtection="1">
      <alignment horizontal="left" vertical="center"/>
    </xf>
    <xf numFmtId="0" fontId="8" fillId="25" borderId="71" xfId="0" applyFont="1" applyFill="1" applyBorder="1" applyAlignment="1" applyProtection="1">
      <alignment horizontal="left" vertical="center"/>
    </xf>
    <xf numFmtId="0" fontId="8" fillId="25" borderId="11" xfId="0" applyFont="1" applyFill="1" applyBorder="1" applyAlignment="1" applyProtection="1">
      <alignment horizontal="left" vertical="center"/>
    </xf>
    <xf numFmtId="0" fontId="17" fillId="25" borderId="27" xfId="0" applyFont="1" applyFill="1" applyBorder="1" applyAlignment="1" applyProtection="1">
      <alignment horizontal="left" vertical="center"/>
      <protection locked="0"/>
    </xf>
    <xf numFmtId="0" fontId="17" fillId="25" borderId="0" xfId="0" applyFont="1" applyFill="1" applyBorder="1" applyAlignment="1" applyProtection="1">
      <alignment horizontal="left" vertical="center"/>
      <protection locked="0"/>
    </xf>
    <xf numFmtId="0" fontId="17" fillId="25" borderId="28" xfId="0" applyFont="1" applyFill="1" applyBorder="1" applyAlignment="1" applyProtection="1">
      <alignment horizontal="left" vertical="center"/>
      <protection locked="0"/>
    </xf>
    <xf numFmtId="0" fontId="8" fillId="25" borderId="17" xfId="0" applyFont="1" applyFill="1" applyBorder="1" applyAlignment="1" applyProtection="1">
      <alignment horizontal="left" vertical="center" wrapText="1"/>
    </xf>
    <xf numFmtId="0" fontId="8" fillId="25" borderId="18" xfId="0" applyFont="1" applyFill="1" applyBorder="1" applyAlignment="1" applyProtection="1">
      <alignment horizontal="left" vertical="center" wrapText="1"/>
    </xf>
    <xf numFmtId="0" fontId="8" fillId="25" borderId="19" xfId="0" applyFont="1" applyFill="1" applyBorder="1" applyAlignment="1" applyProtection="1">
      <alignment horizontal="left" vertical="center" wrapText="1"/>
    </xf>
    <xf numFmtId="0" fontId="5" fillId="25" borderId="0" xfId="0" applyFont="1" applyFill="1" applyBorder="1" applyAlignment="1" applyProtection="1">
      <alignment horizontal="left" vertical="center" wrapText="1"/>
    </xf>
    <xf numFmtId="0" fontId="8" fillId="25" borderId="18" xfId="0" applyFont="1" applyFill="1" applyBorder="1" applyAlignment="1">
      <alignment horizontal="left" vertical="top" wrapText="1"/>
    </xf>
    <xf numFmtId="0" fontId="5" fillId="25" borderId="66" xfId="0" applyFont="1" applyFill="1" applyBorder="1" applyAlignment="1" applyProtection="1">
      <alignment horizontal="left" vertical="center" wrapText="1"/>
    </xf>
    <xf numFmtId="0" fontId="5" fillId="25" borderId="28" xfId="0" applyFont="1" applyFill="1" applyBorder="1" applyAlignment="1" applyProtection="1">
      <alignment horizontal="left" vertical="center" wrapText="1"/>
    </xf>
    <xf numFmtId="0" fontId="7" fillId="25" borderId="98" xfId="0" applyFont="1" applyFill="1" applyBorder="1" applyAlignment="1" applyProtection="1">
      <alignment horizontal="left" vertical="center"/>
    </xf>
    <xf numFmtId="0" fontId="7" fillId="25" borderId="71" xfId="0" applyFont="1" applyFill="1" applyBorder="1" applyAlignment="1" applyProtection="1">
      <alignment horizontal="left" vertical="center"/>
    </xf>
    <xf numFmtId="0" fontId="7" fillId="25" borderId="30" xfId="0" applyFont="1" applyFill="1" applyBorder="1" applyAlignment="1" applyProtection="1">
      <alignment horizontal="left" vertical="center" wrapText="1"/>
    </xf>
    <xf numFmtId="0" fontId="7" fillId="25" borderId="65" xfId="0" applyFont="1" applyFill="1" applyBorder="1" applyAlignment="1" applyProtection="1">
      <alignment horizontal="left" vertical="center"/>
    </xf>
    <xf numFmtId="0" fontId="5" fillId="25" borderId="65" xfId="0" applyFont="1" applyFill="1" applyBorder="1" applyAlignment="1">
      <alignment horizontal="left" vertical="center" wrapText="1"/>
    </xf>
    <xf numFmtId="0" fontId="5" fillId="25" borderId="30" xfId="0" applyFont="1" applyFill="1" applyBorder="1" applyAlignment="1">
      <alignment horizontal="left" vertical="center" wrapText="1"/>
    </xf>
    <xf numFmtId="0" fontId="5" fillId="25" borderId="27" xfId="0" quotePrefix="1" applyFont="1" applyFill="1" applyBorder="1" applyAlignment="1">
      <alignment horizontal="left" vertical="center" wrapText="1"/>
    </xf>
    <xf numFmtId="0" fontId="5" fillId="25" borderId="0" xfId="0" quotePrefix="1" applyFont="1" applyFill="1" applyBorder="1" applyAlignment="1">
      <alignment horizontal="left" vertical="center" wrapText="1"/>
    </xf>
    <xf numFmtId="0" fontId="5" fillId="25" borderId="28" xfId="0" quotePrefix="1" applyFont="1" applyFill="1" applyBorder="1" applyAlignment="1">
      <alignment horizontal="left" vertical="center" wrapText="1"/>
    </xf>
    <xf numFmtId="0" fontId="5" fillId="25" borderId="0" xfId="0" applyFont="1" applyFill="1" applyBorder="1" applyAlignment="1">
      <alignment horizontal="left" vertical="center" wrapText="1"/>
    </xf>
    <xf numFmtId="0" fontId="5" fillId="25" borderId="28" xfId="0" applyFont="1" applyFill="1" applyBorder="1" applyAlignment="1">
      <alignment horizontal="left" vertical="center" wrapText="1"/>
    </xf>
    <xf numFmtId="0" fontId="5" fillId="25" borderId="27" xfId="0" quotePrefix="1" applyFont="1" applyFill="1" applyBorder="1" applyAlignment="1">
      <alignment horizontal="left" vertical="center"/>
    </xf>
    <xf numFmtId="0" fontId="5" fillId="25" borderId="0" xfId="0" quotePrefix="1" applyFont="1" applyFill="1" applyBorder="1" applyAlignment="1">
      <alignment horizontal="left" vertical="center"/>
    </xf>
    <xf numFmtId="0" fontId="5" fillId="25" borderId="28" xfId="0" quotePrefix="1" applyFont="1" applyFill="1" applyBorder="1" applyAlignment="1">
      <alignment horizontal="left" vertical="center"/>
    </xf>
    <xf numFmtId="0" fontId="5" fillId="25" borderId="17" xfId="0" quotePrefix="1" applyFont="1" applyFill="1" applyBorder="1" applyAlignment="1">
      <alignment horizontal="left" vertical="center"/>
    </xf>
    <xf numFmtId="0" fontId="5" fillId="25" borderId="18" xfId="0" quotePrefix="1" applyFont="1" applyFill="1" applyBorder="1" applyAlignment="1">
      <alignment horizontal="left" vertical="center"/>
    </xf>
    <xf numFmtId="0" fontId="5" fillId="25" borderId="19" xfId="0" quotePrefix="1" applyFont="1" applyFill="1" applyBorder="1" applyAlignment="1">
      <alignment horizontal="left" vertical="center"/>
    </xf>
    <xf numFmtId="0" fontId="5" fillId="25" borderId="70" xfId="0" applyFont="1" applyFill="1" applyBorder="1" applyAlignment="1">
      <alignment horizontal="left" vertical="center" wrapText="1"/>
    </xf>
    <xf numFmtId="0" fontId="5" fillId="25" borderId="50" xfId="0" applyFont="1" applyFill="1" applyBorder="1" applyAlignment="1">
      <alignment horizontal="left" vertical="center" wrapText="1"/>
    </xf>
    <xf numFmtId="0" fontId="5" fillId="25" borderId="77" xfId="0" applyFont="1" applyFill="1" applyBorder="1" applyAlignment="1">
      <alignment horizontal="left" vertical="center" wrapText="1"/>
    </xf>
    <xf numFmtId="0" fontId="5" fillId="25" borderId="54" xfId="0" applyFont="1" applyFill="1" applyBorder="1" applyAlignment="1" applyProtection="1">
      <alignment horizontal="center" vertical="center" wrapText="1"/>
      <protection locked="0"/>
    </xf>
    <xf numFmtId="0" fontId="0" fillId="0" borderId="55" xfId="0" applyBorder="1" applyAlignment="1" applyProtection="1">
      <protection locked="0"/>
    </xf>
    <xf numFmtId="0" fontId="5" fillId="25" borderId="78" xfId="0" applyFont="1" applyFill="1" applyBorder="1" applyAlignment="1" applyProtection="1">
      <alignment horizontal="center" vertical="center" wrapText="1"/>
      <protection locked="0"/>
    </xf>
    <xf numFmtId="0" fontId="0" fillId="0" borderId="81" xfId="0" applyBorder="1" applyAlignment="1" applyProtection="1">
      <protection locked="0"/>
    </xf>
    <xf numFmtId="0" fontId="5" fillId="24" borderId="17" xfId="0" applyFont="1" applyFill="1" applyBorder="1" applyAlignment="1" applyProtection="1">
      <alignment horizontal="left" vertical="top" wrapText="1"/>
      <protection locked="0"/>
    </xf>
    <xf numFmtId="0" fontId="5" fillId="24" borderId="18" xfId="0" applyFont="1" applyFill="1" applyBorder="1" applyAlignment="1" applyProtection="1">
      <alignment horizontal="left" vertical="top" wrapText="1"/>
      <protection locked="0"/>
    </xf>
    <xf numFmtId="0" fontId="5" fillId="25" borderId="35" xfId="0" applyFont="1" applyFill="1" applyBorder="1" applyAlignment="1">
      <alignment horizontal="left" vertical="center" wrapText="1"/>
    </xf>
    <xf numFmtId="0" fontId="5" fillId="25" borderId="57" xfId="0" applyFont="1" applyFill="1" applyBorder="1" applyAlignment="1">
      <alignment horizontal="left" vertical="center" wrapText="1"/>
    </xf>
    <xf numFmtId="0" fontId="5" fillId="25" borderId="63" xfId="0" applyFont="1" applyFill="1" applyBorder="1" applyAlignment="1">
      <alignment horizontal="left" vertical="center" wrapText="1"/>
    </xf>
    <xf numFmtId="0" fontId="5" fillId="25" borderId="44" xfId="0" applyFont="1" applyFill="1" applyBorder="1" applyAlignment="1">
      <alignment horizontal="left" vertical="center" wrapText="1"/>
    </xf>
    <xf numFmtId="0" fontId="7" fillId="25" borderId="52" xfId="0" applyFont="1" applyFill="1" applyBorder="1" applyAlignment="1">
      <alignment horizontal="left" vertical="center" wrapText="1"/>
    </xf>
    <xf numFmtId="0" fontId="7" fillId="25" borderId="45" xfId="0" applyFont="1" applyFill="1" applyBorder="1" applyAlignment="1">
      <alignment horizontal="left" vertical="center" wrapText="1"/>
    </xf>
    <xf numFmtId="0" fontId="17" fillId="25" borderId="20" xfId="0" applyFont="1" applyFill="1" applyBorder="1" applyAlignment="1">
      <alignment horizontal="left" vertical="center" wrapText="1"/>
    </xf>
    <xf numFmtId="0" fontId="17" fillId="25" borderId="14" xfId="0" applyFont="1" applyFill="1" applyBorder="1" applyAlignment="1">
      <alignment horizontal="left" vertical="center" wrapText="1"/>
    </xf>
    <xf numFmtId="0" fontId="17" fillId="25" borderId="60" xfId="0" applyFont="1" applyFill="1" applyBorder="1" applyAlignment="1">
      <alignment horizontal="left" vertical="center" wrapText="1"/>
    </xf>
    <xf numFmtId="0" fontId="7" fillId="25" borderId="39" xfId="0" applyFont="1" applyFill="1" applyBorder="1" applyAlignment="1">
      <alignment horizontal="left" vertical="center" wrapText="1"/>
    </xf>
    <xf numFmtId="0" fontId="7" fillId="25" borderId="30" xfId="0" applyFont="1" applyFill="1" applyBorder="1" applyAlignment="1">
      <alignment horizontal="left" vertical="center" wrapText="1"/>
    </xf>
    <xf numFmtId="0" fontId="5" fillId="24" borderId="19" xfId="0" applyFont="1" applyFill="1" applyBorder="1" applyAlignment="1" applyProtection="1">
      <alignment horizontal="left" vertical="top" wrapText="1"/>
      <protection locked="0"/>
    </xf>
    <xf numFmtId="0" fontId="7" fillId="25" borderId="14" xfId="0" applyFont="1" applyFill="1" applyBorder="1" applyAlignment="1">
      <alignment horizontal="right" vertical="center" wrapText="1"/>
    </xf>
    <xf numFmtId="0" fontId="7" fillId="25" borderId="60" xfId="0" applyFont="1" applyFill="1" applyBorder="1" applyAlignment="1">
      <alignment horizontal="right" vertical="center" wrapText="1"/>
    </xf>
    <xf numFmtId="0" fontId="7" fillId="25" borderId="65" xfId="0" applyFont="1" applyFill="1" applyBorder="1" applyAlignment="1">
      <alignment horizontal="left" vertical="center" wrapText="1"/>
    </xf>
    <xf numFmtId="0" fontId="7" fillId="25" borderId="35" xfId="0" applyFont="1" applyFill="1" applyBorder="1" applyAlignment="1">
      <alignment horizontal="left" vertical="center" wrapText="1"/>
    </xf>
    <xf numFmtId="0" fontId="7" fillId="25" borderId="57" xfId="0" applyFont="1" applyFill="1" applyBorder="1" applyAlignment="1">
      <alignment horizontal="left" vertical="center" wrapText="1"/>
    </xf>
    <xf numFmtId="0" fontId="7" fillId="25" borderId="17" xfId="0" applyFont="1" applyFill="1" applyBorder="1" applyAlignment="1">
      <alignment horizontal="left" vertical="center" wrapText="1"/>
    </xf>
    <xf numFmtId="0" fontId="7" fillId="25" borderId="18" xfId="0" applyFont="1" applyFill="1" applyBorder="1" applyAlignment="1">
      <alignment horizontal="left" vertical="center" wrapText="1"/>
    </xf>
    <xf numFmtId="0" fontId="22" fillId="25" borderId="20" xfId="0" applyFont="1" applyFill="1" applyBorder="1" applyAlignment="1">
      <alignment horizontal="left" vertical="center" wrapText="1"/>
    </xf>
    <xf numFmtId="0" fontId="22" fillId="25" borderId="14" xfId="0" applyFont="1" applyFill="1" applyBorder="1" applyAlignment="1">
      <alignment horizontal="left" vertical="center" wrapText="1"/>
    </xf>
    <xf numFmtId="0" fontId="22" fillId="25" borderId="22" xfId="0" applyFont="1" applyFill="1" applyBorder="1" applyAlignment="1">
      <alignment horizontal="left" vertical="center" wrapText="1"/>
    </xf>
    <xf numFmtId="0" fontId="7" fillId="25" borderId="66" xfId="0" applyFont="1" applyFill="1" applyBorder="1" applyAlignment="1">
      <alignment horizontal="right" vertical="center" wrapText="1"/>
    </xf>
    <xf numFmtId="0" fontId="5" fillId="25" borderId="59" xfId="0" applyFont="1" applyFill="1" applyBorder="1" applyAlignment="1">
      <alignment horizontal="left" vertical="center" wrapText="1"/>
    </xf>
    <xf numFmtId="0" fontId="5" fillId="25" borderId="39" xfId="0" applyFont="1" applyFill="1" applyBorder="1" applyAlignment="1">
      <alignment horizontal="left" vertical="center" wrapText="1"/>
    </xf>
    <xf numFmtId="0" fontId="17" fillId="25" borderId="27" xfId="0" applyFont="1" applyFill="1" applyBorder="1" applyAlignment="1" applyProtection="1">
      <alignment horizontal="left" vertical="center" wrapText="1"/>
    </xf>
    <xf numFmtId="0" fontId="17" fillId="25" borderId="0" xfId="0" applyFont="1" applyFill="1" applyBorder="1" applyAlignment="1" applyProtection="1">
      <alignment horizontal="left" vertical="center" wrapText="1"/>
    </xf>
    <xf numFmtId="0" fontId="17" fillId="25" borderId="0" xfId="0" applyFont="1" applyFill="1" applyBorder="1" applyAlignment="1" applyProtection="1">
      <alignment horizontal="left" vertical="center"/>
    </xf>
    <xf numFmtId="169" fontId="7" fillId="25" borderId="53" xfId="32" applyNumberFormat="1" applyFont="1" applyFill="1" applyBorder="1" applyAlignment="1" applyProtection="1">
      <alignment horizontal="center" vertical="center"/>
    </xf>
    <xf numFmtId="169" fontId="7" fillId="25" borderId="77" xfId="32" applyNumberFormat="1" applyFont="1" applyFill="1" applyBorder="1" applyAlignment="1" applyProtection="1">
      <alignment horizontal="center" vertical="center"/>
    </xf>
    <xf numFmtId="166" fontId="7" fillId="25" borderId="48" xfId="0" applyNumberFormat="1" applyFont="1" applyFill="1" applyBorder="1" applyAlignment="1" applyProtection="1">
      <alignment horizontal="center" vertical="center"/>
    </xf>
    <xf numFmtId="166" fontId="7" fillId="25" borderId="46" xfId="0" applyNumberFormat="1" applyFont="1" applyFill="1" applyBorder="1" applyAlignment="1" applyProtection="1">
      <alignment horizontal="center" vertical="center"/>
    </xf>
    <xf numFmtId="0" fontId="7" fillId="25" borderId="17" xfId="0" applyFont="1" applyFill="1" applyBorder="1" applyAlignment="1" applyProtection="1">
      <alignment horizontal="left" vertical="center" wrapText="1"/>
    </xf>
    <xf numFmtId="0" fontId="7" fillId="25" borderId="18" xfId="0" applyFont="1" applyFill="1" applyBorder="1" applyAlignment="1" applyProtection="1">
      <alignment horizontal="left" vertical="center" wrapText="1"/>
    </xf>
    <xf numFmtId="0" fontId="8" fillId="25" borderId="61" xfId="0" applyFont="1" applyFill="1" applyBorder="1" applyAlignment="1" applyProtection="1">
      <alignment horizontal="center" vertical="center"/>
    </xf>
    <xf numFmtId="0" fontId="8" fillId="25" borderId="62" xfId="0" applyFont="1" applyFill="1" applyBorder="1" applyAlignment="1" applyProtection="1">
      <alignment horizontal="center" vertical="center"/>
    </xf>
    <xf numFmtId="166" fontId="7" fillId="25" borderId="37" xfId="0" applyNumberFormat="1" applyFont="1" applyFill="1" applyBorder="1" applyAlignment="1" applyProtection="1">
      <alignment horizontal="center" vertical="center"/>
    </xf>
    <xf numFmtId="166" fontId="7" fillId="25" borderId="43" xfId="0" applyNumberFormat="1" applyFont="1" applyFill="1" applyBorder="1" applyAlignment="1" applyProtection="1">
      <alignment horizontal="center" vertical="center"/>
    </xf>
    <xf numFmtId="166" fontId="7" fillId="25" borderId="53" xfId="0" applyNumberFormat="1" applyFont="1" applyFill="1" applyBorder="1" applyAlignment="1" applyProtection="1">
      <alignment horizontal="center" vertical="center"/>
    </xf>
    <xf numFmtId="166" fontId="7" fillId="25" borderId="77" xfId="0" applyNumberFormat="1" applyFont="1" applyFill="1" applyBorder="1" applyAlignment="1" applyProtection="1">
      <alignment horizontal="center" vertical="center"/>
    </xf>
    <xf numFmtId="166" fontId="7" fillId="25" borderId="61" xfId="0" applyNumberFormat="1" applyFont="1" applyFill="1" applyBorder="1" applyAlignment="1" applyProtection="1">
      <alignment horizontal="center" vertical="center"/>
    </xf>
    <xf numFmtId="166" fontId="7" fillId="25" borderId="62" xfId="0" applyNumberFormat="1" applyFont="1" applyFill="1" applyBorder="1" applyAlignment="1" applyProtection="1">
      <alignment horizontal="center" vertical="center"/>
    </xf>
    <xf numFmtId="166" fontId="7" fillId="25" borderId="39" xfId="0" applyNumberFormat="1" applyFont="1" applyFill="1" applyBorder="1" applyAlignment="1" applyProtection="1">
      <alignment horizontal="center" vertical="center"/>
    </xf>
    <xf numFmtId="166" fontId="7" fillId="25" borderId="44" xfId="0" applyNumberFormat="1" applyFont="1" applyFill="1" applyBorder="1" applyAlignment="1" applyProtection="1">
      <alignment horizontal="center" vertical="center"/>
    </xf>
    <xf numFmtId="2" fontId="7" fillId="25" borderId="39" xfId="0" applyNumberFormat="1" applyFont="1" applyFill="1" applyBorder="1" applyAlignment="1" applyProtection="1">
      <alignment horizontal="center" vertical="center"/>
    </xf>
    <xf numFmtId="2" fontId="7" fillId="25" borderId="44" xfId="0" applyNumberFormat="1" applyFont="1" applyFill="1" applyBorder="1" applyAlignment="1" applyProtection="1">
      <alignment horizontal="center" vertical="center"/>
    </xf>
    <xf numFmtId="0" fontId="1" fillId="25" borderId="71" xfId="0" applyFont="1" applyFill="1" applyBorder="1" applyAlignment="1" applyProtection="1">
      <alignment horizontal="center"/>
    </xf>
    <xf numFmtId="0" fontId="5" fillId="32" borderId="18" xfId="0" applyFont="1" applyFill="1" applyBorder="1" applyAlignment="1" applyProtection="1">
      <alignment horizontal="center" vertical="center"/>
    </xf>
    <xf numFmtId="0" fontId="5" fillId="35" borderId="18" xfId="0" applyFont="1" applyFill="1" applyBorder="1" applyAlignment="1" applyProtection="1">
      <alignment horizontal="center" vertical="center"/>
    </xf>
    <xf numFmtId="0" fontId="7" fillId="31" borderId="45" xfId="0" applyFont="1" applyFill="1" applyBorder="1" applyAlignment="1" applyProtection="1">
      <alignment horizontal="left"/>
    </xf>
    <xf numFmtId="0" fontId="7" fillId="31" borderId="49" xfId="0" applyFont="1" applyFill="1" applyBorder="1" applyAlignment="1" applyProtection="1">
      <alignment horizontal="left"/>
    </xf>
    <xf numFmtId="0" fontId="8" fillId="31" borderId="58" xfId="0" applyFont="1" applyFill="1" applyBorder="1" applyAlignment="1" applyProtection="1">
      <alignment wrapText="1"/>
    </xf>
  </cellXfs>
  <cellStyles count="56">
    <cellStyle name="20% - Colore 1" xfId="1"/>
    <cellStyle name="20% - Colore 2" xfId="2"/>
    <cellStyle name="20% - Colore 3" xfId="3"/>
    <cellStyle name="20% - Colore 4" xfId="4"/>
    <cellStyle name="20% - Colore 5" xfId="5"/>
    <cellStyle name="20% - Colore 6" xfId="6"/>
    <cellStyle name="40% - Colore 1" xfId="7"/>
    <cellStyle name="40% - Colore 2" xfId="8"/>
    <cellStyle name="40% - Colore 3" xfId="9"/>
    <cellStyle name="40% - Colore 4" xfId="10"/>
    <cellStyle name="40% - Colore 5" xfId="11"/>
    <cellStyle name="40% - Colore 6" xfId="12"/>
    <cellStyle name="60% - Colore 1" xfId="13"/>
    <cellStyle name="60% - Colore 2" xfId="14"/>
    <cellStyle name="60% - Colore 3" xfId="15"/>
    <cellStyle name="60% - Colore 4" xfId="16"/>
    <cellStyle name="60% - Colore 5" xfId="17"/>
    <cellStyle name="60% - Colore 6" xfId="18"/>
    <cellStyle name="Calcolo" xfId="19"/>
    <cellStyle name="Calcolo 2" xfId="50"/>
    <cellStyle name="Cella collegata" xfId="20"/>
    <cellStyle name="Cella da controllare" xfId="21"/>
    <cellStyle name="Colore 1" xfId="22"/>
    <cellStyle name="Colore 2" xfId="23"/>
    <cellStyle name="Colore 3" xfId="24"/>
    <cellStyle name="Colore 4" xfId="25"/>
    <cellStyle name="Colore 5" xfId="26"/>
    <cellStyle name="Colore 6" xfId="27"/>
    <cellStyle name="Heading" xfId="46"/>
    <cellStyle name="Heading1" xfId="47"/>
    <cellStyle name="Input" xfId="28"/>
    <cellStyle name="Input 2" xfId="51"/>
    <cellStyle name="Komma" xfId="44" builtinId="3"/>
    <cellStyle name="Komma 2" xfId="55"/>
    <cellStyle name="Neutrale" xfId="29"/>
    <cellStyle name="Nota" xfId="30"/>
    <cellStyle name="Nota 2" xfId="52"/>
    <cellStyle name="Output" xfId="31"/>
    <cellStyle name="Output 2" xfId="53"/>
    <cellStyle name="Prozent" xfId="32" builtinId="5"/>
    <cellStyle name="Result" xfId="48"/>
    <cellStyle name="Result2" xfId="49"/>
    <cellStyle name="Standard" xfId="0" builtinId="0"/>
    <cellStyle name="Standard 2" xfId="45"/>
    <cellStyle name="Standard_Entwurf Erläuterungen.XLT" xfId="33"/>
    <cellStyle name="Testo avviso" xfId="34"/>
    <cellStyle name="Testo descrittivo" xfId="35"/>
    <cellStyle name="Titolo" xfId="36"/>
    <cellStyle name="Titolo 1" xfId="37"/>
    <cellStyle name="Titolo 2" xfId="38"/>
    <cellStyle name="Titolo 3" xfId="39"/>
    <cellStyle name="Titolo 4" xfId="40"/>
    <cellStyle name="Totale" xfId="41"/>
    <cellStyle name="Totale 2" xfId="54"/>
    <cellStyle name="Valore non valido" xfId="42"/>
    <cellStyle name="Valore valido" xfId="43"/>
  </cellStyles>
  <dxfs count="129">
    <dxf>
      <font>
        <color theme="0"/>
      </font>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fill>
        <patternFill>
          <bgColor rgb="FFEEFFDD"/>
        </patternFill>
      </fill>
    </dxf>
    <dxf>
      <fill>
        <patternFill>
          <bgColor rgb="FFEEFFDD"/>
        </patternFill>
      </fill>
    </dxf>
    <dxf>
      <fill>
        <patternFill>
          <bgColor rgb="FFFF0000"/>
        </patternFill>
      </fill>
    </dxf>
    <dxf>
      <fill>
        <patternFill>
          <bgColor rgb="FF92D050"/>
        </patternFill>
      </fill>
    </dxf>
    <dxf>
      <fill>
        <patternFill>
          <bgColor rgb="FFFF0000"/>
        </patternFill>
      </fill>
    </dxf>
    <dxf>
      <fill>
        <patternFill>
          <bgColor rgb="FFEEFFDD"/>
        </patternFill>
      </fill>
    </dxf>
    <dxf>
      <fill>
        <patternFill>
          <bgColor rgb="FF92D050"/>
        </patternFill>
      </fill>
    </dxf>
    <dxf>
      <fill>
        <patternFill>
          <bgColor rgb="FFFF0000"/>
        </patternFill>
      </fill>
    </dxf>
    <dxf>
      <font>
        <color auto="1"/>
      </font>
      <fill>
        <patternFill>
          <bgColor rgb="FFEEFFDD"/>
        </patternFill>
      </fill>
    </dxf>
    <dxf>
      <font>
        <color auto="1"/>
      </font>
      <fill>
        <patternFill>
          <bgColor rgb="FFFFEB00"/>
        </patternFill>
      </fill>
    </dxf>
    <dxf>
      <fill>
        <patternFill>
          <bgColor rgb="FFFFFF00"/>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font>
        <color auto="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FF0000"/>
        </patternFill>
      </fill>
    </dxf>
    <dxf>
      <border>
        <left style="hair">
          <color auto="1"/>
        </left>
        <right style="hair">
          <color auto="1"/>
        </right>
        <top style="hair">
          <color auto="1"/>
        </top>
        <bottom style="hair">
          <color auto="1"/>
        </bottom>
        <vertical/>
        <horizontal/>
      </border>
    </dxf>
    <dxf>
      <font>
        <color theme="0"/>
      </font>
    </dxf>
    <dxf>
      <fill>
        <patternFill>
          <bgColor rgb="FFEEFFDD"/>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92D050"/>
        </patternFill>
      </fill>
    </dxf>
    <dxf>
      <fill>
        <patternFill>
          <bgColor rgb="FFFF0000"/>
        </patternFill>
      </fill>
    </dxf>
    <dxf>
      <font>
        <color theme="1"/>
      </font>
      <fill>
        <patternFill>
          <bgColor rgb="FFEEFFDD"/>
        </patternFill>
      </fill>
    </dxf>
    <dxf>
      <fill>
        <patternFill>
          <bgColor rgb="FFEEFFDD"/>
        </patternFill>
      </fill>
    </dxf>
    <dxf>
      <fill>
        <patternFill>
          <bgColor rgb="FFFFFF00"/>
        </patternFill>
      </fill>
    </dxf>
    <dxf>
      <font>
        <color theme="0"/>
      </font>
    </dxf>
    <dxf>
      <fill>
        <patternFill>
          <bgColor rgb="FFEEFFDD"/>
        </patternFill>
      </fill>
    </dxf>
    <dxf>
      <fill>
        <patternFill>
          <bgColor theme="0"/>
        </patternFill>
      </fill>
    </dxf>
    <dxf>
      <fill>
        <patternFill>
          <bgColor rgb="FFFFFF00"/>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dxf>
    <dxf>
      <font>
        <color rgb="FF9C0006"/>
      </font>
      <fill>
        <patternFill>
          <bgColor rgb="FFFFC7CE"/>
        </patternFill>
      </fill>
    </dxf>
    <dxf>
      <font>
        <color auto="1"/>
      </font>
      <fill>
        <patternFill>
          <bgColor rgb="FFCC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fill>
        <patternFill>
          <bgColor theme="0"/>
        </patternFill>
      </fill>
      <border>
        <left/>
        <right/>
        <top/>
        <bottom/>
        <vertical/>
        <horizontal/>
      </border>
    </dxf>
    <dxf>
      <font>
        <color theme="1"/>
      </font>
      <fill>
        <patternFill>
          <bgColor rgb="FFEEFFDD"/>
        </patternFill>
      </fill>
    </dxf>
    <dxf>
      <font>
        <b/>
        <i val="0"/>
        <color rgb="FFFF0000"/>
      </font>
      <fill>
        <patternFill>
          <bgColor theme="5" tint="0.79998168889431442"/>
        </patternFill>
      </fill>
    </dxf>
    <dxf>
      <border>
        <top/>
        <vertical/>
        <horizontal/>
      </border>
    </dxf>
    <dxf>
      <font>
        <b/>
        <i val="0"/>
        <color auto="1"/>
      </font>
      <fill>
        <patternFill>
          <bgColor rgb="FFCCFF99"/>
        </patternFill>
      </fill>
    </dxf>
    <dxf>
      <font>
        <color theme="0"/>
      </font>
      <fill>
        <patternFill>
          <fgColor theme="0"/>
          <bgColor theme="0"/>
        </patternFill>
      </fill>
      <border>
        <left/>
        <right/>
        <top style="thin">
          <color auto="1"/>
        </top>
        <bottom/>
        <vertical/>
        <horizontal/>
      </border>
    </dxf>
    <dxf>
      <border>
        <bottom style="thin">
          <color theme="1"/>
        </bottom>
        <vertical/>
        <horizontal/>
      </border>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theme="1"/>
      </font>
      <fill>
        <patternFill>
          <bgColor rgb="FFEEFFDD"/>
        </patternFill>
      </fill>
    </dxf>
    <dxf>
      <font>
        <color theme="1"/>
      </font>
      <fill>
        <patternFill>
          <bgColor rgb="FFEEFFDD"/>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theme="0"/>
      </font>
    </dxf>
    <dxf>
      <font>
        <color theme="1"/>
      </font>
      <fill>
        <patternFill>
          <bgColor rgb="FFEEFFDD"/>
        </patternFill>
      </fill>
    </dxf>
    <dxf>
      <font>
        <color theme="1"/>
      </font>
      <fill>
        <patternFill>
          <bgColor rgb="FFEEFFDD"/>
        </patternFill>
      </fill>
    </dxf>
    <dxf>
      <font>
        <color rgb="FF9C0006"/>
      </font>
      <fill>
        <patternFill>
          <bgColor rgb="FFFFC7CE"/>
        </patternFill>
      </fill>
    </dxf>
    <dxf>
      <font>
        <color auto="1"/>
      </font>
      <fill>
        <patternFill>
          <bgColor rgb="FFCCFF99"/>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EFFDD"/>
      <color rgb="FFFFEB00"/>
      <color rgb="FFEBF1DE"/>
      <color rgb="FFFFFF66"/>
      <color rgb="FFCCFFCC"/>
      <color rgb="FFCCFF99"/>
      <color rgb="FFFFFF99"/>
      <color rgb="FFFFFFCC"/>
      <color rgb="FF9CB4BB"/>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2" Type="http://schemas.microsoft.com/office/2011/relationships/chartColorStyle" Target="colors1.xml"/><Relationship Id="rId1" Type="http://schemas.microsoft.com/office/2011/relationships/chartStyle" Target="style1.xm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551F-4B97-A517-7AD0A450736D}"/>
              </c:ext>
            </c:extLst>
          </c:dPt>
          <c:val>
            <c:numRef>
              <c:f>enveloppe_életricité!$AM$17</c:f>
              <c:numCache>
                <c:formatCode>General</c:formatCode>
                <c:ptCount val="1"/>
                <c:pt idx="0">
                  <c:v>0</c:v>
                </c:pt>
              </c:numCache>
            </c:numRef>
          </c:val>
          <c:extLst>
            <c:ext xmlns:c16="http://schemas.microsoft.com/office/drawing/2014/chart" uri="{C3380CC4-5D6E-409C-BE32-E72D297353CC}">
              <c16:uniqueId val="{00000002-551F-4B97-A517-7AD0A450736D}"/>
            </c:ext>
          </c:extLst>
        </c:ser>
        <c:ser>
          <c:idx val="1"/>
          <c:order val="1"/>
          <c:spPr>
            <a:blipFill>
              <a:blip xmlns:r="http://schemas.openxmlformats.org/officeDocument/2006/relationships" r:embed="rId4"/>
              <a:stretch>
                <a:fillRect/>
              </a:stretch>
            </a:blipFill>
            <a:ln>
              <a:noFill/>
            </a:ln>
            <a:effectLst/>
          </c:spPr>
          <c:invertIfNegative val="0"/>
          <c:val>
            <c:numRef>
              <c:f>enveloppe_életricité!$AM$18</c:f>
              <c:numCache>
                <c:formatCode>General</c:formatCode>
                <c:ptCount val="1"/>
                <c:pt idx="0">
                  <c:v>0</c:v>
                </c:pt>
              </c:numCache>
            </c:numRef>
          </c:val>
          <c:extLst>
            <c:ext xmlns:c16="http://schemas.microsoft.com/office/drawing/2014/chart" uri="{C3380CC4-5D6E-409C-BE32-E72D297353CC}">
              <c16:uniqueId val="{00000003-551F-4B97-A517-7AD0A450736D}"/>
            </c:ext>
          </c:extLst>
        </c:ser>
        <c:ser>
          <c:idx val="2"/>
          <c:order val="2"/>
          <c:spPr>
            <a:blipFill>
              <a:blip xmlns:r="http://schemas.openxmlformats.org/officeDocument/2006/relationships" r:embed="rId5"/>
              <a:stretch>
                <a:fillRect/>
              </a:stretch>
            </a:blipFill>
            <a:ln>
              <a:noFill/>
            </a:ln>
            <a:effectLst/>
          </c:spPr>
          <c:invertIfNegative val="0"/>
          <c:val>
            <c:numRef>
              <c:f>enveloppe_életricité!$AM$19</c:f>
              <c:numCache>
                <c:formatCode>General</c:formatCode>
                <c:ptCount val="1"/>
                <c:pt idx="0">
                  <c:v>0</c:v>
                </c:pt>
              </c:numCache>
            </c:numRef>
          </c:val>
          <c:extLst>
            <c:ext xmlns:c16="http://schemas.microsoft.com/office/drawing/2014/chart" uri="{C3380CC4-5D6E-409C-BE32-E72D297353CC}">
              <c16:uniqueId val="{00000004-551F-4B97-A517-7AD0A450736D}"/>
            </c:ext>
          </c:extLst>
        </c:ser>
        <c:ser>
          <c:idx val="3"/>
          <c:order val="3"/>
          <c:spPr>
            <a:blipFill>
              <a:blip xmlns:r="http://schemas.openxmlformats.org/officeDocument/2006/relationships" r:embed="rId6"/>
              <a:stretch>
                <a:fillRect/>
              </a:stretch>
            </a:blipFill>
            <a:ln>
              <a:noFill/>
            </a:ln>
            <a:effectLst/>
          </c:spPr>
          <c:invertIfNegative val="0"/>
          <c:val>
            <c:numRef>
              <c:f>enveloppe_életricité!$AM$20</c:f>
              <c:numCache>
                <c:formatCode>General</c:formatCode>
                <c:ptCount val="1"/>
                <c:pt idx="0">
                  <c:v>0</c:v>
                </c:pt>
              </c:numCache>
            </c:numRef>
          </c:val>
          <c:extLst>
            <c:ext xmlns:c16="http://schemas.microsoft.com/office/drawing/2014/chart" uri="{C3380CC4-5D6E-409C-BE32-E72D297353CC}">
              <c16:uniqueId val="{00000005-551F-4B97-A517-7AD0A450736D}"/>
            </c:ext>
          </c:extLst>
        </c:ser>
        <c:ser>
          <c:idx val="4"/>
          <c:order val="4"/>
          <c:spPr>
            <a:blipFill>
              <a:blip xmlns:r="http://schemas.openxmlformats.org/officeDocument/2006/relationships" r:embed="rId7"/>
              <a:stretch>
                <a:fillRect/>
              </a:stretch>
            </a:blipFill>
            <a:ln>
              <a:noFill/>
            </a:ln>
            <a:effectLst/>
          </c:spPr>
          <c:invertIfNegative val="0"/>
          <c:val>
            <c:numRef>
              <c:f>enveloppe_életricité!$AM$21</c:f>
              <c:numCache>
                <c:formatCode>General</c:formatCode>
                <c:ptCount val="1"/>
                <c:pt idx="0">
                  <c:v>0</c:v>
                </c:pt>
              </c:numCache>
            </c:numRef>
          </c:val>
          <c:extLst>
            <c:ext xmlns:c16="http://schemas.microsoft.com/office/drawing/2014/chart" uri="{C3380CC4-5D6E-409C-BE32-E72D297353CC}">
              <c16:uniqueId val="{00000006-551F-4B97-A517-7AD0A450736D}"/>
            </c:ext>
          </c:extLst>
        </c:ser>
        <c:ser>
          <c:idx val="5"/>
          <c:order val="5"/>
          <c:spPr>
            <a:blipFill dpi="0" rotWithShape="1">
              <a:blip xmlns:r="http://schemas.openxmlformats.org/officeDocument/2006/relationships" r:embed="rId8">
                <a:extLst>
                  <a:ext uri="{28A0092B-C50C-407E-A947-70E740481C1C}">
                    <a14:useLocalDpi xmlns:a14="http://schemas.microsoft.com/office/drawing/2010/main" val="0"/>
                  </a:ext>
                </a:extLst>
              </a:blip>
              <a:srcRect/>
              <a:stretch>
                <a:fillRect/>
              </a:stretch>
            </a:blipFill>
            <a:ln>
              <a:noFill/>
            </a:ln>
            <a:effectLst/>
          </c:spPr>
          <c:invertIfNegative val="0"/>
          <c:val>
            <c:numRef>
              <c:f>enveloppe_életricité!$AM$22</c:f>
              <c:numCache>
                <c:formatCode>General</c:formatCode>
                <c:ptCount val="1"/>
                <c:pt idx="0">
                  <c:v>0</c:v>
                </c:pt>
              </c:numCache>
            </c:numRef>
          </c:val>
          <c:extLst>
            <c:ext xmlns:c16="http://schemas.microsoft.com/office/drawing/2014/chart" uri="{C3380CC4-5D6E-409C-BE32-E72D297353CC}">
              <c16:uniqueId val="{00000007-551F-4B97-A517-7AD0A450736D}"/>
            </c:ext>
          </c:extLst>
        </c:ser>
        <c:dLbls>
          <c:showLegendKey val="0"/>
          <c:showVal val="0"/>
          <c:showCatName val="0"/>
          <c:showSerName val="0"/>
          <c:showPercent val="0"/>
          <c:showBubbleSize val="0"/>
        </c:dLbls>
        <c:gapWidth val="0"/>
        <c:overlap val="100"/>
        <c:axId val="205486664"/>
        <c:axId val="205487056"/>
      </c:barChart>
      <c:catAx>
        <c:axId val="205486664"/>
        <c:scaling>
          <c:orientation val="minMax"/>
        </c:scaling>
        <c:delete val="1"/>
        <c:axPos val="b"/>
        <c:numFmt formatCode="General" sourceLinked="1"/>
        <c:majorTickMark val="none"/>
        <c:minorTickMark val="none"/>
        <c:tickLblPos val="nextTo"/>
        <c:crossAx val="205487056"/>
        <c:crosses val="autoZero"/>
        <c:auto val="1"/>
        <c:lblAlgn val="ctr"/>
        <c:lblOffset val="100"/>
        <c:noMultiLvlLbl val="0"/>
      </c:catAx>
      <c:valAx>
        <c:axId val="205487056"/>
        <c:scaling>
          <c:orientation val="minMax"/>
        </c:scaling>
        <c:delete val="1"/>
        <c:axPos val="l"/>
        <c:numFmt formatCode="0%" sourceLinked="1"/>
        <c:majorTickMark val="none"/>
        <c:minorTickMark val="none"/>
        <c:tickLblPos val="nextTo"/>
        <c:crossAx val="205486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Uebersicht!$P$48</c:f>
              <c:strCache>
                <c:ptCount val="1"/>
                <c:pt idx="0">
                  <c:v>Grenzwert E hlwk,li</c:v>
                </c:pt>
              </c:strCache>
            </c:strRef>
          </c:tx>
          <c:spPr>
            <a:solidFill>
              <a:srgbClr val="92D050"/>
            </a:solidFill>
            <a:ln>
              <a:noFill/>
            </a:ln>
            <a:effectLst/>
          </c:spPr>
          <c:invertIfNegative val="0"/>
          <c:cat>
            <c:numRef>
              <c:f>Uebersicht!$S$59:$T$59</c:f>
              <c:numCache>
                <c:formatCode>General</c:formatCode>
                <c:ptCount val="2"/>
                <c:pt idx="0">
                  <c:v>1</c:v>
                </c:pt>
                <c:pt idx="1">
                  <c:v>3</c:v>
                </c:pt>
              </c:numCache>
            </c:numRef>
          </c:cat>
          <c:val>
            <c:numRef>
              <c:f>Uebersicht!$Q$48:$S$48</c:f>
              <c:numCache>
                <c:formatCode>General</c:formatCode>
                <c:ptCount val="3"/>
                <c:pt idx="0" formatCode="0.0">
                  <c:v>0</c:v>
                </c:pt>
                <c:pt idx="1">
                  <c:v>0</c:v>
                </c:pt>
                <c:pt idx="2">
                  <c:v>0</c:v>
                </c:pt>
              </c:numCache>
            </c:numRef>
          </c:val>
          <c:extLst>
            <c:ext xmlns:c16="http://schemas.microsoft.com/office/drawing/2014/chart" uri="{C3380CC4-5D6E-409C-BE32-E72D297353CC}">
              <c16:uniqueId val="{00000000-AE89-4ACC-AA5C-511263DDBA4D}"/>
            </c:ext>
          </c:extLst>
        </c:ser>
        <c:ser>
          <c:idx val="6"/>
          <c:order val="1"/>
          <c:tx>
            <c:v/>
          </c:tx>
          <c:spPr>
            <a:solidFill>
              <a:srgbClr val="81C7DC"/>
            </a:solidFill>
            <a:ln>
              <a:noFill/>
            </a:ln>
            <a:effectLst/>
          </c:spPr>
          <c:invertIfNegative val="0"/>
          <c:cat>
            <c:numRef>
              <c:f>Uebersicht!$S$59:$T$59</c:f>
              <c:numCache>
                <c:formatCode>General</c:formatCode>
                <c:ptCount val="2"/>
                <c:pt idx="0">
                  <c:v>1</c:v>
                </c:pt>
                <c:pt idx="1">
                  <c:v>3</c:v>
                </c:pt>
              </c:numCache>
            </c:numRef>
          </c:cat>
          <c:val>
            <c:numRef>
              <c:f>Uebersicht!$Q$49:$S$49</c:f>
              <c:numCache>
                <c:formatCode>General</c:formatCode>
                <c:ptCount val="3"/>
                <c:pt idx="0" formatCode="0.0">
                  <c:v>0</c:v>
                </c:pt>
              </c:numCache>
            </c:numRef>
          </c:val>
          <c:extLst>
            <c:ext xmlns:c16="http://schemas.microsoft.com/office/drawing/2014/chart" uri="{C3380CC4-5D6E-409C-BE32-E72D297353CC}">
              <c16:uniqueId val="{00000001-AE89-4ACC-AA5C-511263DDBA4D}"/>
            </c:ext>
          </c:extLst>
        </c:ser>
        <c:ser>
          <c:idx val="14"/>
          <c:order val="2"/>
          <c:tx>
            <c:v/>
          </c:tx>
          <c:spPr>
            <a:solidFill>
              <a:srgbClr val="AA8C8C"/>
            </a:solidFill>
            <a:ln>
              <a:noFill/>
            </a:ln>
            <a:effectLst/>
          </c:spPr>
          <c:invertIfNegative val="0"/>
          <c:cat>
            <c:numRef>
              <c:f>Uebersicht!$S$59:$T$59</c:f>
              <c:numCache>
                <c:formatCode>General</c:formatCode>
                <c:ptCount val="2"/>
                <c:pt idx="0">
                  <c:v>1</c:v>
                </c:pt>
                <c:pt idx="1">
                  <c:v>3</c:v>
                </c:pt>
              </c:numCache>
            </c:numRef>
          </c:cat>
          <c:val>
            <c:numRef>
              <c:f>Uebersicht!$Q$50:$S$50</c:f>
              <c:numCache>
                <c:formatCode>General</c:formatCode>
                <c:ptCount val="3"/>
                <c:pt idx="0" formatCode="0.0">
                  <c:v>0</c:v>
                </c:pt>
                <c:pt idx="1">
                  <c:v>0</c:v>
                </c:pt>
                <c:pt idx="2">
                  <c:v>0</c:v>
                </c:pt>
              </c:numCache>
            </c:numRef>
          </c:val>
          <c:extLst>
            <c:ext xmlns:c16="http://schemas.microsoft.com/office/drawing/2014/chart" uri="{C3380CC4-5D6E-409C-BE32-E72D297353CC}">
              <c16:uniqueId val="{00000002-AE89-4ACC-AA5C-511263DDBA4D}"/>
            </c:ext>
          </c:extLst>
        </c:ser>
        <c:ser>
          <c:idx val="7"/>
          <c:order val="3"/>
          <c:tx>
            <c:v/>
          </c:tx>
          <c:spPr>
            <a:solidFill>
              <a:srgbClr val="E1BA5E"/>
            </a:solidFill>
            <a:ln>
              <a:noFill/>
            </a:ln>
            <a:effectLst/>
          </c:spPr>
          <c:invertIfNegative val="0"/>
          <c:cat>
            <c:numRef>
              <c:f>Uebersicht!$S$59:$T$59</c:f>
              <c:numCache>
                <c:formatCode>General</c:formatCode>
                <c:ptCount val="2"/>
                <c:pt idx="0">
                  <c:v>1</c:v>
                </c:pt>
                <c:pt idx="1">
                  <c:v>3</c:v>
                </c:pt>
              </c:numCache>
            </c:numRef>
          </c:cat>
          <c:val>
            <c:numRef>
              <c:f>Uebersicht!$Q$51:$S$51</c:f>
              <c:numCache>
                <c:formatCode>General</c:formatCode>
                <c:ptCount val="3"/>
                <c:pt idx="1">
                  <c:v>0</c:v>
                </c:pt>
                <c:pt idx="2">
                  <c:v>0</c:v>
                </c:pt>
              </c:numCache>
            </c:numRef>
          </c:val>
          <c:extLst>
            <c:ext xmlns:c16="http://schemas.microsoft.com/office/drawing/2014/chart" uri="{C3380CC4-5D6E-409C-BE32-E72D297353CC}">
              <c16:uniqueId val="{00000003-AE89-4ACC-AA5C-511263DDBA4D}"/>
            </c:ext>
          </c:extLst>
        </c:ser>
        <c:ser>
          <c:idx val="8"/>
          <c:order val="4"/>
          <c:tx>
            <c:v/>
          </c:tx>
          <c:spPr>
            <a:solidFill>
              <a:srgbClr val="E1BA5E"/>
            </a:solidFill>
            <a:ln>
              <a:noFill/>
            </a:ln>
            <a:effectLst/>
          </c:spPr>
          <c:invertIfNegative val="0"/>
          <c:cat>
            <c:numRef>
              <c:f>Uebersicht!$S$59:$T$59</c:f>
              <c:numCache>
                <c:formatCode>General</c:formatCode>
                <c:ptCount val="2"/>
                <c:pt idx="0">
                  <c:v>1</c:v>
                </c:pt>
                <c:pt idx="1">
                  <c:v>3</c:v>
                </c:pt>
              </c:numCache>
            </c:numRef>
          </c:cat>
          <c:val>
            <c:numRef>
              <c:f>Uebersicht!$Q$52:$S$52</c:f>
              <c:numCache>
                <c:formatCode>General</c:formatCode>
                <c:ptCount val="3"/>
                <c:pt idx="1">
                  <c:v>0</c:v>
                </c:pt>
                <c:pt idx="2">
                  <c:v>0</c:v>
                </c:pt>
              </c:numCache>
            </c:numRef>
          </c:val>
          <c:extLst>
            <c:ext xmlns:c16="http://schemas.microsoft.com/office/drawing/2014/chart" uri="{C3380CC4-5D6E-409C-BE32-E72D297353CC}">
              <c16:uniqueId val="{00000004-AE89-4ACC-AA5C-511263DDBA4D}"/>
            </c:ext>
          </c:extLst>
        </c:ser>
        <c:ser>
          <c:idx val="9"/>
          <c:order val="5"/>
          <c:tx>
            <c:v/>
          </c:tx>
          <c:spPr>
            <a:solidFill>
              <a:srgbClr val="7F7F7F"/>
            </a:solidFill>
            <a:ln>
              <a:noFill/>
            </a:ln>
            <a:effectLst/>
          </c:spPr>
          <c:invertIfNegative val="0"/>
          <c:cat>
            <c:numRef>
              <c:f>Uebersicht!$S$59:$T$59</c:f>
              <c:numCache>
                <c:formatCode>General</c:formatCode>
                <c:ptCount val="2"/>
                <c:pt idx="0">
                  <c:v>1</c:v>
                </c:pt>
                <c:pt idx="1">
                  <c:v>3</c:v>
                </c:pt>
              </c:numCache>
            </c:numRef>
          </c:cat>
          <c:val>
            <c:numRef>
              <c:f>Uebersicht!$Q$53:$S$53</c:f>
              <c:numCache>
                <c:formatCode>General</c:formatCode>
                <c:ptCount val="3"/>
                <c:pt idx="1">
                  <c:v>0</c:v>
                </c:pt>
                <c:pt idx="2">
                  <c:v>0</c:v>
                </c:pt>
              </c:numCache>
            </c:numRef>
          </c:val>
          <c:extLst>
            <c:ext xmlns:c16="http://schemas.microsoft.com/office/drawing/2014/chart" uri="{C3380CC4-5D6E-409C-BE32-E72D297353CC}">
              <c16:uniqueId val="{00000005-AE89-4ACC-AA5C-511263DDBA4D}"/>
            </c:ext>
          </c:extLst>
        </c:ser>
        <c:ser>
          <c:idx val="10"/>
          <c:order val="6"/>
          <c:tx>
            <c:v/>
          </c:tx>
          <c:spPr>
            <a:solidFill>
              <a:srgbClr val="9CB4BB"/>
            </a:solidFill>
            <a:ln>
              <a:noFill/>
            </a:ln>
            <a:effectLst/>
          </c:spPr>
          <c:invertIfNegative val="0"/>
          <c:cat>
            <c:numRef>
              <c:f>Uebersicht!$S$59:$T$59</c:f>
              <c:numCache>
                <c:formatCode>General</c:formatCode>
                <c:ptCount val="2"/>
                <c:pt idx="0">
                  <c:v>1</c:v>
                </c:pt>
                <c:pt idx="1">
                  <c:v>3</c:v>
                </c:pt>
              </c:numCache>
            </c:numRef>
          </c:cat>
          <c:val>
            <c:numRef>
              <c:f>Uebersicht!$Q$54:$S$54</c:f>
              <c:numCache>
                <c:formatCode>General</c:formatCode>
                <c:ptCount val="3"/>
                <c:pt idx="1">
                  <c:v>0</c:v>
                </c:pt>
                <c:pt idx="2">
                  <c:v>0</c:v>
                </c:pt>
              </c:numCache>
            </c:numRef>
          </c:val>
          <c:extLst>
            <c:ext xmlns:c16="http://schemas.microsoft.com/office/drawing/2014/chart" uri="{C3380CC4-5D6E-409C-BE32-E72D297353CC}">
              <c16:uniqueId val="{00000006-AE89-4ACC-AA5C-511263DDBA4D}"/>
            </c:ext>
          </c:extLst>
        </c:ser>
        <c:ser>
          <c:idx val="4"/>
          <c:order val="9"/>
          <c:tx>
            <c:strRef>
              <c:f>Uebersicht!$M$43</c:f>
              <c:strCache>
                <c:ptCount val="1"/>
                <c:pt idx="0">
                  <c:v>Chauffage</c:v>
                </c:pt>
              </c:strCache>
            </c:strRef>
          </c:tx>
          <c:spPr>
            <a:solidFill>
              <a:srgbClr val="EA6E76"/>
            </a:solidFill>
            <a:ln>
              <a:noFill/>
            </a:ln>
            <a:effectLst/>
          </c:spPr>
          <c:invertIfNegative val="0"/>
          <c:cat>
            <c:numRef>
              <c:f>Uebersicht!$S$59:$T$59</c:f>
              <c:numCache>
                <c:formatCode>General</c:formatCode>
                <c:ptCount val="2"/>
                <c:pt idx="0">
                  <c:v>1</c:v>
                </c:pt>
                <c:pt idx="1">
                  <c:v>3</c:v>
                </c:pt>
              </c:numCache>
            </c:numRef>
          </c:cat>
          <c:val>
            <c:numRef>
              <c:f>Uebersicht!$Q$41:$S$41</c:f>
              <c:numCache>
                <c:formatCode>0.0</c:formatCode>
                <c:ptCount val="3"/>
                <c:pt idx="0">
                  <c:v>0</c:v>
                </c:pt>
                <c:pt idx="1">
                  <c:v>0</c:v>
                </c:pt>
                <c:pt idx="2" formatCode="General">
                  <c:v>0</c:v>
                </c:pt>
              </c:numCache>
            </c:numRef>
          </c:val>
          <c:extLst>
            <c:ext xmlns:c16="http://schemas.microsoft.com/office/drawing/2014/chart" uri="{C3380CC4-5D6E-409C-BE32-E72D297353CC}">
              <c16:uniqueId val="{00000007-AE89-4ACC-AA5C-511263DDBA4D}"/>
            </c:ext>
          </c:extLst>
        </c:ser>
        <c:ser>
          <c:idx val="3"/>
          <c:order val="10"/>
          <c:tx>
            <c:strRef>
              <c:f>Uebersicht!$M$44</c:f>
              <c:strCache>
                <c:ptCount val="1"/>
                <c:pt idx="0">
                  <c:v>Eau chaude</c:v>
                </c:pt>
              </c:strCache>
            </c:strRef>
          </c:tx>
          <c:spPr>
            <a:solidFill>
              <a:srgbClr val="81C7DC"/>
            </a:solidFill>
            <a:ln>
              <a:noFill/>
            </a:ln>
            <a:effectLst/>
          </c:spPr>
          <c:invertIfNegative val="0"/>
          <c:cat>
            <c:numRef>
              <c:f>Uebersicht!$S$59:$T$59</c:f>
              <c:numCache>
                <c:formatCode>General</c:formatCode>
                <c:ptCount val="2"/>
                <c:pt idx="0">
                  <c:v>1</c:v>
                </c:pt>
                <c:pt idx="1">
                  <c:v>3</c:v>
                </c:pt>
              </c:numCache>
            </c:numRef>
          </c:cat>
          <c:val>
            <c:numRef>
              <c:f>Uebersicht!$Q$42:$S$42</c:f>
              <c:numCache>
                <c:formatCode>0.0</c:formatCode>
                <c:ptCount val="3"/>
                <c:pt idx="0">
                  <c:v>0</c:v>
                </c:pt>
                <c:pt idx="1">
                  <c:v>0</c:v>
                </c:pt>
                <c:pt idx="2" formatCode="General">
                  <c:v>0</c:v>
                </c:pt>
              </c:numCache>
            </c:numRef>
          </c:val>
          <c:extLst>
            <c:ext xmlns:c16="http://schemas.microsoft.com/office/drawing/2014/chart" uri="{C3380CC4-5D6E-409C-BE32-E72D297353CC}">
              <c16:uniqueId val="{00000008-AE89-4ACC-AA5C-511263DDBA4D}"/>
            </c:ext>
          </c:extLst>
        </c:ser>
        <c:ser>
          <c:idx val="16"/>
          <c:order val="11"/>
          <c:tx>
            <c:strRef>
              <c:f>Uebersicht!$M$45</c:f>
              <c:strCache>
                <c:ptCount val="1"/>
                <c:pt idx="0">
                  <c:v>ventilation et climatisation</c:v>
                </c:pt>
              </c:strCache>
            </c:strRef>
          </c:tx>
          <c:spPr>
            <a:solidFill>
              <a:srgbClr val="AA8C8C"/>
            </a:solidFill>
            <a:ln>
              <a:noFill/>
            </a:ln>
            <a:effectLst/>
          </c:spPr>
          <c:invertIfNegative val="0"/>
          <c:cat>
            <c:numRef>
              <c:f>Uebersicht!$S$59:$T$59</c:f>
              <c:numCache>
                <c:formatCode>General</c:formatCode>
                <c:ptCount val="2"/>
                <c:pt idx="0">
                  <c:v>1</c:v>
                </c:pt>
                <c:pt idx="1">
                  <c:v>3</c:v>
                </c:pt>
              </c:numCache>
            </c:numRef>
          </c:cat>
          <c:val>
            <c:numRef>
              <c:f>Uebersicht!$Q$43:$S$43</c:f>
              <c:numCache>
                <c:formatCode>0.0</c:formatCode>
                <c:ptCount val="3"/>
                <c:pt idx="0">
                  <c:v>0</c:v>
                </c:pt>
                <c:pt idx="1">
                  <c:v>0</c:v>
                </c:pt>
                <c:pt idx="2" formatCode="General">
                  <c:v>0</c:v>
                </c:pt>
              </c:numCache>
            </c:numRef>
          </c:val>
          <c:extLst>
            <c:ext xmlns:c16="http://schemas.microsoft.com/office/drawing/2014/chart" uri="{C3380CC4-5D6E-409C-BE32-E72D297353CC}">
              <c16:uniqueId val="{00000009-AE89-4ACC-AA5C-511263DDBA4D}"/>
            </c:ext>
          </c:extLst>
        </c:ser>
        <c:ser>
          <c:idx val="17"/>
          <c:order val="12"/>
          <c:tx>
            <c:strRef>
              <c:f>Uebersicht!$M$46</c:f>
              <c:strCache>
                <c:ptCount val="1"/>
                <c:pt idx="0">
                  <c:v>Electricité d'habitation</c:v>
                </c:pt>
              </c:strCache>
            </c:strRef>
          </c:tx>
          <c:spPr>
            <a:solidFill>
              <a:srgbClr val="E1BA5E"/>
            </a:solidFill>
            <a:ln>
              <a:noFill/>
            </a:ln>
            <a:effectLst/>
          </c:spPr>
          <c:invertIfNegative val="0"/>
          <c:cat>
            <c:numRef>
              <c:f>Uebersicht!$S$59:$T$59</c:f>
              <c:numCache>
                <c:formatCode>General</c:formatCode>
                <c:ptCount val="2"/>
                <c:pt idx="0">
                  <c:v>1</c:v>
                </c:pt>
                <c:pt idx="1">
                  <c:v>3</c:v>
                </c:pt>
              </c:numCache>
            </c:numRef>
          </c:cat>
          <c:val>
            <c:numRef>
              <c:f>Uebersicht!$Q$44:$S$44</c:f>
              <c:numCache>
                <c:formatCode>0.0</c:formatCode>
                <c:ptCount val="3"/>
                <c:pt idx="0">
                  <c:v>0</c:v>
                </c:pt>
                <c:pt idx="1">
                  <c:v>0</c:v>
                </c:pt>
                <c:pt idx="2" formatCode="General">
                  <c:v>0</c:v>
                </c:pt>
              </c:numCache>
            </c:numRef>
          </c:val>
          <c:extLst>
            <c:ext xmlns:c16="http://schemas.microsoft.com/office/drawing/2014/chart" uri="{C3380CC4-5D6E-409C-BE32-E72D297353CC}">
              <c16:uniqueId val="{0000000A-AE89-4ACC-AA5C-511263DDBA4D}"/>
            </c:ext>
          </c:extLst>
        </c:ser>
        <c:ser>
          <c:idx val="18"/>
          <c:order val="13"/>
          <c:tx>
            <c:strRef>
              <c:f>Uebersicht!$M$47</c:f>
              <c:strCache>
                <c:ptCount val="1"/>
                <c:pt idx="0">
                  <c:v>Eclairage</c:v>
                </c:pt>
              </c:strCache>
            </c:strRef>
          </c:tx>
          <c:spPr>
            <a:solidFill>
              <a:srgbClr val="E1BA5E"/>
            </a:solidFill>
            <a:ln>
              <a:noFill/>
            </a:ln>
            <a:effectLst/>
          </c:spPr>
          <c:invertIfNegative val="0"/>
          <c:cat>
            <c:numRef>
              <c:f>Uebersicht!$S$59:$T$59</c:f>
              <c:numCache>
                <c:formatCode>General</c:formatCode>
                <c:ptCount val="2"/>
                <c:pt idx="0">
                  <c:v>1</c:v>
                </c:pt>
                <c:pt idx="1">
                  <c:v>3</c:v>
                </c:pt>
              </c:numCache>
            </c:numRef>
          </c:cat>
          <c:val>
            <c:numRef>
              <c:f>Uebersicht!$Q$45:$S$45</c:f>
              <c:numCache>
                <c:formatCode>0.0</c:formatCode>
                <c:ptCount val="3"/>
                <c:pt idx="0">
                  <c:v>0</c:v>
                </c:pt>
                <c:pt idx="1">
                  <c:v>0</c:v>
                </c:pt>
                <c:pt idx="2" formatCode="General">
                  <c:v>0</c:v>
                </c:pt>
              </c:numCache>
            </c:numRef>
          </c:val>
          <c:extLst>
            <c:ext xmlns:c16="http://schemas.microsoft.com/office/drawing/2014/chart" uri="{C3380CC4-5D6E-409C-BE32-E72D297353CC}">
              <c16:uniqueId val="{0000000B-AE89-4ACC-AA5C-511263DDBA4D}"/>
            </c:ext>
          </c:extLst>
        </c:ser>
        <c:ser>
          <c:idx val="19"/>
          <c:order val="14"/>
          <c:tx>
            <c:strRef>
              <c:f>Uebersicht!$M$48</c:f>
              <c:strCache>
                <c:ptCount val="1"/>
                <c:pt idx="0">
                  <c:v>Appareils</c:v>
                </c:pt>
              </c:strCache>
            </c:strRef>
          </c:tx>
          <c:spPr>
            <a:solidFill>
              <a:srgbClr val="7F7F7F"/>
            </a:solidFill>
            <a:ln>
              <a:noFill/>
            </a:ln>
            <a:effectLst/>
          </c:spPr>
          <c:invertIfNegative val="0"/>
          <c:cat>
            <c:numRef>
              <c:f>Uebersicht!$S$59:$T$59</c:f>
              <c:numCache>
                <c:formatCode>General</c:formatCode>
                <c:ptCount val="2"/>
                <c:pt idx="0">
                  <c:v>1</c:v>
                </c:pt>
                <c:pt idx="1">
                  <c:v>3</c:v>
                </c:pt>
              </c:numCache>
            </c:numRef>
          </c:cat>
          <c:val>
            <c:numRef>
              <c:f>Uebersicht!$Q$46:$S$46</c:f>
              <c:numCache>
                <c:formatCode>0.0</c:formatCode>
                <c:ptCount val="3"/>
                <c:pt idx="0">
                  <c:v>0</c:v>
                </c:pt>
                <c:pt idx="1">
                  <c:v>0</c:v>
                </c:pt>
                <c:pt idx="2" formatCode="General">
                  <c:v>0</c:v>
                </c:pt>
              </c:numCache>
            </c:numRef>
          </c:val>
          <c:extLst>
            <c:ext xmlns:c16="http://schemas.microsoft.com/office/drawing/2014/chart" uri="{C3380CC4-5D6E-409C-BE32-E72D297353CC}">
              <c16:uniqueId val="{0000000C-AE89-4ACC-AA5C-511263DDBA4D}"/>
            </c:ext>
          </c:extLst>
        </c:ser>
        <c:ser>
          <c:idx val="20"/>
          <c:order val="15"/>
          <c:tx>
            <c:strRef>
              <c:f>Uebersicht!$M$49</c:f>
              <c:strCache>
                <c:ptCount val="1"/>
                <c:pt idx="0">
                  <c:v>Installations techn. du bâtiment</c:v>
                </c:pt>
              </c:strCache>
            </c:strRef>
          </c:tx>
          <c:spPr>
            <a:solidFill>
              <a:srgbClr val="9CB4BB"/>
            </a:solidFill>
            <a:ln>
              <a:noFill/>
            </a:ln>
            <a:effectLst/>
          </c:spPr>
          <c:invertIfNegative val="0"/>
          <c:cat>
            <c:numRef>
              <c:f>Uebersicht!$S$59:$T$59</c:f>
              <c:numCache>
                <c:formatCode>General</c:formatCode>
                <c:ptCount val="2"/>
                <c:pt idx="0">
                  <c:v>1</c:v>
                </c:pt>
                <c:pt idx="1">
                  <c:v>3</c:v>
                </c:pt>
              </c:numCache>
            </c:numRef>
          </c:cat>
          <c:val>
            <c:numRef>
              <c:f>Uebersicht!$Q$47:$S$47</c:f>
              <c:numCache>
                <c:formatCode>0.0</c:formatCode>
                <c:ptCount val="3"/>
                <c:pt idx="0">
                  <c:v>0</c:v>
                </c:pt>
                <c:pt idx="1">
                  <c:v>0</c:v>
                </c:pt>
                <c:pt idx="2" formatCode="General">
                  <c:v>0</c:v>
                </c:pt>
              </c:numCache>
            </c:numRef>
          </c:val>
          <c:extLst>
            <c:ext xmlns:c16="http://schemas.microsoft.com/office/drawing/2014/chart" uri="{C3380CC4-5D6E-409C-BE32-E72D297353CC}">
              <c16:uniqueId val="{0000000D-AE89-4ACC-AA5C-511263DDBA4D}"/>
            </c:ext>
          </c:extLst>
        </c:ser>
        <c:ser>
          <c:idx val="0"/>
          <c:order val="16"/>
          <c:tx>
            <c:v/>
          </c:tx>
          <c:spPr>
            <a:noFill/>
            <a:ln>
              <a:noFill/>
            </a:ln>
            <a:effectLst/>
          </c:spPr>
          <c:invertIfNegative val="0"/>
          <c:cat>
            <c:numRef>
              <c:f>Uebersicht!$S$59:$T$59</c:f>
              <c:numCache>
                <c:formatCode>General</c:formatCode>
                <c:ptCount val="2"/>
                <c:pt idx="0">
                  <c:v>1</c:v>
                </c:pt>
                <c:pt idx="1">
                  <c:v>3</c:v>
                </c:pt>
              </c:numCache>
            </c:numRef>
          </c:cat>
          <c:val>
            <c:numRef>
              <c:f>Uebersicht!$Q$37:$S$37</c:f>
              <c:numCache>
                <c:formatCode>General</c:formatCode>
                <c:ptCount val="3"/>
                <c:pt idx="0">
                  <c:v>0</c:v>
                </c:pt>
                <c:pt idx="1">
                  <c:v>0</c:v>
                </c:pt>
                <c:pt idx="2" formatCode="0.0">
                  <c:v>0</c:v>
                </c:pt>
              </c:numCache>
            </c:numRef>
          </c:val>
          <c:extLst>
            <c:ext xmlns:c16="http://schemas.microsoft.com/office/drawing/2014/chart" uri="{C3380CC4-5D6E-409C-BE32-E72D297353CC}">
              <c16:uniqueId val="{0000000E-AE89-4ACC-AA5C-511263DDBA4D}"/>
            </c:ext>
          </c:extLst>
        </c:ser>
        <c:ser>
          <c:idx val="15"/>
          <c:order val="17"/>
          <c:tx>
            <c:strRef>
              <c:f>Uebersicht!$M$56</c:f>
              <c:strCache>
                <c:ptCount val="1"/>
                <c:pt idx="0">
                  <c:v>PV non pris en compte</c:v>
                </c:pt>
              </c:strCache>
            </c:strRef>
          </c:tx>
          <c:spPr>
            <a:pattFill prst="wdUpDiag">
              <a:fgClr>
                <a:srgbClr val="F9EA85"/>
              </a:fgClr>
              <a:bgClr>
                <a:schemeClr val="bg1"/>
              </a:bgClr>
            </a:pattFill>
            <a:ln>
              <a:noFill/>
            </a:ln>
            <a:effectLst/>
          </c:spPr>
          <c:invertIfNegative val="0"/>
          <c:cat>
            <c:numRef>
              <c:f>Uebersicht!$S$59:$T$59</c:f>
              <c:numCache>
                <c:formatCode>General</c:formatCode>
                <c:ptCount val="2"/>
                <c:pt idx="0">
                  <c:v>1</c:v>
                </c:pt>
                <c:pt idx="1">
                  <c:v>3</c:v>
                </c:pt>
              </c:numCache>
            </c:numRef>
          </c:cat>
          <c:val>
            <c:numRef>
              <c:f>Uebersicht!$Q$38:$S$38</c:f>
              <c:numCache>
                <c:formatCode>General</c:formatCode>
                <c:ptCount val="3"/>
                <c:pt idx="0">
                  <c:v>0</c:v>
                </c:pt>
                <c:pt idx="1">
                  <c:v>0</c:v>
                </c:pt>
                <c:pt idx="2" formatCode="0.0">
                  <c:v>0</c:v>
                </c:pt>
              </c:numCache>
            </c:numRef>
          </c:val>
          <c:extLst>
            <c:ext xmlns:c16="http://schemas.microsoft.com/office/drawing/2014/chart" uri="{C3380CC4-5D6E-409C-BE32-E72D297353CC}">
              <c16:uniqueId val="{0000000F-AE89-4ACC-AA5C-511263DDBA4D}"/>
            </c:ext>
          </c:extLst>
        </c:ser>
        <c:ser>
          <c:idx val="1"/>
          <c:order val="18"/>
          <c:tx>
            <c:strRef>
              <c:f>Uebersicht!$M$54</c:f>
              <c:strCache>
                <c:ptCount val="1"/>
                <c:pt idx="0">
                  <c:v>PV part injectée</c:v>
                </c:pt>
              </c:strCache>
            </c:strRef>
          </c:tx>
          <c:spPr>
            <a:solidFill>
              <a:srgbClr val="F9EA85"/>
            </a:solidFill>
            <a:ln>
              <a:noFill/>
            </a:ln>
            <a:effectLst/>
          </c:spPr>
          <c:invertIfNegative val="0"/>
          <c:cat>
            <c:numRef>
              <c:f>Uebersicht!$S$59:$T$59</c:f>
              <c:numCache>
                <c:formatCode>General</c:formatCode>
                <c:ptCount val="2"/>
                <c:pt idx="0">
                  <c:v>1</c:v>
                </c:pt>
                <c:pt idx="1">
                  <c:v>3</c:v>
                </c:pt>
              </c:numCache>
            </c:numRef>
          </c:cat>
          <c:val>
            <c:numRef>
              <c:f>Uebersicht!$Q$39:$S$39</c:f>
              <c:numCache>
                <c:formatCode>General</c:formatCode>
                <c:ptCount val="3"/>
                <c:pt idx="0">
                  <c:v>0</c:v>
                </c:pt>
                <c:pt idx="1">
                  <c:v>0</c:v>
                </c:pt>
                <c:pt idx="2" formatCode="0.0">
                  <c:v>0</c:v>
                </c:pt>
              </c:numCache>
            </c:numRef>
          </c:val>
          <c:extLst>
            <c:ext xmlns:c16="http://schemas.microsoft.com/office/drawing/2014/chart" uri="{C3380CC4-5D6E-409C-BE32-E72D297353CC}">
              <c16:uniqueId val="{00000010-AE89-4ACC-AA5C-511263DDBA4D}"/>
            </c:ext>
          </c:extLst>
        </c:ser>
        <c:ser>
          <c:idx val="2"/>
          <c:order val="19"/>
          <c:tx>
            <c:strRef>
              <c:f>Uebersicht!$M$53</c:f>
              <c:strCache>
                <c:ptCount val="1"/>
                <c:pt idx="0">
                  <c:v>PV autoconsommation</c:v>
                </c:pt>
              </c:strCache>
            </c:strRef>
          </c:tx>
          <c:spPr>
            <a:solidFill>
              <a:srgbClr val="F4DC32"/>
            </a:solidFill>
            <a:ln>
              <a:noFill/>
            </a:ln>
            <a:effectLst/>
          </c:spPr>
          <c:invertIfNegative val="0"/>
          <c:cat>
            <c:numRef>
              <c:f>Uebersicht!$S$59:$T$59</c:f>
              <c:numCache>
                <c:formatCode>General</c:formatCode>
                <c:ptCount val="2"/>
                <c:pt idx="0">
                  <c:v>1</c:v>
                </c:pt>
                <c:pt idx="1">
                  <c:v>3</c:v>
                </c:pt>
              </c:numCache>
            </c:numRef>
          </c:cat>
          <c:val>
            <c:numRef>
              <c:f>Uebersicht!$Q$40:$S$40</c:f>
              <c:numCache>
                <c:formatCode>General</c:formatCode>
                <c:ptCount val="3"/>
                <c:pt idx="0">
                  <c:v>0</c:v>
                </c:pt>
                <c:pt idx="1">
                  <c:v>0</c:v>
                </c:pt>
                <c:pt idx="2" formatCode="0.0">
                  <c:v>0</c:v>
                </c:pt>
              </c:numCache>
            </c:numRef>
          </c:val>
          <c:extLst>
            <c:ext xmlns:c16="http://schemas.microsoft.com/office/drawing/2014/chart" uri="{C3380CC4-5D6E-409C-BE32-E72D297353CC}">
              <c16:uniqueId val="{00000011-AE89-4ACC-AA5C-511263DDBA4D}"/>
            </c:ext>
          </c:extLst>
        </c:ser>
        <c:dLbls>
          <c:showLegendKey val="0"/>
          <c:showVal val="0"/>
          <c:showCatName val="0"/>
          <c:showSerName val="0"/>
          <c:showPercent val="0"/>
          <c:showBubbleSize val="0"/>
        </c:dLbls>
        <c:gapWidth val="80"/>
        <c:overlap val="100"/>
        <c:axId val="205482352"/>
        <c:axId val="205481960"/>
      </c:barChart>
      <c:scatterChart>
        <c:scatterStyle val="lineMarker"/>
        <c:varyColors val="0"/>
        <c:ser>
          <c:idx val="12"/>
          <c:order val="7"/>
          <c:tx>
            <c:strRef>
              <c:f>Uebersicht!$M$61</c:f>
              <c:strCache>
                <c:ptCount val="1"/>
                <c:pt idx="0">
                  <c:v>#BEZUG!</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extLst>
              <c:ext xmlns:c16="http://schemas.microsoft.com/office/drawing/2014/chart" uri="{C3380CC4-5D6E-409C-BE32-E72D297353CC}">
                <c16:uniqueId val="{00000013-AE89-4ACC-AA5C-511263DDBA4D}"/>
              </c:ext>
            </c:extLst>
          </c:dPt>
          <c:xVal>
            <c:numRef>
              <c:f>Uebersicht!$S$56:$T$56</c:f>
              <c:numCache>
                <c:formatCode>General</c:formatCode>
                <c:ptCount val="2"/>
                <c:pt idx="0">
                  <c:v>1</c:v>
                </c:pt>
                <c:pt idx="1">
                  <c:v>3</c:v>
                </c:pt>
              </c:numCache>
            </c:numRef>
          </c:xVal>
          <c:yVal>
            <c:numRef>
              <c:f>Uebersicht!$S$61:$T$61</c:f>
              <c:numCache>
                <c:formatCode>0.0</c:formatCode>
                <c:ptCount val="2"/>
                <c:pt idx="0">
                  <c:v>0</c:v>
                </c:pt>
                <c:pt idx="1">
                  <c:v>0</c:v>
                </c:pt>
              </c:numCache>
            </c:numRef>
          </c:yVal>
          <c:smooth val="0"/>
          <c:extLst>
            <c:ext xmlns:c16="http://schemas.microsoft.com/office/drawing/2014/chart" uri="{C3380CC4-5D6E-409C-BE32-E72D297353CC}">
              <c16:uniqueId val="{00000014-AE89-4ACC-AA5C-511263DDBA4D}"/>
            </c:ext>
          </c:extLst>
        </c:ser>
        <c:ser>
          <c:idx val="11"/>
          <c:order val="8"/>
          <c:tx>
            <c:strRef>
              <c:f>Uebersicht!$M$60</c:f>
              <c:strCache>
                <c:ptCount val="1"/>
                <c:pt idx="0">
                  <c:v>Indice Minergie</c:v>
                </c:pt>
              </c:strCache>
            </c:strRef>
          </c:tx>
          <c:spPr>
            <a:ln w="19050" cap="rnd">
              <a:solidFill>
                <a:schemeClr val="tx1"/>
              </a:solidFill>
              <a:round/>
            </a:ln>
            <a:effectLst/>
          </c:spPr>
          <c:marker>
            <c:symbol val="none"/>
          </c:marker>
          <c:xVal>
            <c:numRef>
              <c:f>Uebersicht!$S$59:$T$59</c:f>
              <c:numCache>
                <c:formatCode>General</c:formatCode>
                <c:ptCount val="2"/>
                <c:pt idx="0">
                  <c:v>1</c:v>
                </c:pt>
                <c:pt idx="1">
                  <c:v>3</c:v>
                </c:pt>
              </c:numCache>
            </c:numRef>
          </c:xVal>
          <c:yVal>
            <c:numRef>
              <c:f>Uebersicht!$S$60:$T$60</c:f>
              <c:numCache>
                <c:formatCode>0.0</c:formatCode>
                <c:ptCount val="2"/>
                <c:pt idx="0">
                  <c:v>0</c:v>
                </c:pt>
                <c:pt idx="1">
                  <c:v>0</c:v>
                </c:pt>
              </c:numCache>
            </c:numRef>
          </c:yVal>
          <c:smooth val="0"/>
          <c:extLst>
            <c:ext xmlns:c16="http://schemas.microsoft.com/office/drawing/2014/chart" uri="{C3380CC4-5D6E-409C-BE32-E72D297353CC}">
              <c16:uniqueId val="{00000015-AE89-4ACC-AA5C-511263DDBA4D}"/>
            </c:ext>
          </c:extLst>
        </c:ser>
        <c:dLbls>
          <c:showLegendKey val="0"/>
          <c:showVal val="0"/>
          <c:showCatName val="0"/>
          <c:showSerName val="0"/>
          <c:showPercent val="0"/>
          <c:showBubbleSize val="0"/>
        </c:dLbls>
        <c:axId val="205482352"/>
        <c:axId val="205481960"/>
      </c:scatterChart>
      <c:catAx>
        <c:axId val="205482352"/>
        <c:scaling>
          <c:orientation val="minMax"/>
        </c:scaling>
        <c:delete val="1"/>
        <c:axPos val="b"/>
        <c:numFmt formatCode="General" sourceLinked="1"/>
        <c:majorTickMark val="none"/>
        <c:minorTickMark val="none"/>
        <c:tickLblPos val="nextTo"/>
        <c:crossAx val="205481960"/>
        <c:crosses val="autoZero"/>
        <c:auto val="1"/>
        <c:lblAlgn val="ctr"/>
        <c:lblOffset val="100"/>
        <c:noMultiLvlLbl val="0"/>
      </c:catAx>
      <c:valAx>
        <c:axId val="2054819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5482352"/>
        <c:crosses val="autoZero"/>
        <c:crossBetween val="between"/>
      </c:valAx>
      <c:spPr>
        <a:noFill/>
        <a:ln>
          <a:noFill/>
        </a:ln>
        <a:effectLst/>
      </c:spPr>
    </c:plotArea>
    <c:legend>
      <c:legendPos val="b"/>
      <c:layout>
        <c:manualLayout>
          <c:xMode val="edge"/>
          <c:yMode val="edge"/>
          <c:x val="0"/>
          <c:y val="0.72533810956033928"/>
          <c:w val="0.9987058272952789"/>
          <c:h val="0.274661890439660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895350</xdr:colOff>
      <xdr:row>3</xdr:row>
      <xdr:rowOff>95249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twoCellAnchor>
    <xdr:from>
      <xdr:col>6</xdr:col>
      <xdr:colOff>314325</xdr:colOff>
      <xdr:row>15</xdr:row>
      <xdr:rowOff>47626</xdr:rowOff>
    </xdr:from>
    <xdr:to>
      <xdr:col>10</xdr:col>
      <xdr:colOff>447675</xdr:colOff>
      <xdr:row>22</xdr:row>
      <xdr:rowOff>180976</xdr:rowOff>
    </xdr:to>
    <xdr:graphicFrame macro="">
      <xdr:nvGraphicFramePr>
        <xdr:cNvPr id="3" name="Diagramm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85725</xdr:colOff>
      <xdr:row>44</xdr:row>
      <xdr:rowOff>28575</xdr:rowOff>
    </xdr:from>
    <xdr:to>
      <xdr:col>9</xdr:col>
      <xdr:colOff>15240</xdr:colOff>
      <xdr:row>62</xdr:row>
      <xdr:rowOff>180975</xdr:rowOff>
    </xdr:to>
    <xdr:graphicFrame macro="">
      <xdr:nvGraphicFramePr>
        <xdr:cNvPr id="4" name="Diagramm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238125</xdr:colOff>
      <xdr:row>1</xdr:row>
      <xdr:rowOff>29857</xdr:rowOff>
    </xdr:from>
    <xdr:to>
      <xdr:col>4</xdr:col>
      <xdr:colOff>47625</xdr:colOff>
      <xdr:row>3</xdr:row>
      <xdr:rowOff>104774</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6725" y="153682"/>
          <a:ext cx="2486025" cy="494017"/>
        </a:xfrm>
        <a:prstGeom prst="rect">
          <a:avLst/>
        </a:prstGeom>
      </xdr:spPr>
    </xdr:pic>
    <xdr:clientData/>
  </xdr:twoCellAnchor>
  <xdr:twoCellAnchor>
    <xdr:from>
      <xdr:col>1</xdr:col>
      <xdr:colOff>238125</xdr:colOff>
      <xdr:row>57</xdr:row>
      <xdr:rowOff>53341</xdr:rowOff>
    </xdr:from>
    <xdr:to>
      <xdr:col>7</xdr:col>
      <xdr:colOff>209550</xdr:colOff>
      <xdr:row>58</xdr:row>
      <xdr:rowOff>180977</xdr:rowOff>
    </xdr:to>
    <xdr:sp macro="" textlink="">
      <xdr:nvSpPr>
        <xdr:cNvPr id="2" name="Rechteck 1">
          <a:extLst>
            <a:ext uri="{FF2B5EF4-FFF2-40B4-BE49-F238E27FC236}">
              <a16:creationId xmlns:a16="http://schemas.microsoft.com/office/drawing/2014/main" id="{00000000-0008-0000-0200-000002000000}"/>
            </a:ext>
          </a:extLst>
        </xdr:cNvPr>
        <xdr:cNvSpPr/>
      </xdr:nvSpPr>
      <xdr:spPr bwMode="auto">
        <a:xfrm>
          <a:off x="474345" y="10736581"/>
          <a:ext cx="4772025" cy="34099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180975</xdr:colOff>
      <xdr:row>58</xdr:row>
      <xdr:rowOff>85725</xdr:rowOff>
    </xdr:from>
    <xdr:to>
      <xdr:col>3</xdr:col>
      <xdr:colOff>28575</xdr:colOff>
      <xdr:row>59</xdr:row>
      <xdr:rowOff>85725</xdr:rowOff>
    </xdr:to>
    <xdr:sp macro="" textlink="">
      <xdr:nvSpPr>
        <xdr:cNvPr id="5" name="Rechteck 4">
          <a:extLst>
            <a:ext uri="{FF2B5EF4-FFF2-40B4-BE49-F238E27FC236}">
              <a16:creationId xmlns:a16="http://schemas.microsoft.com/office/drawing/2014/main" id="{00000000-0008-0000-0200-000005000000}"/>
            </a:ext>
          </a:extLst>
        </xdr:cNvPr>
        <xdr:cNvSpPr/>
      </xdr:nvSpPr>
      <xdr:spPr bwMode="auto">
        <a:xfrm>
          <a:off x="409575" y="10715625"/>
          <a:ext cx="1943100" cy="21907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0.00364</cdr:x>
      <cdr:y>0.73462</cdr:y>
    </cdr:from>
    <cdr:to>
      <cdr:x>0.3538</cdr:x>
      <cdr:y>0.80043</cdr:y>
    </cdr:to>
    <cdr:sp macro="" textlink="">
      <cdr:nvSpPr>
        <cdr:cNvPr id="2" name="Rechteck 1"/>
        <cdr:cNvSpPr/>
      </cdr:nvSpPr>
      <cdr:spPr bwMode="auto">
        <a:xfrm xmlns:a="http://schemas.openxmlformats.org/drawingml/2006/main">
          <a:off x="22225" y="3260726"/>
          <a:ext cx="2139950" cy="29210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de-CH" sz="1100"/>
        </a:p>
      </cdr:txBody>
    </cdr:sp>
  </cdr:relSizeAnchor>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AW835"/>
  <sheetViews>
    <sheetView showGridLines="0" tabSelected="1" zoomScaleNormal="100" workbookViewId="0">
      <selection activeCell="B13" sqref="B13"/>
    </sheetView>
  </sheetViews>
  <sheetFormatPr baseColWidth="10" defaultColWidth="11.42578125" defaultRowHeight="12"/>
  <cols>
    <col min="1" max="1" width="3.42578125" style="633" customWidth="1"/>
    <col min="2" max="2" width="25.7109375" style="5" customWidth="1"/>
    <col min="3" max="3" width="13.7109375" style="5" customWidth="1"/>
    <col min="4" max="5" width="6.7109375" style="5" customWidth="1"/>
    <col min="6" max="6" width="10.42578125" style="5" customWidth="1"/>
    <col min="7" max="7" width="9.42578125" style="5" customWidth="1"/>
    <col min="8" max="9" width="10.42578125" style="5" customWidth="1"/>
    <col min="10" max="10" width="0.7109375" style="5" customWidth="1"/>
    <col min="11" max="11" width="9.7109375" style="5" customWidth="1"/>
    <col min="12" max="12" width="1.7109375" style="44" customWidth="1"/>
    <col min="13" max="13" width="3.140625" style="44" customWidth="1"/>
    <col min="14" max="14" width="18.7109375" style="5" hidden="1" customWidth="1"/>
    <col min="15" max="36" width="11.42578125" style="5" hidden="1" customWidth="1"/>
    <col min="37" max="37" width="37.5703125" style="5" hidden="1" customWidth="1"/>
    <col min="38" max="38" width="33.140625" style="5" hidden="1" customWidth="1"/>
    <col min="39" max="39" width="11.42578125" style="102" customWidth="1"/>
    <col min="40" max="40" width="12.7109375" style="5" hidden="1" customWidth="1"/>
    <col min="41" max="49" width="11.42578125" style="5" hidden="1" customWidth="1"/>
    <col min="50" max="53" width="11.42578125" style="5" customWidth="1"/>
    <col min="54" max="16384" width="11.42578125" style="5"/>
  </cols>
  <sheetData>
    <row r="1" spans="1:49" ht="9.9499999999999993" customHeight="1">
      <c r="B1" s="174" t="str">
        <f>Uebersetzung!D646</f>
        <v>v 1.1</v>
      </c>
      <c r="C1" s="3"/>
      <c r="D1" s="3"/>
      <c r="E1" s="49"/>
      <c r="F1" s="3"/>
      <c r="G1" s="3"/>
      <c r="H1" s="3"/>
      <c r="I1" s="31"/>
      <c r="J1" s="3"/>
      <c r="K1" s="7" t="str">
        <f>Uebersetzung!D645</f>
        <v>Formulaire pour les modèles de rénovation</v>
      </c>
      <c r="AK1" s="5" t="str">
        <f>Uebersetzung!D25</f>
        <v>oui</v>
      </c>
      <c r="AL1" s="5" t="str">
        <f>Uebersetzung!D26</f>
        <v>non</v>
      </c>
    </row>
    <row r="2" spans="1:49" ht="17.100000000000001" customHeight="1">
      <c r="B2" s="390"/>
      <c r="C2" s="862"/>
      <c r="D2" s="392"/>
      <c r="E2" s="390"/>
      <c r="F2" s="392"/>
      <c r="G2" s="986"/>
      <c r="H2" s="987"/>
      <c r="I2" s="987"/>
      <c r="J2" s="987"/>
      <c r="K2" s="988"/>
    </row>
    <row r="3" spans="1:49" ht="17.100000000000001" customHeight="1">
      <c r="B3" s="393"/>
      <c r="C3" s="394"/>
      <c r="D3" s="395"/>
      <c r="E3" s="989"/>
      <c r="F3" s="990"/>
      <c r="G3" s="991" t="str">
        <f>Uebersetzung!D540</f>
        <v>Modèles de rénovation MINERGIE</v>
      </c>
      <c r="H3" s="992"/>
      <c r="I3" s="992"/>
      <c r="J3" s="992"/>
      <c r="K3" s="993"/>
      <c r="N3" s="44" t="s">
        <v>1441</v>
      </c>
      <c r="U3" s="44" t="s">
        <v>1467</v>
      </c>
      <c r="AC3" s="44" t="s">
        <v>2243</v>
      </c>
      <c r="AN3" s="5" t="s">
        <v>2942</v>
      </c>
      <c r="AO3" s="911">
        <f>F16+F17</f>
        <v>0</v>
      </c>
    </row>
    <row r="4" spans="1:49" ht="9.9499999999999993" customHeight="1">
      <c r="B4" s="398"/>
      <c r="C4" s="118"/>
      <c r="D4" s="399"/>
      <c r="E4" s="398"/>
      <c r="F4" s="399"/>
      <c r="G4" s="994"/>
      <c r="H4" s="995"/>
      <c r="I4" s="995"/>
      <c r="J4" s="995"/>
      <c r="K4" s="996"/>
      <c r="U4" s="949" t="s">
        <v>1470</v>
      </c>
      <c r="V4" s="949"/>
      <c r="W4" s="949"/>
      <c r="AC4" s="921" t="s">
        <v>2195</v>
      </c>
      <c r="AD4" s="921"/>
      <c r="AE4" s="921"/>
      <c r="AF4" s="921"/>
      <c r="AG4" s="921"/>
      <c r="AH4" s="921"/>
    </row>
    <row r="5" spans="1:49" ht="9.9499999999999993" customHeight="1">
      <c r="B5" s="3"/>
      <c r="C5" s="3"/>
      <c r="D5" s="3"/>
      <c r="E5" s="49"/>
      <c r="F5" s="3"/>
      <c r="G5" s="3"/>
      <c r="H5" s="3"/>
      <c r="I5" s="31"/>
      <c r="J5" s="3"/>
      <c r="K5" s="4"/>
      <c r="U5" s="949"/>
      <c r="V5" s="949"/>
      <c r="W5" s="949"/>
      <c r="AC5" s="921"/>
      <c r="AD5" s="921"/>
      <c r="AE5" s="921"/>
      <c r="AF5" s="921"/>
      <c r="AG5" s="921"/>
      <c r="AH5" s="921"/>
    </row>
    <row r="6" spans="1:49" ht="9.9499999999999993" hidden="1" customHeight="1">
      <c r="B6" s="6"/>
      <c r="C6" s="6"/>
      <c r="D6" s="3"/>
      <c r="E6" s="3"/>
      <c r="F6" s="3"/>
      <c r="G6" s="3"/>
      <c r="H6" s="3"/>
      <c r="I6" s="3"/>
      <c r="J6" s="3"/>
      <c r="U6" s="949"/>
      <c r="V6" s="949"/>
      <c r="W6" s="949"/>
      <c r="AC6" s="921"/>
      <c r="AD6" s="921"/>
      <c r="AE6" s="921"/>
      <c r="AF6" s="921"/>
      <c r="AG6" s="921"/>
      <c r="AH6" s="921"/>
    </row>
    <row r="7" spans="1:49" ht="20.100000000000001" hidden="1" customHeight="1">
      <c r="B7" s="96" t="e">
        <f>#REF!</f>
        <v>#REF!</v>
      </c>
      <c r="C7" s="997" t="str">
        <f>IF(Projekt1="","",Projekt1)</f>
        <v/>
      </c>
      <c r="D7" s="997"/>
      <c r="E7" s="997"/>
      <c r="F7" s="997"/>
      <c r="G7" s="112" t="e">
        <f>#REF!</f>
        <v>#REF!</v>
      </c>
      <c r="H7" s="184" t="e">
        <f>IF(Projekt2="","",Projekt2)</f>
        <v>#REF!</v>
      </c>
      <c r="I7" s="112" t="e">
        <f>#REF!</f>
        <v>#REF!</v>
      </c>
      <c r="J7" s="998" t="e">
        <f>IF(Projekt3="","",Projekt3)</f>
        <v>#REF!</v>
      </c>
      <c r="K7" s="999"/>
      <c r="U7" s="949"/>
      <c r="V7" s="949"/>
      <c r="W7" s="949"/>
      <c r="AC7" s="921"/>
      <c r="AD7" s="921"/>
      <c r="AE7" s="921"/>
      <c r="AF7" s="921"/>
      <c r="AG7" s="921"/>
      <c r="AH7" s="921"/>
    </row>
    <row r="8" spans="1:49" ht="20.100000000000001" hidden="1" customHeight="1">
      <c r="B8" s="97" t="e">
        <f>#REF!</f>
        <v>#REF!</v>
      </c>
      <c r="C8" s="967" t="str">
        <f>IF(Projekt4="","",Projekt4)</f>
        <v/>
      </c>
      <c r="D8" s="967"/>
      <c r="E8" s="967"/>
      <c r="F8" s="967"/>
      <c r="G8" s="967"/>
      <c r="H8" s="967"/>
      <c r="I8" s="179"/>
      <c r="J8" s="968" t="e">
        <f>IF(#REF!="","",#REF!)</f>
        <v>#REF!</v>
      </c>
      <c r="K8" s="969"/>
      <c r="U8" s="949"/>
      <c r="V8" s="949"/>
      <c r="W8" s="949"/>
      <c r="AC8" s="921"/>
      <c r="AD8" s="921"/>
      <c r="AE8" s="921"/>
      <c r="AF8" s="921"/>
      <c r="AG8" s="921"/>
      <c r="AH8" s="921"/>
    </row>
    <row r="9" spans="1:49" ht="20.100000000000001" hidden="1" customHeight="1">
      <c r="U9" s="949"/>
      <c r="V9" s="949"/>
      <c r="W9" s="949"/>
      <c r="AC9" s="921"/>
      <c r="AD9" s="921"/>
      <c r="AE9" s="921"/>
      <c r="AF9" s="921"/>
      <c r="AG9" s="921"/>
      <c r="AH9" s="921"/>
    </row>
    <row r="10" spans="1:49" ht="1.1499999999999999" customHeight="1">
      <c r="B10" s="8"/>
      <c r="C10" s="8"/>
      <c r="D10" s="9"/>
      <c r="E10" s="9"/>
      <c r="F10" s="9"/>
      <c r="G10" s="9"/>
      <c r="U10" s="949"/>
      <c r="V10" s="949"/>
      <c r="W10" s="949"/>
      <c r="AC10" s="921"/>
      <c r="AD10" s="921"/>
      <c r="AE10" s="921"/>
      <c r="AF10" s="921"/>
      <c r="AG10" s="921"/>
      <c r="AH10" s="921"/>
    </row>
    <row r="11" spans="1:49" ht="6" customHeight="1">
      <c r="A11" s="634"/>
      <c r="F11" s="9"/>
      <c r="G11" s="9"/>
      <c r="U11" s="950"/>
      <c r="V11" s="950"/>
      <c r="W11" s="950"/>
      <c r="AC11" s="921"/>
      <c r="AD11" s="921"/>
      <c r="AE11" s="921"/>
      <c r="AF11" s="921"/>
      <c r="AG11" s="921"/>
      <c r="AH11" s="921"/>
    </row>
    <row r="12" spans="1:49" ht="18" customHeight="1">
      <c r="A12" s="634" t="s">
        <v>2808</v>
      </c>
      <c r="B12" s="96" t="str">
        <f>Uebersetzung!D356</f>
        <v>Nom du projet:</v>
      </c>
      <c r="C12" s="951"/>
      <c r="D12" s="951"/>
      <c r="E12" s="951"/>
      <c r="F12" s="951"/>
      <c r="G12" s="112" t="str">
        <f>Uebersetzung!D10</f>
        <v>N° cadastre:</v>
      </c>
      <c r="H12" s="798"/>
      <c r="I12" s="112" t="str">
        <f>Uebersetzung!D358</f>
        <v xml:space="preserve">N° MOP: </v>
      </c>
      <c r="J12" s="952"/>
      <c r="K12" s="953"/>
      <c r="N12" s="314"/>
      <c r="O12" s="198"/>
      <c r="P12" s="198">
        <v>1</v>
      </c>
      <c r="Q12" s="314"/>
      <c r="R12" s="198"/>
      <c r="S12" s="316">
        <v>1</v>
      </c>
      <c r="U12" s="91" t="s">
        <v>1392</v>
      </c>
      <c r="V12" s="658">
        <v>1</v>
      </c>
      <c r="W12" s="315">
        <v>2</v>
      </c>
      <c r="X12" s="315">
        <v>3</v>
      </c>
      <c r="Y12" s="56">
        <v>4</v>
      </c>
      <c r="Z12" s="409" t="s">
        <v>1413</v>
      </c>
    </row>
    <row r="13" spans="1:49" ht="18" customHeight="1">
      <c r="A13" s="634" t="s">
        <v>197</v>
      </c>
      <c r="B13" s="97" t="str">
        <f>Uebersetzung!D359</f>
        <v>Adresse du bâtiment:</v>
      </c>
      <c r="C13" s="960"/>
      <c r="D13" s="960"/>
      <c r="E13" s="960"/>
      <c r="F13" s="960"/>
      <c r="G13" s="960"/>
      <c r="H13" s="960"/>
      <c r="I13" s="801"/>
      <c r="J13" s="961"/>
      <c r="K13" s="962"/>
      <c r="N13" s="292" t="str">
        <f>Uebersetzung!D25</f>
        <v>oui</v>
      </c>
      <c r="O13" s="26" t="str">
        <f>Uebersetzung!D26</f>
        <v>non</v>
      </c>
      <c r="P13" s="26">
        <v>2</v>
      </c>
      <c r="Q13" s="292" t="str">
        <f>Uebersetzung!D23</f>
        <v>satisfait</v>
      </c>
      <c r="R13" s="26" t="str">
        <f>Uebersetzung!D24</f>
        <v>non satisfait</v>
      </c>
      <c r="S13" s="317">
        <v>2</v>
      </c>
      <c r="U13" s="314" t="s">
        <v>330</v>
      </c>
      <c r="V13" s="658" t="e">
        <f>IF(OR(_neu1,Kategorie1=13),TRUE,FALSE)</f>
        <v>#REF!</v>
      </c>
      <c r="W13" s="315" t="e">
        <f>IF(OR(_neu2,Kategorie2=13),TRUE,FALSE)</f>
        <v>#REF!</v>
      </c>
      <c r="X13" s="315" t="e">
        <f>IF(OR(_neu3,Kategorie3=13),TRUE,FALSE)</f>
        <v>#REF!</v>
      </c>
      <c r="Y13" s="659" t="e">
        <f>IF(OR(_neu4,Kategorie4=13),TRUE,FALSE)</f>
        <v>#REF!</v>
      </c>
      <c r="Z13" s="316"/>
      <c r="AC13" s="519" t="s">
        <v>330</v>
      </c>
      <c r="AD13" s="315" t="e">
        <f>_neu1</f>
        <v>#REF!</v>
      </c>
      <c r="AE13" s="315" t="b">
        <f>_neu2</f>
        <v>0</v>
      </c>
      <c r="AF13" s="315" t="b">
        <f>_neu3</f>
        <v>0</v>
      </c>
      <c r="AG13" s="659" t="b">
        <f>_neu4</f>
        <v>0</v>
      </c>
      <c r="AH13" s="507"/>
      <c r="AK13" s="696" t="str">
        <f>Uebersetzung!D25</f>
        <v>oui</v>
      </c>
      <c r="AL13" s="744">
        <v>1</v>
      </c>
      <c r="AM13" s="438"/>
      <c r="AN13" s="736" t="str">
        <f>Uebersetzung!D547</f>
        <v xml:space="preserve">Toit / plafond </v>
      </c>
      <c r="AO13" s="315" t="str">
        <f>Uebersetzung!D548</f>
        <v>Mur</v>
      </c>
      <c r="AP13" s="315" t="str">
        <f>Uebersetzung!D549</f>
        <v>Fenêtres</v>
      </c>
      <c r="AQ13" s="315" t="str">
        <f>Uebersetzung!D550</f>
        <v xml:space="preserve">Sol </v>
      </c>
      <c r="AR13" s="744" t="s">
        <v>1334</v>
      </c>
    </row>
    <row r="14" spans="1:49" ht="18" customHeight="1">
      <c r="A14" s="634"/>
      <c r="B14" s="802"/>
      <c r="C14" s="802"/>
      <c r="D14" s="963"/>
      <c r="E14" s="963"/>
      <c r="F14" s="963"/>
      <c r="G14" s="964"/>
      <c r="H14" s="964"/>
      <c r="I14" s="964"/>
      <c r="J14" s="964"/>
      <c r="K14" s="964"/>
      <c r="N14" s="117" t="str">
        <f>O13</f>
        <v>non</v>
      </c>
      <c r="O14" s="27"/>
      <c r="P14" s="27">
        <v>3</v>
      </c>
      <c r="Q14" s="117" t="str">
        <f>R13</f>
        <v>non satisfait</v>
      </c>
      <c r="R14" s="27"/>
      <c r="S14" s="87">
        <v>3</v>
      </c>
      <c r="U14" s="292" t="s">
        <v>243</v>
      </c>
      <c r="V14" s="712"/>
      <c r="W14" s="790" t="e">
        <f>IF(Zonen&gt;1,G30,0)</f>
        <v>#REF!</v>
      </c>
      <c r="X14" s="790" t="e">
        <f>IF(Zonen&gt;2,H30,0)</f>
        <v>#REF!</v>
      </c>
      <c r="Y14" s="713" t="e">
        <f>IF(Zonen&gt;3,I30,0)</f>
        <v>#REF!</v>
      </c>
      <c r="Z14" s="713" t="e">
        <f>IF(V17&gt;0,V14,0)+IF(W17&gt;0,W14,0)+IF(X17&gt;0,X14,0)+IF(Y17&gt;0,Y14,0)</f>
        <v>#REF!</v>
      </c>
      <c r="AA14" s="5" t="s">
        <v>163</v>
      </c>
      <c r="AC14" s="510" t="s">
        <v>243</v>
      </c>
      <c r="AD14" s="790"/>
      <c r="AE14" s="790" t="e">
        <f>IF(Zonen&gt;1,G30,0)</f>
        <v>#REF!</v>
      </c>
      <c r="AF14" s="790" t="e">
        <f>IF(Zonen&gt;2,H30,0)</f>
        <v>#REF!</v>
      </c>
      <c r="AG14" s="713" t="e">
        <f>IF(Zonen&gt;3,I30,0)</f>
        <v>#REF!</v>
      </c>
      <c r="AH14" s="508" t="e">
        <f>SUM(AD14:AG14)</f>
        <v>#REF!</v>
      </c>
      <c r="AI14" s="5" t="s">
        <v>163</v>
      </c>
      <c r="AK14" s="292" t="str">
        <f>Uebersetzung!D26</f>
        <v>non</v>
      </c>
      <c r="AL14" s="175">
        <v>0</v>
      </c>
      <c r="AM14" s="438"/>
      <c r="AN14" s="714">
        <f>IF(F25="",0,VLOOKUP(F25,$AK$13:$AL$15,2,0))</f>
        <v>0</v>
      </c>
      <c r="AO14" s="714">
        <f>IF(F26="",0,VLOOKUP(F26,$AK$13:$AL$15,2,0))</f>
        <v>0</v>
      </c>
      <c r="AP14" s="714">
        <f>IF(F27="",0,VLOOKUP(F27,$AK$13:$AL$15,2,0))</f>
        <v>0</v>
      </c>
      <c r="AQ14" s="714">
        <f>IF(F28="",0,VLOOKUP(F28,$AK$13:$AL$15,2,0))</f>
        <v>0</v>
      </c>
      <c r="AR14" s="333" t="b">
        <f>IF(SUM(AN14:AQ14)=4,TRUE,FALSE)</f>
        <v>0</v>
      </c>
    </row>
    <row r="15" spans="1:49" ht="18" customHeight="1">
      <c r="A15" s="634"/>
      <c r="B15" s="863">
        <f>Uebersetzung!D619</f>
        <v>0</v>
      </c>
      <c r="C15" s="803"/>
      <c r="D15" s="804"/>
      <c r="E15" s="804"/>
      <c r="F15" s="804"/>
      <c r="G15" s="856"/>
      <c r="H15" s="805"/>
      <c r="I15" s="954" t="e">
        <f>IF(AND(AT17,AU17,AV17,AW17),Uebersetzung!D582,Uebersetzung!D583)</f>
        <v>#N/A</v>
      </c>
      <c r="J15" s="955"/>
      <c r="K15" s="956"/>
      <c r="N15" s="117"/>
      <c r="O15" s="27"/>
      <c r="P15" s="27"/>
      <c r="Q15" s="27"/>
      <c r="R15" s="27"/>
      <c r="S15" s="87"/>
      <c r="U15" s="292"/>
      <c r="V15" s="712"/>
      <c r="W15" s="790"/>
      <c r="X15" s="790"/>
      <c r="Y15" s="713"/>
      <c r="Z15" s="713"/>
      <c r="AC15" s="510"/>
      <c r="AD15" s="790"/>
      <c r="AE15" s="790"/>
      <c r="AF15" s="790"/>
      <c r="AG15" s="713"/>
      <c r="AH15" s="508"/>
      <c r="AK15" s="117" t="s">
        <v>117</v>
      </c>
      <c r="AL15" s="176">
        <v>0</v>
      </c>
      <c r="AM15" s="438"/>
      <c r="AN15" s="714"/>
      <c r="AO15" s="322"/>
      <c r="AP15" s="322"/>
      <c r="AQ15" s="322"/>
      <c r="AR15" s="781"/>
    </row>
    <row r="16" spans="1:49" ht="18" customHeight="1">
      <c r="A16" s="634" t="s">
        <v>198</v>
      </c>
      <c r="B16" s="864" t="str">
        <f>Uebersetzung!D33</f>
        <v>Surface de référence énergétique SRE</v>
      </c>
      <c r="C16" s="822"/>
      <c r="D16" s="38" t="s">
        <v>81</v>
      </c>
      <c r="E16" s="38" t="s">
        <v>163</v>
      </c>
      <c r="F16" s="858"/>
      <c r="H16" s="808"/>
      <c r="J16" s="809"/>
      <c r="K16" s="810"/>
      <c r="N16" s="117" t="s">
        <v>1392</v>
      </c>
      <c r="O16" s="714">
        <v>1</v>
      </c>
      <c r="P16" s="322">
        <v>2</v>
      </c>
      <c r="Q16" s="322">
        <v>3</v>
      </c>
      <c r="R16" s="715">
        <v>4</v>
      </c>
      <c r="S16" s="715" t="s">
        <v>1398</v>
      </c>
      <c r="U16" s="292" t="s">
        <v>1469</v>
      </c>
      <c r="V16" s="370" t="e">
        <f>#REF!</f>
        <v>#REF!</v>
      </c>
      <c r="W16" s="366" t="e">
        <f>#REF!</f>
        <v>#REF!</v>
      </c>
      <c r="X16" s="366" t="e">
        <f>#REF!</f>
        <v>#REF!</v>
      </c>
      <c r="Y16" s="410" t="e">
        <f>#REF!</f>
        <v>#REF!</v>
      </c>
      <c r="Z16" s="317"/>
      <c r="AA16" s="5" t="s">
        <v>256</v>
      </c>
      <c r="AC16" s="522" t="s">
        <v>2191</v>
      </c>
      <c r="AD16" s="790" t="e">
        <f>IF(AD13,AD14,0)</f>
        <v>#REF!</v>
      </c>
      <c r="AE16" s="790" t="e">
        <f>IF(Zonen&gt;1,IF(AE13,AE14,0),0)</f>
        <v>#REF!</v>
      </c>
      <c r="AF16" s="790" t="e">
        <f>IF(Zonen&gt;2,IF(AF13,AF14,0),0)</f>
        <v>#REF!</v>
      </c>
      <c r="AG16" s="713" t="e">
        <f>IF(Zonen&gt;3,IF(AG13,AG14,0),0)</f>
        <v>#REF!</v>
      </c>
      <c r="AH16" s="521" t="e">
        <f>SUM(AD16:AG16)</f>
        <v>#REF!</v>
      </c>
      <c r="AI16" s="5" t="s">
        <v>163</v>
      </c>
      <c r="AK16" s="91" t="s">
        <v>2778</v>
      </c>
      <c r="AL16" s="90">
        <f>IF(D20="",0,VLOOKUP(D20,AK17:AL22,2,0))</f>
        <v>0</v>
      </c>
      <c r="AM16" s="438"/>
      <c r="AN16" s="89"/>
      <c r="AO16" s="89"/>
      <c r="AP16" s="89"/>
      <c r="AQ16" s="89"/>
      <c r="AR16" s="332"/>
      <c r="AT16" s="696" t="s">
        <v>2883</v>
      </c>
      <c r="AU16" s="198" t="s">
        <v>2884</v>
      </c>
      <c r="AV16" s="198" t="s">
        <v>2885</v>
      </c>
      <c r="AW16" s="464" t="s">
        <v>325</v>
      </c>
    </row>
    <row r="17" spans="1:49" ht="18" customHeight="1">
      <c r="A17" s="634" t="s">
        <v>199</v>
      </c>
      <c r="B17" s="794" t="str">
        <f>Uebersetzung!D639</f>
        <v>Extension SRE</v>
      </c>
      <c r="C17" s="657"/>
      <c r="D17" s="34" t="s">
        <v>81</v>
      </c>
      <c r="E17" s="34" t="s">
        <v>163</v>
      </c>
      <c r="F17" s="861"/>
      <c r="K17" s="317"/>
      <c r="N17" s="335" t="s">
        <v>1391</v>
      </c>
      <c r="O17" s="319" t="e">
        <f>IF(Kategorie1&lt;&gt;13,#REF!*#REF!+(#REF!+#REF!)*2,0)</f>
        <v>#REF!</v>
      </c>
      <c r="P17" s="313" t="e">
        <f>IF(Kategorie2&lt;&gt;13,#REF!*#REF!+(#REF!+#REF!)*2,0)</f>
        <v>#REF!</v>
      </c>
      <c r="Q17" s="313" t="e">
        <f>IF(Kategorie3&lt;&gt;13,#REF!*#REF!+(#REF!+#REF!)*2,0)</f>
        <v>#REF!</v>
      </c>
      <c r="R17" s="320" t="e">
        <f>IF(Kategorie4&lt;&gt;13,#REF!*#REF!+(#REF!+#REF!)*2,0)</f>
        <v>#REF!</v>
      </c>
      <c r="S17" s="338" t="e">
        <f>IF(EBF=0,0,(O17*_EBF1+P17*_EBF2+Q17*_EBF3+R17*_EBF4)/(_EBF1+_EBF2+_EBF3+_EBF4))</f>
        <v>#REF!</v>
      </c>
      <c r="T17" s="5" t="s">
        <v>256</v>
      </c>
      <c r="U17" s="117" t="s">
        <v>332</v>
      </c>
      <c r="V17" s="411" t="e">
        <f>IF(V13,#REF!,#REF!)</f>
        <v>#REF!</v>
      </c>
      <c r="W17" s="408" t="e">
        <f>IF(W13,#REF!,#REF!)</f>
        <v>#REF!</v>
      </c>
      <c r="X17" s="408" t="e">
        <f>IF(X13,#REF!,#REF!)</f>
        <v>#REF!</v>
      </c>
      <c r="Y17" s="412" t="e">
        <f>IF(Y13,#REF!,#REF!)</f>
        <v>#REF!</v>
      </c>
      <c r="Z17" s="87"/>
      <c r="AC17" s="510" t="s">
        <v>1469</v>
      </c>
      <c r="AD17" s="366" t="e">
        <f>#REF!</f>
        <v>#REF!</v>
      </c>
      <c r="AE17" s="366" t="e">
        <f>#REF!</f>
        <v>#REF!</v>
      </c>
      <c r="AF17" s="366" t="e">
        <f>#REF!</f>
        <v>#REF!</v>
      </c>
      <c r="AG17" s="410" t="e">
        <f>#REF!</f>
        <v>#REF!</v>
      </c>
      <c r="AH17" s="509"/>
      <c r="AI17" s="5" t="s">
        <v>256</v>
      </c>
      <c r="AK17" s="332" t="str">
        <f>Uebersetzung!D541</f>
        <v>Système 1</v>
      </c>
      <c r="AL17" s="712">
        <v>1</v>
      </c>
      <c r="AM17" s="591">
        <f>IF(AL17=AL$16,1,0)</f>
        <v>0</v>
      </c>
      <c r="AN17" s="315" t="s">
        <v>2784</v>
      </c>
      <c r="AO17" s="315" t="s">
        <v>2786</v>
      </c>
      <c r="AP17" s="315" t="s">
        <v>2791</v>
      </c>
      <c r="AQ17" s="315" t="s">
        <v>2786</v>
      </c>
      <c r="AR17" s="332" t="b">
        <f>IF(F19=AT21,AND(AO37&lt;=2,IF(F17&gt;=1,AND($I$25=$AK$13,$I$26=$AK$13,$I$27=$AK$13,$I$28=$AK$13),TRUE)),AND($F$25=$AK$13,$F$26=$AK$13,$F$27=$AK$13,$F$28=$AK$13,$D$20=$AK$17,IF(G24=Uebersetzung!D638,AND(I25=AK13,I26=AK13,I27=AK13,I28=AK13),TRUE)))</f>
        <v>0</v>
      </c>
      <c r="AT17" s="117" t="e">
        <f>VLOOKUP(D20,AK17:AR22,8,0)</f>
        <v>#N/A</v>
      </c>
      <c r="AU17" s="27" t="e">
        <f>IF(OR(AR23=1,AR23=3,AR23=4),TRUE,IF(AND(AR23=2,F33&lt;=50),TRUE,IF(AND(AR23=5,F33&lt;=35),TRUE,FALSE)))</f>
        <v>#N/A</v>
      </c>
      <c r="AV17" s="27" t="e">
        <f>IF(OR(AR23=2,AR23=3,AR23=5),TRUE,IF(OR(AND(AR23=1,F35&gt;=ROUND(AO3*0.02,0)),AND(AR23=4,F35&gt;=ROUND(AO3*0.02,0))),TRUE,FALSE))</f>
        <v>#N/A</v>
      </c>
      <c r="AW17" s="87" t="e">
        <f>IF(OR(AND(AR23=1,OR(AU37=1,AU37=3,AU37=4)),AND(AR23&lt;&gt;1,F37&lt;=33),AND(AR23,F37&gt;33,OR(AU37=1,AU37=3,AU37=4))),TRUE,FALSE)</f>
        <v>#N/A</v>
      </c>
    </row>
    <row r="18" spans="1:49" ht="18" customHeight="1">
      <c r="A18" s="634" t="s">
        <v>200</v>
      </c>
      <c r="B18" s="965" t="str">
        <f>Uebersetzung!D500</f>
        <v>Gebäudekategorie</v>
      </c>
      <c r="C18" s="966"/>
      <c r="D18" s="811"/>
      <c r="E18" s="812"/>
      <c r="F18" s="813"/>
      <c r="G18" s="814"/>
      <c r="H18" s="814"/>
      <c r="I18" s="814"/>
      <c r="J18" s="814"/>
      <c r="K18" s="815"/>
      <c r="N18" s="314" t="s">
        <v>1394</v>
      </c>
      <c r="O18" s="658">
        <f>IF(F36&gt;0,1,IF(F26=$N$13,0.9,1))</f>
        <v>1</v>
      </c>
      <c r="P18" s="315" t="e">
        <f>IF(G20&gt;0,1,IF(#REF!=$N$13,0.9,1))</f>
        <v>#REF!</v>
      </c>
      <c r="Q18" s="315" t="e">
        <f>IF(H20&gt;0,1,IF(#REF!=$N$13,0.9,1))</f>
        <v>#REF!</v>
      </c>
      <c r="R18" s="659" t="e">
        <f>IF(I20&gt;0,1,IF(#REF!=$N$13,0.9,1))</f>
        <v>#REF!</v>
      </c>
      <c r="S18" s="316"/>
      <c r="U18" s="339" t="s">
        <v>1468</v>
      </c>
      <c r="V18" s="346" t="e">
        <f>IF(V17&lt;&gt;"",V17*V16,)</f>
        <v>#REF!</v>
      </c>
      <c r="W18" s="346" t="e">
        <f>IF(W17&lt;&gt;"",W17*W16,)</f>
        <v>#REF!</v>
      </c>
      <c r="X18" s="346" t="e">
        <f>IF(X17&lt;&gt;"",X17*X16,)</f>
        <v>#REF!</v>
      </c>
      <c r="Y18" s="346" t="e">
        <f>IF(Y17&lt;&gt;"",Y17*Y16,)</f>
        <v>#REF!</v>
      </c>
      <c r="Z18" s="340" t="e">
        <f>IF(Z14&gt;0,(V18*V14+W18*W14+X18*X14+Y18*Y14)/Z14,)</f>
        <v>#REF!</v>
      </c>
      <c r="AA18" s="5" t="s">
        <v>256</v>
      </c>
      <c r="AB18" s="476" t="s">
        <v>2200</v>
      </c>
      <c r="AC18" s="510" t="s">
        <v>2196</v>
      </c>
      <c r="AD18" s="504" t="e">
        <f>IF($AH$16&gt;0,IF(Zonen&gt;0,IF(AD13,AD17*AD16*0.3,0),0)/$AH$16,0)</f>
        <v>#REF!</v>
      </c>
      <c r="AE18" s="504" t="e">
        <f>IF($AH$16&gt;0,IF(Zonen&gt;1,IF(AE13,AE17*AE16*0.3,0),0)/$AH$16,0)</f>
        <v>#REF!</v>
      </c>
      <c r="AF18" s="504" t="e">
        <f>IF($AH$16&gt;0,IF(Zonen&gt;2,IF(AF13,AF17*AF16*0.3,0),0)/$AH$16,0)</f>
        <v>#REF!</v>
      </c>
      <c r="AG18" s="515" t="e">
        <f>IF($AH$16&gt;0,IF(Zonen&gt;3,IF(AG13,AG17*AG16*0.3,0),0)/$AH$16,0)</f>
        <v>#REF!</v>
      </c>
      <c r="AH18" s="512" t="e">
        <f>SUM(AD18:AG18)</f>
        <v>#REF!</v>
      </c>
      <c r="AI18" s="5" t="s">
        <v>256</v>
      </c>
      <c r="AK18" s="332" t="str">
        <f>Uebersetzung!D542</f>
        <v>Système 2</v>
      </c>
      <c r="AL18" s="712">
        <v>2</v>
      </c>
      <c r="AM18" s="591">
        <f t="shared" ref="AM18:AM20" si="0">IF(AL18=AL$16,1,0)</f>
        <v>0</v>
      </c>
      <c r="AN18" s="790" t="s">
        <v>2785</v>
      </c>
      <c r="AO18" s="790" t="s">
        <v>2787</v>
      </c>
      <c r="AP18" s="790" t="s">
        <v>2791</v>
      </c>
      <c r="AQ18" s="790" t="s">
        <v>2786</v>
      </c>
      <c r="AR18" s="332" t="b">
        <f>IF(F19=AT21,AND(AO37&lt;=3,IF(F17&gt;=1,AND($I$25=$AK$13,$I$26=$AK$13,$I$27=$AK$13,$I$28=$AK$13),TRUE)),AND($F$25=$AK$13,$F$26=$AK$13,$F$27=$AK$13,$F$28=$AK$13,$D$20=$AK$18,IF(G24=Uebersetzung!D638,AND(I25=AK13,I26=AK13,I27=AK13,I28=AK13),TRUE)))</f>
        <v>0</v>
      </c>
    </row>
    <row r="19" spans="1:49" ht="18" customHeight="1">
      <c r="A19" s="634" t="s">
        <v>201</v>
      </c>
      <c r="B19" s="304" t="str">
        <f>Uebersetzung!D634</f>
        <v>Justificatif optionnel pour l'enveloppe du bâtiment</v>
      </c>
      <c r="C19" s="854"/>
      <c r="D19" s="829"/>
      <c r="E19" s="829"/>
      <c r="F19" s="855"/>
      <c r="G19" s="814"/>
      <c r="H19" s="814"/>
      <c r="I19" s="814"/>
      <c r="J19" s="814"/>
      <c r="K19" s="815"/>
      <c r="L19" s="45"/>
      <c r="N19" s="292" t="s">
        <v>1395</v>
      </c>
      <c r="O19" s="712">
        <f>IF(F36&gt;0,1,IF(F27=$N$13,0.9,1))</f>
        <v>1</v>
      </c>
      <c r="P19" s="790" t="e">
        <f>IF(G20&gt;0,1,IF(#REF!=$N$13,0.9,1))</f>
        <v>#REF!</v>
      </c>
      <c r="Q19" s="790" t="e">
        <f>IF(H20&gt;0,1,IF(#REF!=$N$13,0.9,1))</f>
        <v>#REF!</v>
      </c>
      <c r="R19" s="713" t="e">
        <f>IF(I20&gt;0,1,IF(#REF!=$N$13,0.9,1))</f>
        <v>#REF!</v>
      </c>
      <c r="S19" s="317"/>
      <c r="AB19" s="476"/>
      <c r="AC19" s="510" t="s">
        <v>2197</v>
      </c>
      <c r="AD19" s="504" t="e">
        <f>IF($AH$16&gt;0,IF(Zonen&gt;0,IF(AD13,_qw1*AD16,0),0)/$AH$16,0)</f>
        <v>#REF!</v>
      </c>
      <c r="AE19" s="504" t="e">
        <f>IF($AH$16&gt;0,IF(Zonen&gt;1,IF(AE13,_qw2*AE16,0),0)/$AH$16,0)</f>
        <v>#REF!</v>
      </c>
      <c r="AF19" s="504" t="e">
        <f>IF($AH$16&gt;0,IF(Zonen&gt;2,IF(AF13,_qw3*AF16,0),0)/$AH$16,0)</f>
        <v>#REF!</v>
      </c>
      <c r="AG19" s="515" t="e">
        <f>IF($AH$16&gt;0,IF(Zonen&gt;3,IF(AG13,_qw4*AG16,0),0)/$AH$16,0)</f>
        <v>#REF!</v>
      </c>
      <c r="AH19" s="512" t="e">
        <f>SUM(AD19:AG19)</f>
        <v>#REF!</v>
      </c>
      <c r="AI19" s="5" t="s">
        <v>256</v>
      </c>
      <c r="AK19" s="332" t="str">
        <f>Uebersetzung!D543</f>
        <v>Système 3</v>
      </c>
      <c r="AL19" s="712">
        <v>3</v>
      </c>
      <c r="AM19" s="591">
        <f>IF(AL19=AL$16,1,0)</f>
        <v>0</v>
      </c>
      <c r="AN19" s="790" t="s">
        <v>2786</v>
      </c>
      <c r="AO19" s="790" t="s">
        <v>2788</v>
      </c>
      <c r="AP19" s="790" t="s">
        <v>2791</v>
      </c>
      <c r="AQ19" s="790" t="s">
        <v>2786</v>
      </c>
      <c r="AR19" s="332" t="b">
        <f>IF(F19=AT21,AND(AO37&lt;=3,IF(F17&gt;=1,AND($I$25=$AK$13,$I$26=$AK$13,$I$27=$AK$13,$I$28=$AK$13),TRUE)),AND($F$25=$AK$13,$F$26=$AK$13,$F$27=$AK$13,$F$28=$AK$13,$D$20=$AK$19,IF(G24=Uebersetzung!D638,AND(I25=AK13,I26=AK13,I27=AK13,I28=AK13),TRUE)))</f>
        <v>0</v>
      </c>
      <c r="AU19" s="702">
        <f>IF(F19="",0,VLOOKUP(F19,$AT$20:$AU$21,2,0))</f>
        <v>0</v>
      </c>
    </row>
    <row r="20" spans="1:49" ht="18" customHeight="1">
      <c r="A20" s="634" t="s">
        <v>2809</v>
      </c>
      <c r="B20" s="792" t="str">
        <f>Uebersetzung!D546&amp;"  "</f>
        <v xml:space="preserve">Solution standard  </v>
      </c>
      <c r="C20" s="859"/>
      <c r="D20" s="957"/>
      <c r="E20" s="958"/>
      <c r="F20" s="959"/>
      <c r="G20" s="814"/>
      <c r="H20" s="814"/>
      <c r="I20" s="814"/>
      <c r="J20" s="814"/>
      <c r="K20" s="815"/>
      <c r="N20" s="336" t="s">
        <v>1393</v>
      </c>
      <c r="O20" s="481" t="e">
        <f>F18*#REF!</f>
        <v>#REF!</v>
      </c>
      <c r="P20" s="482" t="e">
        <f>G19*#REF!</f>
        <v>#REF!</v>
      </c>
      <c r="Q20" s="482" t="e">
        <f>H19*#REF!</f>
        <v>#REF!</v>
      </c>
      <c r="R20" s="483" t="e">
        <f>I19*#REF!</f>
        <v>#REF!</v>
      </c>
      <c r="S20" s="337" t="e">
        <f>IF(EBF=0,0,(O20*_EBF1+P20*_EBF2+Q20*_EBF3+R20*_EBF4)/(_EBF1+_EBF2+_EBF3+_EBF4))</f>
        <v>#REF!</v>
      </c>
      <c r="T20" s="5" t="s">
        <v>256</v>
      </c>
      <c r="AB20" s="476" t="s">
        <v>2200</v>
      </c>
      <c r="AC20" s="520" t="s">
        <v>2198</v>
      </c>
      <c r="AD20" s="482" t="e">
        <f>AD19*0.3</f>
        <v>#REF!</v>
      </c>
      <c r="AE20" s="482" t="e">
        <f t="shared" ref="AE20:AG20" si="1">AE19*0.3</f>
        <v>#REF!</v>
      </c>
      <c r="AF20" s="482" t="e">
        <f t="shared" si="1"/>
        <v>#REF!</v>
      </c>
      <c r="AG20" s="483" t="e">
        <f t="shared" si="1"/>
        <v>#REF!</v>
      </c>
      <c r="AH20" s="513" t="e">
        <f>SUM(AD20:AG20)</f>
        <v>#REF!</v>
      </c>
      <c r="AI20" s="5" t="s">
        <v>256</v>
      </c>
      <c r="AK20" s="332" t="str">
        <f>Uebersetzung!D544</f>
        <v>Système 4</v>
      </c>
      <c r="AL20" s="712">
        <v>4</v>
      </c>
      <c r="AM20" s="591">
        <f t="shared" si="0"/>
        <v>0</v>
      </c>
      <c r="AN20" s="790" t="s">
        <v>2784</v>
      </c>
      <c r="AO20" s="790" t="s">
        <v>2789</v>
      </c>
      <c r="AP20" s="790" t="s">
        <v>2791</v>
      </c>
      <c r="AQ20" s="790" t="s">
        <v>2786</v>
      </c>
      <c r="AR20" s="332" t="b">
        <f>IF(F19=AT21,AND(AO37&lt;=3,IF(F17&gt;=1,AND($I$25=$AK$13,$I$26=$AK$13,$I$27=$AK$13,$I$28=$AK$13),TRUE)),AND($F$25=$AK$13,$F$26=$AK$13,$F$27=$AK$13,$F$28=$AK$13,$D$20=$AK$20,IF(G24=Uebersetzung!D638,AND(I25=AK13,I26=AK13,I27=AK13,I28=AK13),TRUE)))</f>
        <v>0</v>
      </c>
      <c r="AT20" s="696" t="str">
        <f>Uebersetzung!D635</f>
        <v>Valeurs U</v>
      </c>
      <c r="AU20" s="781">
        <v>1</v>
      </c>
    </row>
    <row r="21" spans="1:49" ht="18" customHeight="1">
      <c r="A21" s="634" t="s">
        <v>202</v>
      </c>
      <c r="B21" s="860" t="str">
        <f>IF(AND(D20=AK25,F19=AT20),Uebersetzung!D643," ")</f>
        <v xml:space="preserve"> </v>
      </c>
      <c r="K21" s="317"/>
      <c r="N21" s="91" t="s">
        <v>1411</v>
      </c>
      <c r="O21" s="90" t="e">
        <f>IF(wohnen1,#REF!*20,0)</f>
        <v>#REF!</v>
      </c>
      <c r="P21" s="99" t="e">
        <f>IF(wohnen2,G24*20,0)</f>
        <v>#REF!</v>
      </c>
      <c r="Q21" s="99" t="e">
        <f>IF(wohnen3,H24*20,0)</f>
        <v>#REF!</v>
      </c>
      <c r="R21" s="309" t="e">
        <f>IF(wohnen4,I24*20,0)</f>
        <v>#REF!</v>
      </c>
      <c r="S21" s="306" t="e">
        <f>SUM(O21:R21)</f>
        <v>#REF!</v>
      </c>
      <c r="T21" s="5" t="s">
        <v>333</v>
      </c>
      <c r="U21" s="791" t="s">
        <v>1890</v>
      </c>
      <c r="AC21" s="335" t="s">
        <v>2199</v>
      </c>
      <c r="AD21" s="319" t="e">
        <f>AD20+AD18</f>
        <v>#REF!</v>
      </c>
      <c r="AE21" s="313" t="e">
        <f>AE20+AE18</f>
        <v>#REF!</v>
      </c>
      <c r="AF21" s="313" t="e">
        <f>AF20+AF18</f>
        <v>#REF!</v>
      </c>
      <c r="AG21" s="320" t="e">
        <f>AG20+AG18</f>
        <v>#REF!</v>
      </c>
      <c r="AH21" s="516" t="e">
        <f>SUM(AD21:AG21)</f>
        <v>#REF!</v>
      </c>
      <c r="AI21" s="5" t="s">
        <v>256</v>
      </c>
      <c r="AK21" s="333" t="str">
        <f>Uebersetzung!D545</f>
        <v>Système 5</v>
      </c>
      <c r="AL21" s="714">
        <v>5</v>
      </c>
      <c r="AM21" s="591">
        <f>IF(AL21=AL$16,1,0)</f>
        <v>0</v>
      </c>
      <c r="AN21" s="322" t="s">
        <v>2784</v>
      </c>
      <c r="AO21" s="322" t="s">
        <v>2790</v>
      </c>
      <c r="AP21" s="322" t="s">
        <v>2792</v>
      </c>
      <c r="AQ21" s="322" t="s">
        <v>2786</v>
      </c>
      <c r="AR21" s="332" t="b">
        <f>IF(F19=AT21,AND(AO37&lt;=3,IF(F17&gt;=1,AND($I$25=$AK$13,$I$26=$AK$13,$I$27=$AK$13,$I$28=$AK$13),TRUE)),AND($F$25=$AK$13,$F$26=$AK$13,$F$27=$AK$13,$F$28=$AK$13,$D$20=$AK$21,IF(G24=Uebersetzung!D638,AND(I25=AK13,I26=AK13,I27=AK13,I28=AK13),TRUE)))</f>
        <v>0</v>
      </c>
      <c r="AT21" s="117" t="str">
        <f>Uebersetzung!D636</f>
        <v>CECB</v>
      </c>
      <c r="AU21" s="333">
        <v>2</v>
      </c>
    </row>
    <row r="22" spans="1:49" ht="18" customHeight="1">
      <c r="A22" s="634" t="s">
        <v>2810</v>
      </c>
      <c r="B22" s="905" t="e">
        <f>IF(F17/AO3&gt;1/3,Uebersetzung!D648," ")</f>
        <v>#DIV/0!</v>
      </c>
      <c r="K22" s="317"/>
      <c r="AC22" s="702" t="s">
        <v>2731</v>
      </c>
      <c r="AH22" s="703">
        <v>0.3</v>
      </c>
      <c r="AK22" s="5" t="str">
        <f>Uebersetzung!D642</f>
        <v>Systèmes 2-4</v>
      </c>
      <c r="AL22" s="5">
        <v>6</v>
      </c>
      <c r="AM22" s="591">
        <f>IF(AL22=AL$16,1,0)</f>
        <v>0</v>
      </c>
      <c r="AN22" s="322" t="s">
        <v>2895</v>
      </c>
      <c r="AO22" s="789" t="s">
        <v>2895</v>
      </c>
      <c r="AP22" s="789" t="s">
        <v>2896</v>
      </c>
      <c r="AQ22" s="789" t="s">
        <v>2895</v>
      </c>
      <c r="AR22" s="333" t="b">
        <f>IF(F19=AT21,AND(AO37&lt;=3,IF(F17&gt;=1,AND($I$25=$AK$13,$I$26=$AK$13,$I$27=$AK$13,$I$28=$AK$13),TRUE)),FALSE)</f>
        <v>0</v>
      </c>
      <c r="AS22" s="5" t="b">
        <f>AND($I$25=$AK$13,$I$26=$AK$13,$I$27=$AK$13,$I$28=$AK$13,OR(AR17,AR18,AR19,AR20,AR21))</f>
        <v>0</v>
      </c>
    </row>
    <row r="23" spans="1:49" ht="18" customHeight="1">
      <c r="A23" s="634" t="s">
        <v>203</v>
      </c>
      <c r="B23" s="972"/>
      <c r="C23" s="973"/>
      <c r="K23" s="317"/>
      <c r="N23" s="91" t="s">
        <v>71</v>
      </c>
      <c r="O23" s="91" t="e">
        <f>IF(#REF!=$N$13,TRUE,FALSE)</f>
        <v>#REF!</v>
      </c>
      <c r="P23" s="89" t="b">
        <f>IF(G31=$N$13,TRUE,FALSE)</f>
        <v>0</v>
      </c>
      <c r="Q23" s="89" t="b">
        <f>IF(H31=$N$13,TRUE,FALSE)</f>
        <v>0</v>
      </c>
      <c r="R23" s="116" t="b">
        <f>IF(I31=$N$13,TRUE,FALSE)</f>
        <v>0</v>
      </c>
      <c r="S23" s="467"/>
      <c r="AH23" s="506">
        <f t="shared" ref="AH23:AH25" si="2">SUM(AD23:AG23)</f>
        <v>0</v>
      </c>
      <c r="AN23" s="91" t="s">
        <v>159</v>
      </c>
      <c r="AO23" s="89"/>
      <c r="AP23" s="89"/>
      <c r="AQ23" s="116"/>
      <c r="AR23" s="306" t="e">
        <f>IF(D20&lt;&gt;AK17,VLOOKUP(D30,AN25:AR28,5,0),IF(D30="",0,VLOOKUP(D30,AN24:AR28,5,0)))</f>
        <v>#N/A</v>
      </c>
    </row>
    <row r="24" spans="1:49" ht="18" customHeight="1">
      <c r="A24" s="634" t="s">
        <v>204</v>
      </c>
      <c r="B24" s="974"/>
      <c r="C24" s="975"/>
      <c r="D24" s="976" t="e">
        <f>IF(OR(F17=0,F17&gt;50,F17/F16&gt;0.2),Uebersetzung!D637,Uebersetzung!D637)</f>
        <v>#DIV/0!</v>
      </c>
      <c r="E24" s="976"/>
      <c r="F24" s="976"/>
      <c r="G24" s="977" t="str">
        <f>IF(F17&gt;=1,Uebersetzung!D638," ")</f>
        <v xml:space="preserve"> </v>
      </c>
      <c r="H24" s="977"/>
      <c r="I24" s="977"/>
      <c r="J24" s="814"/>
      <c r="K24" s="815"/>
      <c r="AH24" s="506">
        <f t="shared" si="2"/>
        <v>0</v>
      </c>
      <c r="AK24" s="5" t="str">
        <f>Uebersetzung!D541</f>
        <v>Système 1</v>
      </c>
      <c r="AM24" s="591"/>
      <c r="AN24" s="696" t="str">
        <f>IF(AL16=1,Uebersetzung!D552,"")</f>
        <v/>
      </c>
      <c r="AO24" s="198"/>
      <c r="AP24" s="198"/>
      <c r="AQ24" s="735"/>
      <c r="AR24" s="737">
        <v>1</v>
      </c>
      <c r="AT24" s="781" t="str">
        <f>Uebersetzung!D625</f>
        <v>Chauffage par le sol</v>
      </c>
    </row>
    <row r="25" spans="1:49" ht="18" customHeight="1">
      <c r="A25" s="634" t="s">
        <v>2811</v>
      </c>
      <c r="B25" s="795" t="str">
        <f>Uebersetzung!D547</f>
        <v xml:space="preserve">Toit / plafond </v>
      </c>
      <c r="C25" s="807"/>
      <c r="D25" s="866" t="str">
        <f>IF(F19=AT20,INDEX($AN$17:$AQ$21,$AL$16,1)," ")</f>
        <v xml:space="preserve"> </v>
      </c>
      <c r="E25" s="793" t="s">
        <v>2794</v>
      </c>
      <c r="F25" s="857"/>
      <c r="G25" s="30" t="str">
        <f>IF(F17&gt;=1,AN22," ")</f>
        <v xml:space="preserve"> </v>
      </c>
      <c r="H25" s="30" t="str">
        <f>IF(F17&gt;=1,"W/m2K"," ")</f>
        <v xml:space="preserve"> </v>
      </c>
      <c r="I25" s="908" t="s">
        <v>72</v>
      </c>
      <c r="J25" s="808"/>
      <c r="K25" s="815"/>
      <c r="N25" s="341" t="s">
        <v>1415</v>
      </c>
      <c r="O25" s="342"/>
      <c r="P25" s="342"/>
      <c r="Q25" s="342"/>
      <c r="R25" s="342"/>
      <c r="S25" s="343"/>
      <c r="AH25" s="506">
        <f t="shared" si="2"/>
        <v>0</v>
      </c>
      <c r="AK25" s="5" t="str">
        <f>Uebersetzung!D642</f>
        <v>Systèmes 2-4</v>
      </c>
      <c r="AN25" s="292" t="str">
        <f>Uebersetzung!D553</f>
        <v xml:space="preserve">Pompe à chaleur saumure/eau jusqu'à 50°C pour température de départ  </v>
      </c>
      <c r="AO25" s="26"/>
      <c r="AP25" s="26"/>
      <c r="AQ25" s="317"/>
      <c r="AR25" s="713">
        <v>2</v>
      </c>
      <c r="AT25" s="333" t="str">
        <f>Uebersetzung!D626</f>
        <v>Corps de chauffe</v>
      </c>
    </row>
    <row r="26" spans="1:49" ht="18" customHeight="1">
      <c r="A26" s="634" t="s">
        <v>2812</v>
      </c>
      <c r="B26" s="794" t="str">
        <f>Uebersetzung!D548</f>
        <v>Mur</v>
      </c>
      <c r="C26" s="818"/>
      <c r="D26" s="34" t="str">
        <f>IF(F19=AT20,INDEX($AN$17:$AQ$21,$AL$16,2)," ")</f>
        <v xml:space="preserve"> </v>
      </c>
      <c r="E26" s="800" t="s">
        <v>2794</v>
      </c>
      <c r="F26" s="842"/>
      <c r="G26" s="30" t="str">
        <f>IF(F17&gt;=1,AO22," ")</f>
        <v xml:space="preserve"> </v>
      </c>
      <c r="H26" s="30" t="str">
        <f>IF(F17&gt;=1,"W/m2K"," ")</f>
        <v xml:space="preserve"> </v>
      </c>
      <c r="I26" s="908" t="s">
        <v>72</v>
      </c>
      <c r="J26" s="808"/>
      <c r="K26" s="815"/>
      <c r="N26" s="335" t="s">
        <v>1415</v>
      </c>
      <c r="O26" s="90">
        <v>1</v>
      </c>
      <c r="P26" s="99">
        <v>2</v>
      </c>
      <c r="Q26" s="99">
        <v>3</v>
      </c>
      <c r="R26" s="309">
        <v>4</v>
      </c>
      <c r="S26" s="328" t="s">
        <v>1413</v>
      </c>
      <c r="U26" s="339" t="s">
        <v>1891</v>
      </c>
      <c r="V26" s="330" t="e">
        <f>IF(V17&gt;0,_qhs1/3.6,)</f>
        <v>#REF!</v>
      </c>
      <c r="W26" s="330" t="e">
        <f>IF(W17&gt;0,IF(Zonen&gt;1,_qhs2/3.6,0),)</f>
        <v>#REF!</v>
      </c>
      <c r="X26" s="330" t="e">
        <f>IF(X17&gt;0,IF(Zonen&gt;2,_qhs3/3.6,0),)</f>
        <v>#REF!</v>
      </c>
      <c r="Y26" s="330" t="e">
        <f>IF(Y17&gt;0,IF(Zonen&gt;3,_qhs4/3.6,0),)</f>
        <v>#REF!</v>
      </c>
      <c r="Z26" s="340" t="e">
        <f>IF(Z14&gt;0,(V26*V14+W26*W14+X26*X14+Y26*Y14)/Z14,)</f>
        <v>#REF!</v>
      </c>
      <c r="AA26" s="5" t="s">
        <v>256</v>
      </c>
      <c r="AK26" s="5" t="str">
        <f>Uebersetzung!D545</f>
        <v>Système 5</v>
      </c>
      <c r="AN26" s="292" t="str">
        <f>Uebersetzung!D554</f>
        <v>Chaleur à distance (min. 50% énergies renouvelables, rejets de chaleur, CCF)</v>
      </c>
      <c r="AO26" s="26"/>
      <c r="AP26" s="26"/>
      <c r="AQ26" s="317"/>
      <c r="AR26" s="713">
        <v>3</v>
      </c>
    </row>
    <row r="27" spans="1:49" ht="18" customHeight="1">
      <c r="A27" s="634" t="s">
        <v>2913</v>
      </c>
      <c r="B27" s="794" t="str">
        <f>Uebersetzung!D549</f>
        <v>Fenêtres</v>
      </c>
      <c r="C27" s="818"/>
      <c r="D27" s="34" t="str">
        <f>IF(F19=AT20,INDEX($AN$17:$AQ$21,$AL$16,3)," ")</f>
        <v xml:space="preserve"> </v>
      </c>
      <c r="E27" s="800" t="s">
        <v>2794</v>
      </c>
      <c r="F27" s="842"/>
      <c r="G27" s="30" t="str">
        <f>IF(F17&gt;=1,AP22," ")</f>
        <v xml:space="preserve"> </v>
      </c>
      <c r="H27" s="30" t="str">
        <f>IF(F17&gt;=1,"W/m2K"," ")</f>
        <v xml:space="preserve"> </v>
      </c>
      <c r="I27" s="908" t="s">
        <v>72</v>
      </c>
      <c r="J27" s="808"/>
      <c r="K27" s="815"/>
      <c r="AN27" s="292" t="str">
        <f>Uebersetzung!D555</f>
        <v>Bois + solaire (2% SRE)</v>
      </c>
      <c r="AO27" s="26"/>
      <c r="AP27" s="26"/>
      <c r="AQ27" s="317"/>
      <c r="AR27" s="713">
        <v>4</v>
      </c>
    </row>
    <row r="28" spans="1:49" ht="18" customHeight="1">
      <c r="A28" s="634" t="s">
        <v>2914</v>
      </c>
      <c r="B28" s="794" t="str">
        <f>Uebersetzung!D550</f>
        <v xml:space="preserve">Sol </v>
      </c>
      <c r="C28" s="818"/>
      <c r="D28" s="37" t="str">
        <f>IF(F19=AT20,INDEX($AN$17:$AQ$21,$AL$16,4)," ")</f>
        <v xml:space="preserve"> </v>
      </c>
      <c r="E28" s="865" t="s">
        <v>2794</v>
      </c>
      <c r="F28" s="842"/>
      <c r="G28" s="30" t="str">
        <f>IF(F17&gt;=1,AQ22," ")</f>
        <v xml:space="preserve"> </v>
      </c>
      <c r="H28" s="30" t="str">
        <f>IF(F17&gt;=1,"W/m2K"," ")</f>
        <v xml:space="preserve"> </v>
      </c>
      <c r="I28" s="908" t="s">
        <v>72</v>
      </c>
      <c r="J28" s="808"/>
      <c r="K28" s="815"/>
      <c r="AN28" s="117" t="str">
        <f>Uebersetzung!D556</f>
        <v>Pompe à chaleur air extérieur jusqu'à 35°C pour température de départ</v>
      </c>
      <c r="AO28" s="27"/>
      <c r="AP28" s="27"/>
      <c r="AQ28" s="87"/>
      <c r="AR28" s="715">
        <v>5</v>
      </c>
    </row>
    <row r="29" spans="1:49" ht="18" customHeight="1">
      <c r="A29" s="634" t="s">
        <v>2915</v>
      </c>
      <c r="B29" s="304" t="str">
        <f>Uebersetzung!D558</f>
        <v>CECB - Catégorie</v>
      </c>
      <c r="C29" s="820"/>
      <c r="D29" s="37" t="str">
        <f>IF(AL16=1,"B","C")</f>
        <v>C</v>
      </c>
      <c r="E29" s="819"/>
      <c r="F29" s="821"/>
      <c r="G29" s="808"/>
      <c r="H29" s="808"/>
      <c r="I29" s="808"/>
      <c r="J29" s="808"/>
      <c r="K29" s="815"/>
      <c r="AK29" s="91" t="s">
        <v>323</v>
      </c>
      <c r="AL29" s="306">
        <f>IF(F18="",0,VLOOKUP(F18,AK30:AL41,2,0))</f>
        <v>0</v>
      </c>
    </row>
    <row r="30" spans="1:49" ht="18" customHeight="1">
      <c r="A30" s="634" t="s">
        <v>2916</v>
      </c>
      <c r="B30" s="864" t="str">
        <f>Uebersetzung!D551</f>
        <v>Système de production de chaleur et émission de chaleur</v>
      </c>
      <c r="C30" s="879"/>
      <c r="D30" s="980"/>
      <c r="E30" s="981"/>
      <c r="F30" s="982"/>
      <c r="G30" s="814"/>
      <c r="H30" s="814"/>
      <c r="I30" s="814"/>
      <c r="J30" s="814"/>
      <c r="K30" s="815"/>
      <c r="M30" s="76"/>
      <c r="N30" s="331" t="s">
        <v>1399</v>
      </c>
      <c r="O30" s="99" t="e">
        <f>IF(wohnen1,IF(_neu1,0.85,1),0)</f>
        <v>#REF!</v>
      </c>
      <c r="P30" s="99" t="e">
        <f>IF(wohnen2,IF(_neu2,0.85,1),0)</f>
        <v>#REF!</v>
      </c>
      <c r="Q30" s="99" t="e">
        <f>IF(wohnen3,IF(_neu3,0.85,1),0)</f>
        <v>#REF!</v>
      </c>
      <c r="R30" s="309" t="e">
        <f>IF(wohnen4,IF(_neu4,0.85,1),0)</f>
        <v>#REF!</v>
      </c>
      <c r="S30" s="329" t="e">
        <f>IF(S31&gt;0,(O30*O31+P30*P31+Q30*Q31+R30*R31)/S31,0)</f>
        <v>#REF!</v>
      </c>
      <c r="AK30" s="292" t="str">
        <f>Uebersetzung!D82</f>
        <v>Habitat collectif</v>
      </c>
      <c r="AL30" s="713">
        <v>1</v>
      </c>
    </row>
    <row r="31" spans="1:49" ht="18" customHeight="1">
      <c r="A31" s="634"/>
      <c r="B31" s="878" t="str">
        <f>IF(AND(D20&lt;&gt;AK17,D30=Uebersetzung!D552),Uebersetzung!D644," ")</f>
        <v xml:space="preserve"> </v>
      </c>
      <c r="C31" s="797"/>
      <c r="D31" s="983"/>
      <c r="E31" s="984"/>
      <c r="F31" s="985"/>
      <c r="G31" s="814"/>
      <c r="H31" s="814"/>
      <c r="I31" s="814"/>
      <c r="J31" s="814"/>
      <c r="K31" s="815"/>
      <c r="N31" s="331" t="s">
        <v>1408</v>
      </c>
      <c r="O31" s="315"/>
      <c r="P31" s="315" t="e">
        <f>IF(wohnen2,G30,0)</f>
        <v>#REF!</v>
      </c>
      <c r="Q31" s="315" t="e">
        <f>IF(wohnen3,H30,0)</f>
        <v>#REF!</v>
      </c>
      <c r="R31" s="315" t="e">
        <f>IF(wohnen4,I30,0)</f>
        <v>#REF!</v>
      </c>
      <c r="S31" s="312" t="e">
        <f>SUM(O31:R31)</f>
        <v>#REF!</v>
      </c>
      <c r="T31" s="26" t="s">
        <v>163</v>
      </c>
      <c r="W31" s="503"/>
      <c r="AC31" s="791" t="s">
        <v>2201</v>
      </c>
      <c r="AK31" s="292" t="str">
        <f>Uebersetzung!D83</f>
        <v>Habitat individuel</v>
      </c>
      <c r="AL31" s="713">
        <v>2</v>
      </c>
    </row>
    <row r="32" spans="1:49" ht="18" customHeight="1">
      <c r="A32" s="634" t="s">
        <v>2917</v>
      </c>
      <c r="B32" s="867" t="e">
        <f>IF(OR(AR23=2,AR23=5),Uebersetzung!D640," ")</f>
        <v>#N/A</v>
      </c>
      <c r="C32" s="825"/>
      <c r="D32" s="978"/>
      <c r="E32" s="978"/>
      <c r="F32" s="979"/>
      <c r="G32" s="814"/>
      <c r="H32" s="814"/>
      <c r="I32" s="814"/>
      <c r="J32" s="814"/>
      <c r="K32" s="815"/>
      <c r="N32" s="332" t="s">
        <v>1407</v>
      </c>
      <c r="O32" s="315" t="e">
        <f>IF(AND(Kategorie1&lt;4,Kategorie1&gt;1),TRUE,FALSE)</f>
        <v>#REF!</v>
      </c>
      <c r="P32" s="315" t="e">
        <f>IF(AND(Kategorie2&lt;4,Kategorie2&gt;1),TRUE,FALSE)</f>
        <v>#REF!</v>
      </c>
      <c r="Q32" s="315" t="e">
        <f>IF(AND(Kategorie3&lt;4,Kategorie3&gt;1),TRUE,FALSE)</f>
        <v>#REF!</v>
      </c>
      <c r="R32" s="315" t="e">
        <f>IF(AND(Kategorie4&lt;4,Kategorie4&gt;1),TRUE,FALSE)</f>
        <v>#REF!</v>
      </c>
      <c r="S32" s="175" t="e">
        <f t="shared" ref="S32:S33" si="3">SUM(O32:R32)</f>
        <v>#REF!</v>
      </c>
      <c r="T32" s="26"/>
      <c r="U32" s="26"/>
      <c r="AK32" s="292" t="str">
        <f>Uebersetzung!D84</f>
        <v>Administration</v>
      </c>
      <c r="AL32" s="713">
        <v>3</v>
      </c>
    </row>
    <row r="33" spans="1:47" ht="18" customHeight="1">
      <c r="A33" s="634" t="s">
        <v>2918</v>
      </c>
      <c r="B33" s="796" t="str">
        <f>Uebersetzung!D557</f>
        <v xml:space="preserve">Température de départ max. de l'installation de production de chaleur:  </v>
      </c>
      <c r="C33" s="823"/>
      <c r="D33" s="912" t="e">
        <f>IF(AR23=AR25,"&lt; 50°C",IF(AR23=AR28,"&lt; 35°C"," "))</f>
        <v>#N/A</v>
      </c>
      <c r="E33" s="869" t="s">
        <v>2798</v>
      </c>
      <c r="F33" s="788"/>
      <c r="G33" s="940" t="e">
        <f>IF(OR(AND(AR23=AR25,F33&gt;50),AND(AR23=AR28,F33&gt;35)),Uebersetzung!D654," ")</f>
        <v>#N/A</v>
      </c>
      <c r="H33" s="941"/>
      <c r="I33" s="941"/>
      <c r="J33" s="941"/>
      <c r="K33" s="942"/>
      <c r="N33" s="333" t="s">
        <v>1412</v>
      </c>
      <c r="O33" s="322">
        <f>O31*0.8</f>
        <v>0</v>
      </c>
      <c r="P33" s="322" t="e">
        <f t="shared" ref="P33:R33" si="4">P31*0.8</f>
        <v>#REF!</v>
      </c>
      <c r="Q33" s="322" t="e">
        <f t="shared" si="4"/>
        <v>#REF!</v>
      </c>
      <c r="R33" s="322" t="e">
        <f t="shared" si="4"/>
        <v>#REF!</v>
      </c>
      <c r="S33" s="176" t="e">
        <f t="shared" si="3"/>
        <v>#REF!</v>
      </c>
      <c r="T33" s="26" t="s">
        <v>163</v>
      </c>
      <c r="U33" s="44" t="s">
        <v>1442</v>
      </c>
      <c r="AC33" s="517" t="s">
        <v>2739</v>
      </c>
      <c r="AD33" s="529" t="e">
        <f>IF(Zonen&gt;0,IF(AD13,#REF!,0),0)</f>
        <v>#REF!</v>
      </c>
      <c r="AE33" s="530" t="e">
        <f>IF(Zonen&gt;1,IF(AE13,#REF!,0),0)</f>
        <v>#REF!</v>
      </c>
      <c r="AF33" s="530" t="e">
        <f>IF(Zonen&gt;2,IF(AF13,#REF!,0),0)</f>
        <v>#REF!</v>
      </c>
      <c r="AG33" s="530" t="e">
        <f>IF(Zonen&gt;3,IF(AG13,#REF!,0),0)</f>
        <v>#REF!</v>
      </c>
      <c r="AH33" s="528" t="e">
        <f>IF($AH$16&gt;0,(AD33*$AD$16+AE33*$AE$16+AF33*$AF$16+AG33*$AG$16)/$AH$16,)</f>
        <v>#REF!</v>
      </c>
      <c r="AI33" s="5" t="s">
        <v>256</v>
      </c>
      <c r="AK33" s="292" t="str">
        <f>Uebersetzung!D85</f>
        <v>Ecole</v>
      </c>
      <c r="AL33" s="713">
        <v>4</v>
      </c>
    </row>
    <row r="34" spans="1:47" ht="18" customHeight="1">
      <c r="A34" s="634" t="s">
        <v>2919</v>
      </c>
      <c r="B34" s="304" t="str">
        <f>Uebersetzung!D624</f>
        <v>Système de distribution</v>
      </c>
      <c r="C34" s="814"/>
      <c r="D34" s="946" t="s">
        <v>2872</v>
      </c>
      <c r="E34" s="947"/>
      <c r="F34" s="948"/>
      <c r="G34" s="787"/>
      <c r="H34" s="327"/>
      <c r="I34" s="327"/>
      <c r="J34" s="826"/>
      <c r="K34" s="827"/>
      <c r="L34" s="44" t="s">
        <v>110</v>
      </c>
      <c r="N34" s="332" t="s">
        <v>1409</v>
      </c>
      <c r="O34" s="315" t="e">
        <f>IF(AND(wohnen1,F73=$N$13),#REF!*100,0)</f>
        <v>#REF!</v>
      </c>
      <c r="P34" s="315" t="e">
        <f>IF(AND(wohnen2,G73=$N$13),G32*100,0)</f>
        <v>#REF!</v>
      </c>
      <c r="Q34" s="315" t="e">
        <f>IF(AND(wohnen3,H73=$N$13),H32*100,0)</f>
        <v>#REF!</v>
      </c>
      <c r="R34" s="659" t="e">
        <f>IF(AND(wohnen4,I73=$N$13),I32*100,0)</f>
        <v>#REF!</v>
      </c>
      <c r="S34" s="175" t="e">
        <f>SUM(O34:R34)</f>
        <v>#REF!</v>
      </c>
      <c r="T34" s="26" t="s">
        <v>333</v>
      </c>
      <c r="U34" s="314" t="s">
        <v>1392</v>
      </c>
      <c r="V34" s="658">
        <v>1</v>
      </c>
      <c r="W34" s="315">
        <v>2</v>
      </c>
      <c r="X34" s="315">
        <v>3</v>
      </c>
      <c r="Y34" s="56">
        <v>4</v>
      </c>
      <c r="Z34" s="56" t="s">
        <v>1398</v>
      </c>
      <c r="AC34" s="518" t="s">
        <v>2740</v>
      </c>
      <c r="AD34" s="310" t="e">
        <f>#REF!</f>
        <v>#REF!</v>
      </c>
      <c r="AE34" s="308" t="e">
        <f>#REF!</f>
        <v>#REF!</v>
      </c>
      <c r="AF34" s="308" t="e">
        <f>#REF!</f>
        <v>#REF!</v>
      </c>
      <c r="AG34" s="308" t="e">
        <f>#REF!</f>
        <v>#REF!</v>
      </c>
      <c r="AH34" s="524" t="e">
        <f>#REF!</f>
        <v>#REF!</v>
      </c>
      <c r="AK34" s="292" t="str">
        <f>Uebersetzung!D86</f>
        <v>Commerce</v>
      </c>
      <c r="AL34" s="713">
        <v>5</v>
      </c>
    </row>
    <row r="35" spans="1:47" ht="18" customHeight="1">
      <c r="A35" s="634" t="s">
        <v>2920</v>
      </c>
      <c r="B35" s="304" t="str">
        <f>Uebersetzung!D630</f>
        <v>Surface de capteurs solaires thermiques</v>
      </c>
      <c r="C35" s="828"/>
      <c r="D35" s="906" t="e">
        <f>IF(OR(AR23=1,AR23=4),ROUND(AO3*0.02,0)," ")</f>
        <v>#N/A</v>
      </c>
      <c r="E35" s="868" t="s">
        <v>163</v>
      </c>
      <c r="F35" s="914"/>
      <c r="G35" s="918" t="e">
        <f>IF(F35&lt;D35,Uebersetzung!D657," ")</f>
        <v>#N/A</v>
      </c>
      <c r="H35" s="803"/>
      <c r="I35" s="803"/>
      <c r="J35" s="826"/>
      <c r="K35" s="827"/>
      <c r="L35" s="44" t="s">
        <v>110</v>
      </c>
      <c r="N35" s="331" t="s">
        <v>1400</v>
      </c>
      <c r="O35" s="479">
        <f>IF(F74=$N$13,IF(_neu1,#REF!,#REF!),0)</f>
        <v>0</v>
      </c>
      <c r="P35" s="334">
        <f>IF(G74=$N$13,IF(_neu2,#REF!,#REF!),0)</f>
        <v>0</v>
      </c>
      <c r="Q35" s="334">
        <f>IF(H74=$N$13,IF(_neu3,#REF!,#REF!),0)</f>
        <v>0</v>
      </c>
      <c r="R35" s="480">
        <f>IF(I74=$N$13,IF(_neu4,#REF!,#REF!),0)</f>
        <v>0</v>
      </c>
      <c r="S35" s="464"/>
      <c r="T35" s="26"/>
      <c r="U35" s="333" t="s">
        <v>2615</v>
      </c>
      <c r="V35" s="322" t="e">
        <f>IF(Kategorie1&lt;13,#REF!,0)</f>
        <v>#REF!</v>
      </c>
      <c r="W35" s="322" t="e">
        <f>IF(Kategorie2&lt;13,#REF!,0)</f>
        <v>#REF!</v>
      </c>
      <c r="X35" s="322" t="e">
        <f>IF(Kategorie3&lt;13,#REF!,0)</f>
        <v>#REF!</v>
      </c>
      <c r="Y35" s="322" t="e">
        <f>IF(Kategorie4&lt;13,#REF!,0)</f>
        <v>#REF!</v>
      </c>
      <c r="Z35" s="176" t="e">
        <f>SUM(V35:Y35)</f>
        <v>#REF!</v>
      </c>
      <c r="AC35" s="523" t="s">
        <v>2740</v>
      </c>
      <c r="AD35" s="481" t="e">
        <f>IF($AH$16&gt;0,AD33*AD16*AD34/$AH$16,)</f>
        <v>#REF!</v>
      </c>
      <c r="AE35" s="482" t="e">
        <f t="shared" ref="AE35:AG35" si="5">IF($AH$16&gt;0,AE33*AE16*AE34/$AH$16,)</f>
        <v>#REF!</v>
      </c>
      <c r="AF35" s="482" t="e">
        <f t="shared" si="5"/>
        <v>#REF!</v>
      </c>
      <c r="AG35" s="482" t="e">
        <f t="shared" si="5"/>
        <v>#REF!</v>
      </c>
      <c r="AH35" s="511" t="e">
        <f>SUM(AD35:AG35)</f>
        <v>#REF!</v>
      </c>
      <c r="AI35" s="5" t="s">
        <v>256</v>
      </c>
      <c r="AK35" s="292" t="str">
        <f>Uebersetzung!D87</f>
        <v>Restaurant</v>
      </c>
      <c r="AL35" s="713">
        <v>6</v>
      </c>
    </row>
    <row r="36" spans="1:47" ht="18" customHeight="1">
      <c r="A36" s="634" t="s">
        <v>2921</v>
      </c>
      <c r="B36" s="864" t="str">
        <f>Uebersetzung!D559</f>
        <v>Type de ventilation</v>
      </c>
      <c r="C36" s="822"/>
      <c r="D36" s="943" t="s">
        <v>2814</v>
      </c>
      <c r="E36" s="944"/>
      <c r="F36" s="945"/>
      <c r="G36" s="934" t="e">
        <f>IF(AND(D36=AQ39,F37&gt;33),Uebersetzung!D653,IF(AND(AL16=1,AR23=1,AU37=2),Uebersetzung!D655," "))</f>
        <v>#N/A</v>
      </c>
      <c r="H36" s="935"/>
      <c r="I36" s="935"/>
      <c r="J36" s="935"/>
      <c r="K36" s="936"/>
      <c r="N36" s="332" t="s">
        <v>1401</v>
      </c>
      <c r="O36" s="310">
        <f>IF(F75=$N$13,IF(_neu1,#REF!,#REF!),0)</f>
        <v>0</v>
      </c>
      <c r="P36" s="308">
        <f>IF(G75=$N$13,IF(_neu2,#REF!,#REF!),0)</f>
        <v>0</v>
      </c>
      <c r="Q36" s="308">
        <f>IF(H75=$N$13,IF(_neu3,#REF!,#REF!),0)</f>
        <v>0</v>
      </c>
      <c r="R36" s="323">
        <f>IF(I75=$N$13,IF(_neu4,#REF!,#REF!),0)</f>
        <v>0</v>
      </c>
      <c r="S36" s="317"/>
      <c r="U36" s="372" t="s">
        <v>1448</v>
      </c>
      <c r="V36" s="368" t="e">
        <f>IF(minergiea,INDEX(#REF!,Kategorie1,1),IF(minergiep,IF(_neu1,INDEX(#REF!,Kategorie1,1),INDEX(#REF!,Kategorie1,1)),IF(_neu1,INDEX(#REF!,Kategorie1,1),INDEX(#REF!,Kategorie1,1))))</f>
        <v>#REF!</v>
      </c>
      <c r="W36" s="368" t="e">
        <f>IF(minergiea,INDEX(#REF!,Kategorie2,1),IF(minergiep,IF(_neu2,INDEX(#REF!,Kategorie2,1),INDEX(#REF!,Kategorie2,1)),IF(_neu2,INDEX(#REF!,Kategorie2,1),INDEX(#REF!,Kategorie2,1))))</f>
        <v>#REF!</v>
      </c>
      <c r="X36" s="368" t="e">
        <f>IF(minergiea,INDEX(#REF!,Kategorie3,1),IF(minergiep,IF(_neu3,INDEX(#REF!,Kategorie3,1),INDEX(#REF!,Kategorie3,1)),IF(_neu3,INDEX(#REF!,Kategorie3,1),INDEX(#REF!,Kategorie3,1))))</f>
        <v>#REF!</v>
      </c>
      <c r="Y36" s="368" t="e">
        <f>IF(minergiea,INDEX(#REF!,Kategorie4,1),IF(minergiep,IF(_neu4,INDEX(#REF!,Kategorie4,1),INDEX(#REF!,Kategorie4,1)),IF(_neu4,INDEX(#REF!,Kategorie4,1),INDEX(#REF!,Kategorie4,1))))</f>
        <v>#REF!</v>
      </c>
      <c r="Z36" s="371" t="e">
        <f>IF(EBF=0,0,(V36*_EBF1+W36*_EBF2+X36*_EBF3+Y36*_EBF4)/(_EBF1+_EBF2+_EBF3+_EBF4))</f>
        <v>#REF!</v>
      </c>
      <c r="AA36" s="5" t="s">
        <v>256</v>
      </c>
      <c r="AC36" s="518" t="s">
        <v>2202</v>
      </c>
      <c r="AD36" s="310" t="e">
        <f>#REF!</f>
        <v>#REF!</v>
      </c>
      <c r="AE36" s="308" t="e">
        <f>#REF!</f>
        <v>#REF!</v>
      </c>
      <c r="AF36" s="308" t="e">
        <f>#REF!</f>
        <v>#REF!</v>
      </c>
      <c r="AG36" s="308" t="e">
        <f>#REF!</f>
        <v>#REF!</v>
      </c>
      <c r="AH36" s="524" t="e">
        <f>#REF!</f>
        <v>#REF!</v>
      </c>
      <c r="AK36" s="292" t="str">
        <f>Uebersetzung!D88</f>
        <v>Lieu de rassemblement</v>
      </c>
      <c r="AL36" s="713">
        <v>7</v>
      </c>
    </row>
    <row r="37" spans="1:47" ht="18" customHeight="1">
      <c r="A37" s="634" t="s">
        <v>69</v>
      </c>
      <c r="B37" s="907" t="str">
        <f>Uebersetzung!D627</f>
        <v>Nombre de pièce(s) avec entrée d'air</v>
      </c>
      <c r="C37" s="816"/>
      <c r="D37" s="817"/>
      <c r="E37" s="817"/>
      <c r="F37" s="915"/>
      <c r="G37" s="937"/>
      <c r="H37" s="938"/>
      <c r="I37" s="938"/>
      <c r="J37" s="938"/>
      <c r="K37" s="939"/>
      <c r="N37" s="332" t="s">
        <v>1402</v>
      </c>
      <c r="O37" s="310">
        <f>IF(F76=$N$13,IF(_neu1,#REF!,#REF!),0)</f>
        <v>0</v>
      </c>
      <c r="P37" s="308">
        <f>IF(G76=$N$13,IF(_neu2,#REF!,#REF!),0)</f>
        <v>0</v>
      </c>
      <c r="Q37" s="308">
        <f>IF(H76=$N$13,IF(_neu3,#REF!,#REF!),0)</f>
        <v>0</v>
      </c>
      <c r="R37" s="323">
        <f>IF(I76=$N$13,IF(_neu4,#REF!,#REF!),0)</f>
        <v>0</v>
      </c>
      <c r="S37" s="317"/>
      <c r="U37" s="373" t="s">
        <v>1447</v>
      </c>
      <c r="V37" s="790" t="e">
        <f>IF(V35&gt;0,IF(Klima=1,0,INDEX(#REF!,#REF!,1)*(IF(_neu1,1,2))),0)</f>
        <v>#REF!</v>
      </c>
      <c r="W37" s="790" t="e">
        <f>IF(W35&gt;0,IF(Klima=1,0,INDEX(#REF!,#REF!,1)*(IF(_neu2,1,2))),0)</f>
        <v>#REF!</v>
      </c>
      <c r="X37" s="790" t="e">
        <f>IF(X35&gt;0,IF(Klima=1,0,INDEX(#REF!,#REF!,1)*(IF(_neu3,1,2))),0)</f>
        <v>#REF!</v>
      </c>
      <c r="Y37" s="790" t="e">
        <f>IF(Y35&gt;0,IF(Klima=1,0,INDEX(#REF!,#REF!,1)*(IF(_neu4,1,2))),0)</f>
        <v>#REF!</v>
      </c>
      <c r="Z37" s="332"/>
      <c r="AA37" s="5" t="s">
        <v>256</v>
      </c>
      <c r="AC37" s="523" t="s">
        <v>2202</v>
      </c>
      <c r="AD37" s="514" t="e">
        <f>AD19*#REF!</f>
        <v>#REF!</v>
      </c>
      <c r="AE37" s="504" t="e">
        <f>AE19*#REF!</f>
        <v>#REF!</v>
      </c>
      <c r="AF37" s="504" t="e">
        <f>AF19*#REF!</f>
        <v>#REF!</v>
      </c>
      <c r="AG37" s="504" t="e">
        <f>AG19*#REF!</f>
        <v>#REF!</v>
      </c>
      <c r="AH37" s="511" t="e">
        <f>SUM(AD37:AG37)</f>
        <v>#REF!</v>
      </c>
      <c r="AI37" s="5" t="s">
        <v>256</v>
      </c>
      <c r="AK37" s="292" t="str">
        <f>Uebersetzung!D89</f>
        <v>Hôpital</v>
      </c>
      <c r="AL37" s="713">
        <v>8</v>
      </c>
      <c r="AN37" s="90" t="s">
        <v>2807</v>
      </c>
      <c r="AO37" s="306">
        <f>IF(F29="",0,VLOOKUP(F29,AN38:AO45,2,0))</f>
        <v>0</v>
      </c>
      <c r="AU37" s="306" t="e">
        <f>IF(D36="",0,VLOOKUP(D36,AQ38:AU41,5,0))</f>
        <v>#N/A</v>
      </c>
    </row>
    <row r="38" spans="1:47" ht="18" customHeight="1">
      <c r="A38" s="634"/>
      <c r="N38" s="332" t="s">
        <v>1403</v>
      </c>
      <c r="O38" s="310">
        <f>IF(F77=$N$13,IF(_neu1,#REF!,#REF!),0)</f>
        <v>0</v>
      </c>
      <c r="P38" s="308">
        <f>IF(G77=$N$13,IF(_neu2,#REF!,#REF!),0)</f>
        <v>0</v>
      </c>
      <c r="Q38" s="308">
        <f>IF(H77=$N$13,IF(_neu3,#REF!,#REF!),0)</f>
        <v>0</v>
      </c>
      <c r="R38" s="323">
        <f>IF(I77=$N$13,IF(_neu4,#REF!,#REF!),0)</f>
        <v>0</v>
      </c>
      <c r="S38" s="317"/>
      <c r="U38" s="569" t="s">
        <v>1443</v>
      </c>
      <c r="V38" s="368" t="e">
        <f>V36+V37</f>
        <v>#REF!</v>
      </c>
      <c r="W38" s="368" t="e">
        <f>W36+W37</f>
        <v>#REF!</v>
      </c>
      <c r="X38" s="368" t="e">
        <f>X36+X37</f>
        <v>#REF!</v>
      </c>
      <c r="Y38" s="368" t="e">
        <f>Y36+Y37</f>
        <v>#REF!</v>
      </c>
      <c r="Z38" s="570" t="e">
        <f>IF(EBF=0,0,(V38*_EBF1+W38*_EBF2+X38*_EBF3+Y38*_EBF4)/(_EBF1+_EBF2+_EBF3+_EBF4))</f>
        <v>#REF!</v>
      </c>
      <c r="AA38" s="5" t="s">
        <v>256</v>
      </c>
      <c r="AC38" s="336" t="s">
        <v>2203</v>
      </c>
      <c r="AD38" s="319" t="e">
        <f>AD37+AD35</f>
        <v>#REF!</v>
      </c>
      <c r="AE38" s="313" t="e">
        <f>AE37+AE35</f>
        <v>#REF!</v>
      </c>
      <c r="AF38" s="313" t="e">
        <f>AF37+AF35</f>
        <v>#REF!</v>
      </c>
      <c r="AG38" s="320" t="e">
        <f>AG37+AG35</f>
        <v>#REF!</v>
      </c>
      <c r="AH38" s="505" t="e">
        <f t="shared" ref="AH38" si="6">SUM(AD38:AG38)</f>
        <v>#REF!</v>
      </c>
      <c r="AI38" s="5" t="s">
        <v>256</v>
      </c>
      <c r="AK38" s="292" t="str">
        <f>Uebersetzung!D90</f>
        <v>Industrie</v>
      </c>
      <c r="AL38" s="713">
        <v>9</v>
      </c>
      <c r="AN38" s="736" t="s">
        <v>2800</v>
      </c>
      <c r="AO38" s="737">
        <v>1</v>
      </c>
      <c r="AQ38" s="696" t="str">
        <f>Uebersetzung!D560</f>
        <v>Avec récupération de chaleur</v>
      </c>
      <c r="AR38" s="198"/>
      <c r="AS38" s="198"/>
      <c r="AT38" s="198"/>
      <c r="AU38" s="744">
        <v>1</v>
      </c>
    </row>
    <row r="39" spans="1:47" ht="18" customHeight="1">
      <c r="A39" s="634"/>
      <c r="B39" s="870" t="str">
        <f>Uebersetzung!D578</f>
        <v>Electricité</v>
      </c>
      <c r="C39" s="830"/>
      <c r="D39" s="830"/>
      <c r="E39" s="830"/>
      <c r="F39" s="831"/>
      <c r="G39" s="831"/>
      <c r="H39" s="831"/>
      <c r="I39" s="954" t="str">
        <f>IF(AP58,Uebersetzung!D582,Uebersetzung!D583)</f>
        <v>Non respectée</v>
      </c>
      <c r="J39" s="955"/>
      <c r="K39" s="956"/>
      <c r="N39" s="332" t="s">
        <v>1404</v>
      </c>
      <c r="O39" s="310">
        <f>IF(F78=$N$13,IF(_neu1,#REF!,#REF!),0)</f>
        <v>0</v>
      </c>
      <c r="P39" s="308">
        <f>IF(G78=$N$13,IF(_neu2,#REF!,#REF!),0)</f>
        <v>0</v>
      </c>
      <c r="Q39" s="308">
        <f>IF(H78=$N$13,IF(_neu3,#REF!,#REF!),0)</f>
        <v>0</v>
      </c>
      <c r="R39" s="323">
        <f>IF(I78=$N$13,IF(_neu4,#REF!,#REF!),0)</f>
        <v>0</v>
      </c>
      <c r="S39" s="317"/>
      <c r="U39" s="314" t="s">
        <v>1444</v>
      </c>
      <c r="V39" s="367" t="e">
        <f>IF(OR(O82,O84,O86),O91,0)</f>
        <v>#REF!</v>
      </c>
      <c r="W39" s="368" t="e">
        <f>IF(OR(P82,P84,P86),P91,0)</f>
        <v>#REF!</v>
      </c>
      <c r="X39" s="368" t="e">
        <f>IF(OR(Q82,Q84,Q86),Q91,0)</f>
        <v>#REF!</v>
      </c>
      <c r="Y39" s="565" t="e">
        <f>IF(OR(R82,R84,R86),R91,0)</f>
        <v>#REF!</v>
      </c>
      <c r="Z39" s="317"/>
      <c r="AA39" s="5" t="s">
        <v>256</v>
      </c>
      <c r="AC39" s="702" t="s">
        <v>2731</v>
      </c>
      <c r="AH39" s="307" t="e">
        <f>IF(AH21&gt;0,AH22/AH21*AH38,0)</f>
        <v>#REF!</v>
      </c>
      <c r="AK39" s="292" t="str">
        <f>Uebersetzung!D91</f>
        <v>Entrepôt</v>
      </c>
      <c r="AL39" s="713">
        <v>10</v>
      </c>
      <c r="AN39" s="712" t="s">
        <v>2801</v>
      </c>
      <c r="AO39" s="713">
        <v>2</v>
      </c>
      <c r="AQ39" s="292" t="str">
        <f>Uebersetzung!D561</f>
        <v>Sans récupération de chaleur</v>
      </c>
      <c r="AR39" s="26"/>
      <c r="AS39" s="26"/>
      <c r="AT39" s="26"/>
      <c r="AU39" s="175">
        <v>2</v>
      </c>
    </row>
    <row r="40" spans="1:47" ht="18" customHeight="1">
      <c r="A40" s="634" t="s">
        <v>2922</v>
      </c>
      <c r="B40" s="227" t="str">
        <f>Uebersetzung!D628</f>
        <v>Justificatif pour l'électricité option</v>
      </c>
      <c r="C40" s="832"/>
      <c r="D40" s="833"/>
      <c r="E40" s="833"/>
      <c r="F40" s="833"/>
      <c r="G40" s="833"/>
      <c r="H40" s="833"/>
      <c r="I40" s="833"/>
      <c r="J40" s="833"/>
      <c r="K40" s="834"/>
      <c r="N40" s="332" t="s">
        <v>1405</v>
      </c>
      <c r="O40" s="310">
        <f>IF(F79=$N$13,IF(_neu1,#REF!,#REF!),0)</f>
        <v>0</v>
      </c>
      <c r="P40" s="308">
        <f>IF(G79=$N$13,IF(_neu2,#REF!,#REF!),0)</f>
        <v>0</v>
      </c>
      <c r="Q40" s="308">
        <f>IF(H79=$N$13,IF(_neu3,#REF!,#REF!),0)</f>
        <v>0</v>
      </c>
      <c r="R40" s="323">
        <f>IF(I79=$N$13,IF(_neu4,#REF!,#REF!),0)</f>
        <v>0</v>
      </c>
      <c r="S40" s="317"/>
      <c r="U40" s="292" t="s">
        <v>1445</v>
      </c>
      <c r="V40" s="370" t="e">
        <f>IF(OR(O82,O84,O86),O88,0)</f>
        <v>#REF!</v>
      </c>
      <c r="W40" s="366" t="e">
        <f>IF(OR(P82,P84,P86),P88,0)</f>
        <v>#REF!</v>
      </c>
      <c r="X40" s="366" t="e">
        <f>IF(OR(Q82,Q84,Q86),Q88,0)</f>
        <v>#REF!</v>
      </c>
      <c r="Y40" s="410" t="e">
        <f>IF(OR(R82,R84,R86),R88,0)</f>
        <v>#REF!</v>
      </c>
      <c r="Z40" s="317"/>
      <c r="AA40" s="5" t="s">
        <v>256</v>
      </c>
      <c r="AK40" s="292" t="str">
        <f>Uebersetzung!D92</f>
        <v>Installation sportive</v>
      </c>
      <c r="AL40" s="713">
        <v>11</v>
      </c>
      <c r="AN40" s="712" t="s">
        <v>2802</v>
      </c>
      <c r="AO40" s="713">
        <v>3</v>
      </c>
      <c r="AQ40" s="292" t="str">
        <f>Uebersetzung!D621</f>
        <v>Pompes à chaleur sur air sortant</v>
      </c>
      <c r="AR40" s="26"/>
      <c r="AS40" s="26"/>
      <c r="AT40" s="317"/>
      <c r="AU40" s="713">
        <v>3</v>
      </c>
    </row>
    <row r="41" spans="1:47" ht="27.95" customHeight="1">
      <c r="A41" s="634"/>
      <c r="B41" s="806"/>
      <c r="C41" s="871" t="str">
        <f>Uebersetzung!D579</f>
        <v>Nombre disponible</v>
      </c>
      <c r="D41" s="376" t="str">
        <f>Uebersetzung!D580</f>
        <v>Exigence</v>
      </c>
      <c r="E41" s="809"/>
      <c r="F41" s="910" t="str">
        <f>IF(AND(C40=AK42,OR(I42&gt;C42,I43&gt;C43,I44&gt;C44,I45&gt;C45,I46&gt;C46)),Uebersetzung!D650," ")</f>
        <v xml:space="preserve"> </v>
      </c>
      <c r="G41" s="809"/>
      <c r="H41" s="809"/>
      <c r="I41" s="970" t="str">
        <f>Uebersetzung!D581</f>
        <v>Dont exigence respectée</v>
      </c>
      <c r="J41" s="970"/>
      <c r="K41" s="971"/>
      <c r="L41" s="28"/>
      <c r="N41" s="332" t="s">
        <v>1406</v>
      </c>
      <c r="O41" s="310">
        <f>IF(F80=$N$13,IF(_neu1,#REF!,#REF!),0)</f>
        <v>0</v>
      </c>
      <c r="P41" s="308">
        <f>IF(G80=$N$13,IF(_neu2,#REF!,#REF!),0)</f>
        <v>0</v>
      </c>
      <c r="Q41" s="308">
        <f>IF(H80=$N$13,IF(_neu3,#REF!,#REF!),0)</f>
        <v>0</v>
      </c>
      <c r="R41" s="323">
        <f>IF(I80=$N$13,IF(_neu4,#REF!,#REF!),0)</f>
        <v>0</v>
      </c>
      <c r="S41" s="317"/>
      <c r="U41" s="335" t="s">
        <v>1446</v>
      </c>
      <c r="V41" s="566" t="e">
        <f>V38+(-V39+V40)*2</f>
        <v>#REF!</v>
      </c>
      <c r="W41" s="567" t="e">
        <f>W38+(-W39+W40)*2</f>
        <v>#REF!</v>
      </c>
      <c r="X41" s="567" t="e">
        <f>X38+(-X39+X40)*2</f>
        <v>#REF!</v>
      </c>
      <c r="Y41" s="568" t="e">
        <f>Y38+(-Y39+Y40)*2</f>
        <v>#REF!</v>
      </c>
      <c r="Z41" s="338" t="e">
        <f>IF(Z35&gt;0,(V41*V35+W41*W35+X41*X35+Y41*Y35)/Z35,0)</f>
        <v>#REF!</v>
      </c>
      <c r="AA41" s="5" t="s">
        <v>256</v>
      </c>
      <c r="AK41" s="117" t="str">
        <f>Uebersetzung!D93</f>
        <v>Piscine couverte</v>
      </c>
      <c r="AL41" s="715">
        <v>12</v>
      </c>
      <c r="AN41" s="712" t="s">
        <v>2803</v>
      </c>
      <c r="AO41" s="713">
        <v>4</v>
      </c>
      <c r="AQ41" s="117" t="str">
        <f>Uebersetzung!D622</f>
        <v>Aération autom. par les fenêtres</v>
      </c>
      <c r="AR41" s="27"/>
      <c r="AS41" s="27"/>
      <c r="AT41" s="27"/>
      <c r="AU41" s="176">
        <v>4</v>
      </c>
    </row>
    <row r="42" spans="1:47" ht="18" customHeight="1">
      <c r="A42" s="634" t="s">
        <v>2923</v>
      </c>
      <c r="B42" s="874" t="str">
        <f>Uebersetzung!D562</f>
        <v>Lave-vaisselle</v>
      </c>
      <c r="C42" s="916"/>
      <c r="D42" s="873" t="str">
        <f>Uebersetzung!D570</f>
        <v>Classe d'efficacité énergétique A+++ / A++</v>
      </c>
      <c r="E42" s="872"/>
      <c r="F42" s="835"/>
      <c r="G42" s="909"/>
      <c r="H42" s="835"/>
      <c r="I42" s="1054"/>
      <c r="J42" s="1055"/>
      <c r="K42" s="1056"/>
      <c r="L42" s="28"/>
      <c r="N42" s="333" t="s">
        <v>1897</v>
      </c>
      <c r="O42" s="311">
        <f>IF(F81=$N$13,IF(_neu1,#REF!,#REF!),0)</f>
        <v>0</v>
      </c>
      <c r="P42" s="324">
        <f>IF(G81=$N$13,IF(_neu2,#REF!,#REF!),0)</f>
        <v>0</v>
      </c>
      <c r="Q42" s="324">
        <f>IF(H81=$N$13,IF(_neu3,#REF!,#REF!),0)</f>
        <v>0</v>
      </c>
      <c r="R42" s="325">
        <f>IF(I81=$N$13,IF(_neu4,#REF!,#REF!),0)</f>
        <v>0</v>
      </c>
      <c r="S42" s="87"/>
      <c r="AK42" s="781" t="str">
        <f>Uebersetzung!D629</f>
        <v>Appareils électriques</v>
      </c>
      <c r="AN42" s="712" t="s">
        <v>2804</v>
      </c>
      <c r="AO42" s="713">
        <v>5</v>
      </c>
    </row>
    <row r="43" spans="1:47" ht="18" customHeight="1">
      <c r="A43" s="634" t="s">
        <v>2924</v>
      </c>
      <c r="B43" s="874" t="str">
        <f>Uebersetzung!D563</f>
        <v>Réfrigérateur et congélateur</v>
      </c>
      <c r="C43" s="916"/>
      <c r="D43" s="799" t="str">
        <f>Uebersetzung!D570</f>
        <v>Classe d'efficacité énergétique A+++ / A++</v>
      </c>
      <c r="E43" s="836"/>
      <c r="F43" s="836"/>
      <c r="G43" s="909"/>
      <c r="H43" s="836"/>
      <c r="I43" s="1054"/>
      <c r="J43" s="1055"/>
      <c r="K43" s="1056"/>
      <c r="L43" s="28"/>
      <c r="N43" s="332"/>
      <c r="O43" s="308">
        <f>IF(F82=$N$13,IF(_neu1,#REF!,#REF!),0)</f>
        <v>0</v>
      </c>
      <c r="AK43" s="333" t="str">
        <f>Uebersetzung!D584</f>
        <v>Installation PV</v>
      </c>
      <c r="AN43" s="712" t="s">
        <v>2805</v>
      </c>
      <c r="AO43" s="713">
        <v>6</v>
      </c>
    </row>
    <row r="44" spans="1:47" ht="20.100000000000001" customHeight="1">
      <c r="A44" s="634" t="s">
        <v>2925</v>
      </c>
      <c r="B44" s="874" t="str">
        <f>Uebersetzung!D564</f>
        <v>Lave-linge</v>
      </c>
      <c r="C44" s="916"/>
      <c r="D44" s="799" t="str">
        <f>Uebersetzung!D570</f>
        <v>Classe d'efficacité énergétique A+++ / A++</v>
      </c>
      <c r="E44" s="836"/>
      <c r="F44" s="836"/>
      <c r="G44" s="909"/>
      <c r="H44" s="836"/>
      <c r="I44" s="1054"/>
      <c r="J44" s="1055"/>
      <c r="K44" s="1056"/>
      <c r="L44" s="28"/>
      <c r="N44" s="332" t="s">
        <v>338</v>
      </c>
      <c r="O44" s="326" t="e">
        <f>IF(wohnen1,MIN(SUM(O35:O43),IF(_neu1,#REF!,#REF!)),0)</f>
        <v>#REF!</v>
      </c>
      <c r="P44" s="326" t="e">
        <f>IF(wohnen2,MIN(SUM(P35:P43),IF(_neu2,#REF!,#REF!)),0)</f>
        <v>#REF!</v>
      </c>
      <c r="Q44" s="326" t="e">
        <f>IF(wohnen3,MIN(SUM(Q35:Q43),IF(_neu3,#REF!,#REF!)),0)</f>
        <v>#REF!</v>
      </c>
      <c r="R44" s="326" t="e">
        <f>IF(wohnen4,MIN(SUM(R35:R43),IF(_neu4,#REF!,#REF!)),0)</f>
        <v>#REF!</v>
      </c>
      <c r="S44" s="307" t="e">
        <f>IF(S31&gt;0,(O44*O31+P44*P31+Q44*Q31+R44*R31)/S31,0)</f>
        <v>#REF!</v>
      </c>
      <c r="U44" s="44" t="s">
        <v>2309</v>
      </c>
      <c r="V44" s="26"/>
      <c r="W44" s="26"/>
      <c r="X44" s="26"/>
      <c r="Y44" s="26"/>
      <c r="Z44" s="26"/>
      <c r="AA44" s="26"/>
      <c r="AN44" s="714" t="s">
        <v>2806</v>
      </c>
      <c r="AO44" s="715">
        <v>7</v>
      </c>
    </row>
    <row r="45" spans="1:47" ht="20.100000000000001" customHeight="1">
      <c r="A45" s="634" t="s">
        <v>2926</v>
      </c>
      <c r="B45" s="874" t="str">
        <f>Uebersetzung!D565</f>
        <v>Sèche-linge</v>
      </c>
      <c r="C45" s="916"/>
      <c r="D45" s="799" t="str">
        <f>Uebersetzung!D570</f>
        <v>Classe d'efficacité énergétique A+++ / A++</v>
      </c>
      <c r="E45" s="836"/>
      <c r="F45" s="836"/>
      <c r="G45" s="909"/>
      <c r="H45" s="836"/>
      <c r="I45" s="1054"/>
      <c r="J45" s="1055"/>
      <c r="K45" s="1056"/>
      <c r="L45" s="28"/>
      <c r="N45" s="332"/>
      <c r="U45" s="26"/>
      <c r="V45" s="26"/>
      <c r="W45" s="26"/>
      <c r="X45" s="26"/>
      <c r="Y45" s="26"/>
      <c r="Z45" s="26"/>
      <c r="AA45" s="26"/>
      <c r="AN45" s="5" t="s">
        <v>117</v>
      </c>
      <c r="AO45" s="5">
        <v>8</v>
      </c>
      <c r="AP45" s="5" t="e">
        <f>IF(AL16=1,IF(AND(AO37&lt;=2,D36=AQ38),TRUE,FALSE),IF(AL16&gt;1,IF(AO37&lt;=3,TRUE,FALSE),error))</f>
        <v>#NAME?</v>
      </c>
    </row>
    <row r="46" spans="1:47" ht="20.100000000000001" customHeight="1">
      <c r="A46" s="634" t="s">
        <v>621</v>
      </c>
      <c r="B46" s="874" t="str">
        <f>Uebersetzung!D566</f>
        <v>Cuisinière</v>
      </c>
      <c r="C46" s="916"/>
      <c r="D46" s="799" t="str">
        <f>Uebersetzung!D571</f>
        <v>Cuisinière à induction [c.-à-d.: nouvelle cuisine]</v>
      </c>
      <c r="E46" s="836"/>
      <c r="F46" s="836"/>
      <c r="G46" s="909"/>
      <c r="H46" s="836"/>
      <c r="I46" s="1054"/>
      <c r="J46" s="1055"/>
      <c r="K46" s="1056"/>
      <c r="L46" s="28"/>
      <c r="N46" s="339" t="s">
        <v>1414</v>
      </c>
      <c r="O46" s="330" t="e">
        <f>IF(_EBF1&gt;0,IF(wohnen1,O30*(#REF!*800+O33*20)*(1-O44)+O34+O21,0)/_EBF1*2,0)</f>
        <v>#REF!</v>
      </c>
      <c r="P46" s="330" t="e">
        <f>IF(_EBF2&gt;0,IF(wohnen2,P30*(G32*800+P33*20)*(1-P44)+P34+P21,0)/_EBF2*2,0)</f>
        <v>#REF!</v>
      </c>
      <c r="Q46" s="330" t="e">
        <f>IF(_EBF3&gt;0,IF(wohnen3,Q30*(H32*800+Q33*20)*(1-Q44)+Q34+Q21,0)/_EBF3*2,0)</f>
        <v>#REF!</v>
      </c>
      <c r="R46" s="330" t="e">
        <f>IF(_EBF4&gt;0,IF(wohnen4,R30*(I32*800+R33*20)*(1-R44)+R34+R21,0)/_EBF4*2,0)</f>
        <v>#REF!</v>
      </c>
      <c r="S46" s="340" t="e">
        <f>IF(S31=0,0,(O46*O31+P46*P31+Q46*Q31+R46*R31)/(_EBF1+_EBF2+_EBF3+_EBF4))+IF(S31&gt;0,H96*J96*2/(_EBF1+_EBF2+_EBF3+_EBF4))</f>
        <v>#REF!</v>
      </c>
      <c r="T46" s="5" t="s">
        <v>256</v>
      </c>
      <c r="U46" s="314" t="s">
        <v>1392</v>
      </c>
      <c r="V46" s="658">
        <v>1</v>
      </c>
      <c r="W46" s="315">
        <v>2</v>
      </c>
      <c r="X46" s="315">
        <v>3</v>
      </c>
      <c r="Y46" s="659">
        <v>4</v>
      </c>
      <c r="Z46" s="659" t="s">
        <v>1398</v>
      </c>
      <c r="AA46" s="26"/>
    </row>
    <row r="47" spans="1:47" ht="18.95" customHeight="1">
      <c r="A47" s="634"/>
      <c r="B47" s="824"/>
      <c r="C47" s="825"/>
      <c r="D47" s="825"/>
      <c r="E47" s="825"/>
      <c r="F47" s="825"/>
      <c r="G47" s="825"/>
      <c r="H47" s="825"/>
      <c r="I47" s="825"/>
      <c r="J47" s="837"/>
      <c r="K47" s="257"/>
      <c r="L47" s="28"/>
      <c r="N47" s="44" t="s">
        <v>2298</v>
      </c>
      <c r="O47" s="84"/>
      <c r="P47" s="84"/>
      <c r="Q47" s="84"/>
      <c r="R47" s="84"/>
      <c r="S47" s="84"/>
      <c r="T47" s="84"/>
      <c r="U47" s="312" t="s">
        <v>2310</v>
      </c>
      <c r="V47" s="368" t="e">
        <f>#REF!</f>
        <v>#REF!</v>
      </c>
      <c r="W47" s="368" t="e">
        <f>#REF!</f>
        <v>#REF!</v>
      </c>
      <c r="X47" s="368" t="e">
        <f>#REF!</f>
        <v>#REF!</v>
      </c>
      <c r="Y47" s="368" t="e">
        <f>#REF!</f>
        <v>#REF!</v>
      </c>
      <c r="Z47" s="580" t="e">
        <f>IF(EBF&gt;0,(V47*_EBF1+W47*_EBF2+X47*_EBF3+Y47*_EBF4)/(_EBF1+_EBF2+_EBF3+_EBF4),0)</f>
        <v>#REF!</v>
      </c>
      <c r="AA47" s="26"/>
    </row>
    <row r="48" spans="1:47" ht="18" customHeight="1">
      <c r="A48" s="634" t="s">
        <v>2927</v>
      </c>
      <c r="B48" s="1052" t="str">
        <f>Uebersetzung!D567</f>
        <v>Éclairage résidentiel [fixe]</v>
      </c>
      <c r="C48" s="1053"/>
      <c r="D48" s="876" t="str">
        <f>Uebersetzung!D572</f>
        <v>LED classe d'efficacité A++ / A+ [changer les lumières]</v>
      </c>
      <c r="E48" s="875"/>
      <c r="F48" s="875"/>
      <c r="G48" s="838"/>
      <c r="H48" s="838"/>
      <c r="I48" s="838"/>
      <c r="J48" s="839"/>
      <c r="K48" s="840"/>
      <c r="L48" s="5"/>
      <c r="N48" s="91" t="s">
        <v>1392</v>
      </c>
      <c r="O48" s="90">
        <v>1</v>
      </c>
      <c r="P48" s="99">
        <v>2</v>
      </c>
      <c r="Q48" s="99">
        <v>3</v>
      </c>
      <c r="R48" s="309">
        <v>4</v>
      </c>
      <c r="S48" s="309" t="s">
        <v>1398</v>
      </c>
      <c r="T48" s="84"/>
      <c r="U48" s="584" t="s">
        <v>1414</v>
      </c>
      <c r="V48" s="790" t="e">
        <f>IF(_EBF1&gt;0,IF(wohnen1,O30*(#REF!*800+O33*20),0)/_EBF1*2,0)</f>
        <v>#REF!</v>
      </c>
      <c r="W48" s="790" t="e">
        <f>IF(_EBF1&gt;0,IF(wohnen1,P30*(G32*800+P33*20),0)/_EBF1*2,0)</f>
        <v>#REF!</v>
      </c>
      <c r="X48" s="790" t="e">
        <f>IF(_EBF1&gt;0,IF(wohnen1,Q30*(H32*800+Q33*20),0)/_EBF1*2,0)</f>
        <v>#REF!</v>
      </c>
      <c r="Y48" s="790" t="e">
        <f>IF(_EBF1&gt;0,IF(wohnen1,R30*(I32*800+R33*20),0)/_EBF1*2,0)</f>
        <v>#REF!</v>
      </c>
      <c r="Z48" s="581" t="e">
        <f>IF(S33&gt;0,(V48*O33+W48*P33+X48*Q33+Y48*R33)/(S33),0)</f>
        <v>#REF!</v>
      </c>
      <c r="AK48" s="749"/>
      <c r="AL48" s="750"/>
      <c r="AM48" s="899" t="str">
        <f>Uebersetzung!D576</f>
        <v>Nouvelles constructions</v>
      </c>
      <c r="AN48" s="750" t="str">
        <f>Uebersetzung!D577</f>
        <v>Rénovations</v>
      </c>
      <c r="AO48" s="198" t="s">
        <v>2831</v>
      </c>
      <c r="AP48" s="464" t="s">
        <v>2882</v>
      </c>
    </row>
    <row r="49" spans="1:44" ht="27.95" customHeight="1">
      <c r="A49" s="634" t="s">
        <v>2928</v>
      </c>
      <c r="B49" s="1052" t="str">
        <f>Uebersetzung!D568</f>
        <v>Éclairage général [comme les couloirs, cave extérieur de l'unité de logement]</v>
      </c>
      <c r="C49" s="1053"/>
      <c r="D49" s="799" t="str">
        <f>Uebersetzung!D573</f>
        <v>LED classe d'efficacité A++ / A+ et régulation [p.ex. détecteur de mouvement, minuterie]</v>
      </c>
      <c r="E49" s="836"/>
      <c r="F49" s="836"/>
      <c r="G49" s="836"/>
      <c r="H49" s="836"/>
      <c r="I49" s="836"/>
      <c r="J49" s="841"/>
      <c r="K49" s="842"/>
      <c r="L49" s="5"/>
      <c r="M49" s="76"/>
      <c r="N49" s="546" t="s">
        <v>2274</v>
      </c>
      <c r="O49" s="84" t="e">
        <f>IF(Kategorie1&gt;3,TRUE,FALSE)</f>
        <v>#REF!</v>
      </c>
      <c r="P49" s="84" t="e">
        <f>IF(Kategorie2&gt;3,TRUE,FALSE)</f>
        <v>#REF!</v>
      </c>
      <c r="Q49" s="84" t="e">
        <f>IF(Kategorie3&gt;3,TRUE,FALSE)</f>
        <v>#REF!</v>
      </c>
      <c r="R49" s="84" t="e">
        <f>IF(Kategorie4&gt;3,TRUE,FALSE)</f>
        <v>#REF!</v>
      </c>
      <c r="S49" s="546" t="e">
        <f>OR(O49,P49,Q49,R49)</f>
        <v>#REF!</v>
      </c>
      <c r="T49" s="84"/>
      <c r="U49" s="584" t="s">
        <v>1427</v>
      </c>
      <c r="V49" s="366" t="e">
        <f>INDEX(#REF!,Kategorie1,1)</f>
        <v>#REF!</v>
      </c>
      <c r="W49" s="366" t="e">
        <f>INDEX(#REF!,Kategorie2,1)</f>
        <v>#REF!</v>
      </c>
      <c r="X49" s="366" t="e">
        <f>INDEX(#REF!,Kategorie3,1)</f>
        <v>#REF!</v>
      </c>
      <c r="Y49" s="366" t="e">
        <f>INDEX(#REF!,Kategorie4,1)</f>
        <v>#REF!</v>
      </c>
      <c r="Z49" s="581" t="e">
        <f>IF(EBF&gt;0,(V49*_EBF1+W49*_EBF2+X49*_EBF3+Y49*_EBF4)/(_EBF1+_EBF2+_EBF3+_EBF4),0)</f>
        <v>#REF!</v>
      </c>
      <c r="AJ49" s="651"/>
      <c r="AK49" s="751" t="str">
        <f>Uebersetzung!D562</f>
        <v>Lave-vaisselle</v>
      </c>
      <c r="AL49" s="752" t="str">
        <f>Uebersetzung!D570</f>
        <v>Classe d'efficacité énergétique A+++ / A++</v>
      </c>
      <c r="AM49" s="900">
        <v>0.01</v>
      </c>
      <c r="AN49" s="753">
        <v>0.04</v>
      </c>
      <c r="AO49" s="782">
        <f>IF(C42&gt;0,AN49,0)</f>
        <v>0</v>
      </c>
      <c r="AP49" s="783">
        <f t="shared" ref="AP49:AP53" si="7">IF(C42&lt;&gt;0,IF(AO49*I42/C42&lt;AO49,AO49*I42/C42,AO49),0)</f>
        <v>0</v>
      </c>
    </row>
    <row r="50" spans="1:44" ht="27.95" customHeight="1">
      <c r="A50" s="634" t="s">
        <v>2929</v>
      </c>
      <c r="B50" s="1052" t="str">
        <f>Uebersetzung!D569</f>
        <v>Electricité générale et appareils [not. pompes de circulation, etc. extérieur de l'unité de logement]</v>
      </c>
      <c r="C50" s="1053"/>
      <c r="D50" s="799" t="str">
        <f>Uebersetzung!D574</f>
        <v>Appareils efficaces pour l'exploitation des bâtiments et les bâtiments à usage d'habitation</v>
      </c>
      <c r="E50" s="836"/>
      <c r="F50" s="836"/>
      <c r="G50" s="836"/>
      <c r="H50" s="836"/>
      <c r="I50" s="836"/>
      <c r="J50" s="841"/>
      <c r="K50" s="842"/>
      <c r="L50" s="5"/>
      <c r="M50" s="76"/>
      <c r="N50" s="332" t="s">
        <v>2296</v>
      </c>
      <c r="O50" s="790" t="e">
        <f>IF(Kategorie1&gt;3,#REF!,0)</f>
        <v>#REF!</v>
      </c>
      <c r="P50" s="790" t="e">
        <f>IF(Kategorie2&gt;3,#REF!,0)</f>
        <v>#REF!</v>
      </c>
      <c r="Q50" s="790" t="e">
        <f>IF(Kategorie3&gt;3,#REF!,0)</f>
        <v>#REF!</v>
      </c>
      <c r="R50" s="790" t="e">
        <f>IF(Kategorie4&gt;3,#REF!,0)</f>
        <v>#REF!</v>
      </c>
      <c r="S50" s="175" t="e">
        <f>SUM(O50:R50)</f>
        <v>#REF!</v>
      </c>
      <c r="T50" s="5" t="s">
        <v>163</v>
      </c>
      <c r="U50" s="585" t="s">
        <v>1430</v>
      </c>
      <c r="V50" s="366" t="e">
        <f>O60</f>
        <v>#REF!</v>
      </c>
      <c r="W50" s="366" t="e">
        <f>P60</f>
        <v>#REF!</v>
      </c>
      <c r="X50" s="366" t="e">
        <f>Q60</f>
        <v>#REF!</v>
      </c>
      <c r="Y50" s="366" t="e">
        <f>R60</f>
        <v>#REF!</v>
      </c>
      <c r="Z50" s="587" t="e">
        <f>S60</f>
        <v>#REF!</v>
      </c>
      <c r="AJ50" s="651"/>
      <c r="AK50" s="751" t="str">
        <f>Uebersetzung!D563</f>
        <v>Réfrigérateur et congélateur</v>
      </c>
      <c r="AL50" s="752" t="str">
        <f>Uebersetzung!D570</f>
        <v>Classe d'efficacité énergétique A+++ / A++</v>
      </c>
      <c r="AM50" s="900">
        <v>0.03</v>
      </c>
      <c r="AN50" s="753">
        <v>0.05</v>
      </c>
      <c r="AO50" s="782">
        <f>IF(C43&gt;0,AN50,0)</f>
        <v>0</v>
      </c>
      <c r="AP50" s="783">
        <f t="shared" si="7"/>
        <v>0</v>
      </c>
    </row>
    <row r="51" spans="1:44" ht="20.100000000000001" customHeight="1">
      <c r="A51" s="634"/>
      <c r="B51" s="843"/>
      <c r="C51" s="814"/>
      <c r="D51" s="814"/>
      <c r="E51" s="814"/>
      <c r="F51" s="814"/>
      <c r="G51" s="814"/>
      <c r="H51" s="814"/>
      <c r="I51" s="814"/>
      <c r="J51" s="814"/>
      <c r="K51" s="815"/>
      <c r="L51" s="5"/>
      <c r="M51" s="76"/>
      <c r="N51" s="550" t="s">
        <v>102</v>
      </c>
      <c r="O51" s="108" t="e">
        <f>IF(O49,Uebersetzung!D25,Uebersetzung!D26)</f>
        <v>#REF!</v>
      </c>
      <c r="P51" s="109" t="e">
        <f>IF(P49,Uebersetzung!D25,Uebersetzung!D26)</f>
        <v>#REF!</v>
      </c>
      <c r="Q51" s="109" t="e">
        <f>IF(Q49,Uebersetzung!D25,Uebersetzung!D26)</f>
        <v>#REF!</v>
      </c>
      <c r="R51" s="109" t="e">
        <f>IF(R49,Uebersetzung!D25,Uebersetzung!D26)</f>
        <v>#REF!</v>
      </c>
      <c r="S51" s="546"/>
      <c r="T51" s="84"/>
      <c r="U51" s="586" t="s">
        <v>1432</v>
      </c>
      <c r="V51" s="346" t="e">
        <f>O69</f>
        <v>#REF!</v>
      </c>
      <c r="W51" s="346" t="e">
        <f>P69</f>
        <v>#REF!</v>
      </c>
      <c r="X51" s="346" t="e">
        <f>Q69</f>
        <v>#REF!</v>
      </c>
      <c r="Y51" s="346" t="e">
        <f>R69</f>
        <v>#REF!</v>
      </c>
      <c r="Z51" s="415" t="e">
        <f>S69</f>
        <v>#REF!</v>
      </c>
      <c r="AK51" s="751" t="str">
        <f>Uebersetzung!D564</f>
        <v>Lave-linge</v>
      </c>
      <c r="AL51" s="752" t="str">
        <f>Uebersetzung!D570</f>
        <v>Classe d'efficacité énergétique A+++ / A++</v>
      </c>
      <c r="AM51" s="900">
        <v>0.01</v>
      </c>
      <c r="AN51" s="753">
        <v>0.03</v>
      </c>
      <c r="AO51" s="782">
        <f>IF(C44&gt;0,AN51,0)</f>
        <v>0</v>
      </c>
      <c r="AP51" s="783">
        <f>IF(C44&lt;&gt;0,IF(AO51*I44/C44&lt;AO51,AO51*I44/C44,AO51),0)</f>
        <v>0</v>
      </c>
      <c r="AR51" s="5" t="s">
        <v>2868</v>
      </c>
    </row>
    <row r="52" spans="1:44" ht="20.100000000000001" customHeight="1">
      <c r="A52" s="634" t="s">
        <v>2930</v>
      </c>
      <c r="B52" s="877" t="str">
        <f>Uebersetzung!D584</f>
        <v>Installation PV</v>
      </c>
      <c r="C52" s="917"/>
      <c r="D52" s="913" t="s">
        <v>2876</v>
      </c>
      <c r="E52" s="919" t="str">
        <f>Uebersetzung!D656</f>
        <v>Exigence:</v>
      </c>
      <c r="F52" s="920"/>
      <c r="G52" s="913" t="str">
        <f>IF(C40=AK43,ROUND(AO3*5/1000,1)," ")</f>
        <v xml:space="preserve"> </v>
      </c>
      <c r="H52" s="378" t="s">
        <v>2876</v>
      </c>
      <c r="I52" s="844"/>
      <c r="J52" s="844"/>
      <c r="K52" s="845"/>
      <c r="L52" s="5"/>
      <c r="M52" s="76"/>
      <c r="N52" s="551"/>
      <c r="O52" s="553" t="str">
        <f>Uebersetzung!D26</f>
        <v>non</v>
      </c>
      <c r="P52" s="441" t="str">
        <f>Uebersetzung!D26</f>
        <v>non</v>
      </c>
      <c r="Q52" s="441" t="str">
        <f>Uebersetzung!D26</f>
        <v>non</v>
      </c>
      <c r="R52" s="441" t="str">
        <f>Uebersetzung!D26</f>
        <v>non</v>
      </c>
      <c r="S52" s="549"/>
      <c r="T52" s="84"/>
      <c r="AK52" s="751" t="str">
        <f>Uebersetzung!D565</f>
        <v>Sèche-linge</v>
      </c>
      <c r="AL52" s="752" t="str">
        <f>Uebersetzung!D570</f>
        <v>Classe d'efficacité énergétique A+++ / A++</v>
      </c>
      <c r="AM52" s="900">
        <v>0.03</v>
      </c>
      <c r="AN52" s="753">
        <v>7.0000000000000007E-2</v>
      </c>
      <c r="AO52" s="782">
        <f>IF(C45&gt;0,AN52,0)</f>
        <v>0</v>
      </c>
      <c r="AP52" s="783">
        <f t="shared" si="7"/>
        <v>0</v>
      </c>
      <c r="AR52" s="5" t="e">
        <f>OR(OR(AR17:AR21),AP45)</f>
        <v>#NAME?</v>
      </c>
    </row>
    <row r="53" spans="1:44" ht="20.100000000000001" customHeight="1">
      <c r="B53" s="808"/>
      <c r="C53" s="808"/>
      <c r="D53" s="808"/>
      <c r="E53" s="808"/>
      <c r="F53" s="808"/>
      <c r="G53" s="808"/>
      <c r="H53" s="808"/>
      <c r="I53" s="808"/>
      <c r="J53" s="808"/>
      <c r="K53" s="808"/>
      <c r="L53" s="5"/>
      <c r="M53" s="76"/>
      <c r="AK53" s="751" t="str">
        <f>Uebersetzung!D566</f>
        <v>Cuisinière</v>
      </c>
      <c r="AL53" s="752" t="str">
        <f>Uebersetzung!D571</f>
        <v>Cuisinière à induction [c.-à-d.: nouvelle cuisine]</v>
      </c>
      <c r="AM53" s="900">
        <v>0.01</v>
      </c>
      <c r="AN53" s="753">
        <v>0.02</v>
      </c>
      <c r="AO53" s="782">
        <f>IF(C46&gt;0,AN53,0)</f>
        <v>0</v>
      </c>
      <c r="AP53" s="783">
        <f t="shared" si="7"/>
        <v>0</v>
      </c>
    </row>
    <row r="54" spans="1:44" ht="27.95" customHeight="1">
      <c r="B54" s="1049" t="e">
        <f>IF(AND(enveloppe_életricité!AT17,enveloppe_életricité!AU17,enveloppe_életricité!AV17,enveloppe_életricité!AW17,enveloppe_életricité!AP58,été_documents!Q24),Uebersetzung!D617,Uebersetzung!D618)</f>
        <v>#N/A</v>
      </c>
      <c r="C54" s="1050"/>
      <c r="D54" s="1050"/>
      <c r="E54" s="1050"/>
      <c r="F54" s="1050"/>
      <c r="G54" s="1050"/>
      <c r="H54" s="1050"/>
      <c r="I54" s="1050"/>
      <c r="J54" s="1050"/>
      <c r="K54" s="1051"/>
      <c r="L54" s="5"/>
      <c r="M54" s="76"/>
      <c r="N54" s="571" t="s">
        <v>2272</v>
      </c>
      <c r="O54" s="571" t="b">
        <f>IF(F30=Uebersetzung!$D$25,TRUE,FALSE)</f>
        <v>0</v>
      </c>
      <c r="P54" s="572" t="b">
        <f>IF(G18=Uebersetzung!$D$25,TRUE,FALSE)</f>
        <v>0</v>
      </c>
      <c r="Q54" s="572" t="b">
        <f>IF(H18=Uebersetzung!$D$25,TRUE,FALSE)</f>
        <v>0</v>
      </c>
      <c r="R54" s="572" t="b">
        <f>IF(I18=Uebersetzung!$D$25,TRUE,FALSE)</f>
        <v>0</v>
      </c>
      <c r="S54" s="573"/>
      <c r="T54" s="433" t="s">
        <v>2272</v>
      </c>
      <c r="AK54" s="751" t="str">
        <f>Uebersetzung!D567</f>
        <v>Éclairage résidentiel [fixe]</v>
      </c>
      <c r="AL54" s="752" t="str">
        <f>Uebersetzung!D572</f>
        <v>LED classe d'efficacité A++ / A+ [changer les lumières]</v>
      </c>
      <c r="AM54" s="900">
        <v>0.02</v>
      </c>
      <c r="AN54" s="753">
        <v>0.04</v>
      </c>
      <c r="AO54" s="782">
        <f>IF(K48=AK$13,AN54,0)</f>
        <v>0</v>
      </c>
      <c r="AP54" s="783">
        <f>AO54</f>
        <v>0</v>
      </c>
    </row>
    <row r="55" spans="1:44" ht="13.9" customHeight="1">
      <c r="L55" s="5"/>
      <c r="M55" s="24"/>
      <c r="N55" s="444" t="s">
        <v>2295</v>
      </c>
      <c r="O55" s="108">
        <f>IF(Mieter1,INDEX(#REF!,Kategorie1,1)/2*1.2,0)</f>
        <v>0</v>
      </c>
      <c r="P55" s="109">
        <f>IF(Mieter2,INDEX(#REF!,Kategorie2,1)/2*1.2,0)</f>
        <v>0</v>
      </c>
      <c r="Q55" s="109">
        <f>IF(Mieter3,INDEX(#REF!,Kategorie3,1)/2*1.2,0)</f>
        <v>0</v>
      </c>
      <c r="R55" s="542">
        <f>IF(Mieter4,INDEX(#REF!,Kategorie4,1)/2*1.2,0)</f>
        <v>0</v>
      </c>
      <c r="S55" s="546"/>
      <c r="T55" s="84" t="s">
        <v>256</v>
      </c>
      <c r="AK55" s="751" t="str">
        <f>Uebersetzung!D568</f>
        <v>Éclairage général [comme les couloirs, cave extérieur de l'unité de logement]</v>
      </c>
      <c r="AL55" s="752" t="str">
        <f>Uebersetzung!D573</f>
        <v>LED classe d'efficacité A++ / A+ et régulation [p.ex. détecteur de mouvement, minuterie]</v>
      </c>
      <c r="AM55" s="900">
        <v>0.01</v>
      </c>
      <c r="AN55" s="753">
        <v>0.02</v>
      </c>
      <c r="AO55" s="782">
        <f>IF(K49=AK$13,AN55,0)</f>
        <v>0</v>
      </c>
      <c r="AP55" s="783">
        <f t="shared" ref="AP55:AP56" si="8">AO55</f>
        <v>0</v>
      </c>
    </row>
    <row r="56" spans="1:44" ht="18.95" customHeight="1">
      <c r="L56" s="5"/>
      <c r="M56" s="80"/>
      <c r="N56" s="547" t="s">
        <v>243</v>
      </c>
      <c r="O56" s="553">
        <f>IF(Mieter1,_EBF1,0)</f>
        <v>0</v>
      </c>
      <c r="P56" s="441">
        <f>IF(Mieter2,_EBF2,0)</f>
        <v>0</v>
      </c>
      <c r="Q56" s="441">
        <f>IF(Mieter3,_EBF3,0)</f>
        <v>0</v>
      </c>
      <c r="R56" s="554">
        <f>IF(Mieter4,_EBF4,0)</f>
        <v>0</v>
      </c>
      <c r="S56" s="547"/>
      <c r="T56" s="84" t="s">
        <v>163</v>
      </c>
      <c r="AK56" s="751" t="str">
        <f>Uebersetzung!D569</f>
        <v>Electricité générale et appareils [not. pompes de circulation, etc. extérieur de l'unité de logement]</v>
      </c>
      <c r="AL56" s="752" t="str">
        <f>Uebersetzung!D574</f>
        <v>Appareils efficaces pour l'exploitation des bâtiments et les bâtiments à usage d'habitation</v>
      </c>
      <c r="AM56" s="900">
        <v>0.04</v>
      </c>
      <c r="AN56" s="753">
        <v>0.08</v>
      </c>
      <c r="AO56" s="782">
        <f>IF(K50=AK$13,AN56,0)</f>
        <v>0</v>
      </c>
      <c r="AP56" s="783">
        <f t="shared" si="8"/>
        <v>0</v>
      </c>
    </row>
    <row r="57" spans="1:44" ht="24" customHeight="1">
      <c r="L57" s="5"/>
      <c r="M57" s="24"/>
      <c r="N57" s="335" t="s">
        <v>2287</v>
      </c>
      <c r="O57" s="561">
        <f>IF(Mieter1,O55*2,0)</f>
        <v>0</v>
      </c>
      <c r="P57" s="330">
        <f>IF(Mieter2,P55*2,0)</f>
        <v>0</v>
      </c>
      <c r="Q57" s="330">
        <f>IF(Mieter3,Q55*2,0)</f>
        <v>0</v>
      </c>
      <c r="R57" s="467">
        <f>IF(Mieter4,R55*2,0)</f>
        <v>0</v>
      </c>
      <c r="S57" s="338" t="e">
        <f>IF(EBF&gt;0,(O55*O56+P55*P56+Q55*Q56+R55*R56)*2/(_EBF1+_EBF2+_EBF3+_EBF4),0)</f>
        <v>#REF!</v>
      </c>
      <c r="T57" s="5" t="s">
        <v>256</v>
      </c>
      <c r="U57" s="44" t="s">
        <v>1513</v>
      </c>
      <c r="V57" s="17"/>
      <c r="W57" s="17"/>
      <c r="X57" s="17"/>
      <c r="Y57" s="17"/>
      <c r="Z57" s="17"/>
      <c r="AC57" s="44" t="s">
        <v>2704</v>
      </c>
      <c r="AK57" s="754"/>
      <c r="AL57" s="755" t="str">
        <f>Uebersetzung!D575</f>
        <v>Max.</v>
      </c>
      <c r="AM57" s="901"/>
      <c r="AN57" s="784">
        <f>SUM(AN49:AN56)</f>
        <v>0.35000000000000003</v>
      </c>
      <c r="AO57" s="785">
        <f>SUM(AO49:AO56)</f>
        <v>0</v>
      </c>
      <c r="AP57" s="786">
        <f>SUM(AP49:AP56)</f>
        <v>0</v>
      </c>
    </row>
    <row r="58" spans="1:44" ht="20.100000000000001" customHeight="1">
      <c r="M58" s="24"/>
      <c r="N58" s="44" t="s">
        <v>1429</v>
      </c>
      <c r="U58" s="314" t="s">
        <v>1392</v>
      </c>
      <c r="V58" s="321">
        <v>1</v>
      </c>
      <c r="W58" s="315">
        <v>2</v>
      </c>
      <c r="X58" s="315">
        <v>3</v>
      </c>
      <c r="Y58" s="56">
        <v>4</v>
      </c>
      <c r="Z58" s="414" t="s">
        <v>1413</v>
      </c>
      <c r="AC58" s="91"/>
      <c r="AD58" s="99" t="s">
        <v>2706</v>
      </c>
      <c r="AE58" s="99" t="s">
        <v>2707</v>
      </c>
      <c r="AF58" s="99" t="s">
        <v>2708</v>
      </c>
      <c r="AG58" s="99" t="s">
        <v>2709</v>
      </c>
      <c r="AH58" s="99" t="s">
        <v>2710</v>
      </c>
      <c r="AI58" s="309" t="s">
        <v>240</v>
      </c>
      <c r="AN58" s="503"/>
      <c r="AP58" s="5" t="b">
        <f>IF(AND(C40=AK42,$AP$57&gt;=$AN$57*0.4),TRUE,IF(AND(C40=AK43,$C$52&gt;=ROUND(0.005*$AO$3,1)),TRUE,FALSE))</f>
        <v>0</v>
      </c>
    </row>
    <row r="59" spans="1:44" ht="24" customHeight="1">
      <c r="M59" s="5"/>
      <c r="N59" s="347" t="s">
        <v>1429</v>
      </c>
      <c r="O59" s="348"/>
      <c r="P59" s="348"/>
      <c r="Q59" s="349"/>
      <c r="R59" s="349"/>
      <c r="S59" s="350"/>
      <c r="U59" s="444" t="s">
        <v>1501</v>
      </c>
      <c r="V59" s="105" t="e">
        <f>IF(_neu1,#REF!,0)</f>
        <v>#REF!</v>
      </c>
      <c r="W59" s="105">
        <f>IF(_neu2,#REF!,0)</f>
        <v>0</v>
      </c>
      <c r="X59" s="105">
        <f>IF(_neu3,#REF!,0)</f>
        <v>0</v>
      </c>
      <c r="Y59" s="105">
        <f>IF(_neu4,#REF!,0)</f>
        <v>0</v>
      </c>
      <c r="Z59" s="446" t="e">
        <f>SUM(V59:Y59)</f>
        <v>#REF!</v>
      </c>
      <c r="AA59" s="433" t="s">
        <v>163</v>
      </c>
      <c r="AC59" s="696" t="s">
        <v>2705</v>
      </c>
      <c r="AD59" s="698" t="e">
        <f>WaermebedarfA</f>
        <v>#REF!</v>
      </c>
      <c r="AE59" s="368" t="e">
        <f>WaermebedarfB</f>
        <v>#REF!</v>
      </c>
      <c r="AF59" s="368" t="e">
        <f>WaermebedarfC</f>
        <v>#REF!</v>
      </c>
      <c r="AG59" s="368" t="e">
        <f>WaermebedarfD</f>
        <v>#REF!</v>
      </c>
      <c r="AH59" s="565" t="e">
        <f>WaermebedarfE</f>
        <v>#REF!</v>
      </c>
      <c r="AI59" s="565" t="e">
        <f>SUM(AD59:AH59)</f>
        <v>#REF!</v>
      </c>
      <c r="AJ59" s="5" t="s">
        <v>256</v>
      </c>
    </row>
    <row r="60" spans="1:44" ht="18.95" customHeight="1">
      <c r="M60" s="113"/>
      <c r="N60" s="347" t="s">
        <v>1430</v>
      </c>
      <c r="O60" s="353" t="e">
        <f>INDEX(#REF!,Kategorie1,1)*IF(Mieter1,1.2,1)</f>
        <v>#REF!</v>
      </c>
      <c r="P60" s="351" t="e">
        <f>INDEX(#REF!,Kategorie2,1)*IF(Mieter2,1.2,1)</f>
        <v>#REF!</v>
      </c>
      <c r="Q60" s="351" t="e">
        <f>INDEX(#REF!,Kategorie3,1)*IF(Mieter3,1.2,1)</f>
        <v>#REF!</v>
      </c>
      <c r="R60" s="352" t="e">
        <f>INDEX(#REF!,Kategorie4,1)*IF(Mieter4,1.2,1)</f>
        <v>#REF!</v>
      </c>
      <c r="S60" s="338" t="e">
        <f>IF(EBF&gt;0,(O60*_EBF1+P60*_EBF2+Q60*_EBF3+R60*_EBF4)/(_EBF1+_EBF2+_EBF3+_EBF4),0)</f>
        <v>#REF!</v>
      </c>
      <c r="T60" s="5" t="s">
        <v>256</v>
      </c>
      <c r="U60" s="445" t="s">
        <v>1502</v>
      </c>
      <c r="V60" s="18" t="e">
        <f>#REF!-V68</f>
        <v>#REF!</v>
      </c>
      <c r="W60" s="18" t="e">
        <f>#REF!-W68</f>
        <v>#REF!</v>
      </c>
      <c r="X60" s="18" t="e">
        <f>#REF!-X68</f>
        <v>#REF!</v>
      </c>
      <c r="Y60" s="18" t="e">
        <f>#REF!-Y68</f>
        <v>#REF!</v>
      </c>
      <c r="Z60" s="103" t="e">
        <f>SUM(V60:Y60)</f>
        <v>#REF!</v>
      </c>
      <c r="AA60" s="433" t="s">
        <v>163</v>
      </c>
      <c r="AC60" s="292" t="s">
        <v>2711</v>
      </c>
      <c r="AD60" s="292" t="e">
        <f>INDEX(#REF!,#REF!,1)</f>
        <v>#REF!</v>
      </c>
      <c r="AE60" s="26" t="e">
        <f>INDEX(#REF!,#REF!,1)</f>
        <v>#REF!</v>
      </c>
      <c r="AF60" s="26" t="e">
        <f>INDEX(#REF!,#REF!,1)</f>
        <v>#REF!</v>
      </c>
      <c r="AG60" s="26" t="e">
        <f>INDEX(#REF!,#REF!,1)</f>
        <v>#REF!</v>
      </c>
      <c r="AH60" s="317" t="b">
        <v>0</v>
      </c>
      <c r="AI60" s="317"/>
    </row>
    <row r="61" spans="1:44" ht="18" customHeight="1">
      <c r="M61" s="113"/>
      <c r="U61" s="333"/>
      <c r="V61" s="27"/>
      <c r="W61" s="27"/>
      <c r="X61" s="27"/>
      <c r="Y61" s="27"/>
      <c r="Z61" s="333"/>
      <c r="AC61" s="292"/>
      <c r="AD61" s="292"/>
      <c r="AE61" s="26"/>
      <c r="AF61" s="26"/>
      <c r="AG61" s="26"/>
      <c r="AH61" s="317"/>
      <c r="AI61" s="317"/>
    </row>
    <row r="62" spans="1:44" ht="6" customHeight="1">
      <c r="M62" s="76"/>
      <c r="N62" s="574"/>
      <c r="U62" s="331"/>
      <c r="V62" s="314"/>
      <c r="W62" s="198"/>
      <c r="X62" s="198"/>
      <c r="Y62" s="464"/>
      <c r="Z62" s="331"/>
      <c r="AC62" s="292"/>
      <c r="AD62" s="292"/>
      <c r="AE62" s="26"/>
      <c r="AF62" s="26"/>
      <c r="AG62" s="26"/>
      <c r="AH62" s="317"/>
      <c r="AI62" s="317"/>
    </row>
    <row r="63" spans="1:44" ht="21.95" customHeight="1">
      <c r="U63" s="416" t="s">
        <v>1516</v>
      </c>
      <c r="V63" s="117"/>
      <c r="W63" s="27"/>
      <c r="X63" s="27"/>
      <c r="Y63" s="87"/>
      <c r="Z63" s="416" t="e">
        <f>IF(OR(minergiea,Z59&gt;2000,AND(EBF&gt;2000,I110=N13)),TRUE,FALSE)</f>
        <v>#REF!</v>
      </c>
      <c r="AA63" s="17"/>
      <c r="AC63" s="117" t="s">
        <v>2712</v>
      </c>
      <c r="AD63" s="311" t="e">
        <f>IF(AND(AD60,$AI$59&gt;0),AD59/$AI$59,0)</f>
        <v>#REF!</v>
      </c>
      <c r="AE63" s="324" t="e">
        <f>IF(AND(AE60,$AI$59),AE59/$AI$59,0)</f>
        <v>#REF!</v>
      </c>
      <c r="AF63" s="324" t="e">
        <f>IF(AND(AF60,$AI$59&gt;0),AF59/$AI$59,0)</f>
        <v>#REF!</v>
      </c>
      <c r="AG63" s="324" t="e">
        <f>IF(AND(AG60,$AI$59&gt;0),AG59/$AI$59,0)</f>
        <v>#REF!</v>
      </c>
      <c r="AH63" s="325">
        <f t="shared" ref="AH63" si="9">IF(AH60,AH59/$AI$59,0)</f>
        <v>0</v>
      </c>
      <c r="AI63" s="697" t="e">
        <f>SUM(AD63:AH63)</f>
        <v>#REF!</v>
      </c>
    </row>
    <row r="64" spans="1:44" ht="18" customHeight="1">
      <c r="M64" s="28"/>
      <c r="U64" s="44" t="s">
        <v>1500</v>
      </c>
      <c r="AA64" s="17"/>
      <c r="AC64" s="701" t="s">
        <v>2715</v>
      </c>
      <c r="AD64" s="198"/>
      <c r="AE64" s="198"/>
      <c r="AF64" s="198"/>
      <c r="AG64" s="198"/>
      <c r="AH64" s="198"/>
      <c r="AI64" s="699" t="e">
        <f>(Uebersicht!K52+Uebersicht!K54+Uebersicht!K56+Uebersicht!K58+S102+#REF!+#REF!+#REF!+#REF!+#REF!)/2</f>
        <v>#REF!</v>
      </c>
      <c r="AJ64" s="5" t="s">
        <v>256</v>
      </c>
    </row>
    <row r="65" spans="1:39" ht="18" customHeight="1">
      <c r="M65" s="28"/>
      <c r="N65" s="44" t="s">
        <v>1433</v>
      </c>
      <c r="AC65" s="332"/>
      <c r="AD65" s="26"/>
      <c r="AE65" s="26"/>
      <c r="AF65" s="26"/>
      <c r="AG65" s="26"/>
      <c r="AH65" s="26"/>
      <c r="AI65" s="332"/>
    </row>
    <row r="66" spans="1:39" ht="18" customHeight="1">
      <c r="M66" s="28"/>
      <c r="N66" s="574" t="s">
        <v>2299</v>
      </c>
      <c r="U66" s="314" t="s">
        <v>1392</v>
      </c>
      <c r="V66" s="90">
        <v>1</v>
      </c>
      <c r="W66" s="99">
        <v>2</v>
      </c>
      <c r="X66" s="99">
        <v>3</v>
      </c>
      <c r="Y66" s="309">
        <v>4</v>
      </c>
      <c r="Z66" s="414" t="s">
        <v>1413</v>
      </c>
      <c r="AC66" s="332" t="s">
        <v>2716</v>
      </c>
      <c r="AD66" s="26"/>
      <c r="AE66" s="26"/>
      <c r="AF66" s="26"/>
      <c r="AG66" s="26"/>
      <c r="AH66" s="26"/>
      <c r="AI66" s="587" t="e">
        <f>IF(EBF&gt;0,E95*G95/EBF,0)</f>
        <v>#REF!</v>
      </c>
      <c r="AJ66" s="5" t="s">
        <v>256</v>
      </c>
    </row>
    <row r="67" spans="1:39" ht="18" customHeight="1">
      <c r="M67" s="28" t="b">
        <v>0</v>
      </c>
      <c r="U67" s="444"/>
      <c r="V67" s="84"/>
      <c r="W67" s="84"/>
      <c r="X67" s="84"/>
      <c r="Y67" s="84"/>
      <c r="Z67" s="653"/>
      <c r="AC67" s="332"/>
      <c r="AD67" s="26"/>
      <c r="AE67" s="26"/>
      <c r="AF67" s="26"/>
      <c r="AG67" s="26"/>
      <c r="AH67" s="26"/>
      <c r="AI67" s="332"/>
    </row>
    <row r="68" spans="1:39" ht="18" customHeight="1">
      <c r="M68" s="28" t="b">
        <v>0</v>
      </c>
      <c r="N68" s="347" t="s">
        <v>1431</v>
      </c>
      <c r="O68" s="355"/>
      <c r="P68" s="355"/>
      <c r="Q68" s="356"/>
      <c r="R68" s="356"/>
      <c r="S68" s="350"/>
      <c r="U68" s="445" t="s">
        <v>1501</v>
      </c>
      <c r="V68" s="108" t="e">
        <f>IF(_neu1,#REF!,0)</f>
        <v>#REF!</v>
      </c>
      <c r="W68" s="109">
        <f>IF(_neu2,#REF!,0)</f>
        <v>0</v>
      </c>
      <c r="X68" s="109">
        <f>IF(_neu3,#REF!,0)</f>
        <v>0</v>
      </c>
      <c r="Y68" s="542">
        <f>IF(_neu4,#REF!,0)</f>
        <v>0</v>
      </c>
      <c r="Z68" s="103" t="e">
        <f>SUM(V68:Y68)</f>
        <v>#REF!</v>
      </c>
      <c r="AA68" s="433" t="s">
        <v>163</v>
      </c>
      <c r="AC68" s="332" t="s">
        <v>2714</v>
      </c>
      <c r="AD68" s="26"/>
      <c r="AE68" s="26"/>
      <c r="AF68" s="26"/>
      <c r="AG68" s="26"/>
      <c r="AH68" s="26"/>
      <c r="AI68" s="700" t="e">
        <f>IF(AI64&gt;0,AI66/AI64,0)</f>
        <v>#REF!</v>
      </c>
    </row>
    <row r="69" spans="1:39" ht="18" hidden="1" customHeight="1">
      <c r="M69" s="28" t="b">
        <v>1</v>
      </c>
      <c r="N69" s="347" t="s">
        <v>1432</v>
      </c>
      <c r="O69" s="353" t="e">
        <f>INDEX(#REF!,Kategorie1,1)</f>
        <v>#REF!</v>
      </c>
      <c r="P69" s="351" t="e">
        <f>INDEX(#REF!,Kategorie2,1)</f>
        <v>#REF!</v>
      </c>
      <c r="Q69" s="351" t="e">
        <f>INDEX(#REF!,Kategorie3,1)</f>
        <v>#REF!</v>
      </c>
      <c r="R69" s="352" t="e">
        <f>INDEX(#REF!,Kategorie4,1)</f>
        <v>#REF!</v>
      </c>
      <c r="S69" s="338" t="e">
        <f>IF(EBF&gt;0,(O69*_EBF1+P69*_EBF2+Q69*_EBF3+R69*_EBF4)/(_EBF1+_EBF2+_EBF3+_EBF4)+IF(S31=0,H96*J96*2/(_EBF1+_EBF2+_EBF3+_EBF4)),0)</f>
        <v>#REF!</v>
      </c>
      <c r="T69" s="5" t="s">
        <v>256</v>
      </c>
      <c r="U69" s="445" t="s">
        <v>1502</v>
      </c>
      <c r="V69" s="553" t="e">
        <f>#REF!-V68</f>
        <v>#REF!</v>
      </c>
      <c r="W69" s="441" t="e">
        <f>#REF!-W68</f>
        <v>#REF!</v>
      </c>
      <c r="X69" s="441" t="e">
        <f>#REF!-X68</f>
        <v>#REF!</v>
      </c>
      <c r="Y69" s="554" t="e">
        <f>#REF!-Y68</f>
        <v>#REF!</v>
      </c>
      <c r="Z69" s="103" t="e">
        <f>SUM(V69:Y69)</f>
        <v>#REF!</v>
      </c>
      <c r="AA69" s="433" t="s">
        <v>163</v>
      </c>
      <c r="AC69" s="333" t="s">
        <v>2717</v>
      </c>
      <c r="AD69" s="27"/>
      <c r="AE69" s="27"/>
      <c r="AF69" s="27"/>
      <c r="AG69" s="27"/>
      <c r="AH69" s="27"/>
      <c r="AI69" s="176">
        <f>IF(H96&gt;0,H96,0)</f>
        <v>0</v>
      </c>
      <c r="AJ69" s="5" t="s">
        <v>333</v>
      </c>
    </row>
    <row r="70" spans="1:39" ht="18" hidden="1" customHeight="1">
      <c r="B70" s="1000" t="str">
        <f>Uebersetzung!D364</f>
        <v>Electricité</v>
      </c>
      <c r="C70" s="1001"/>
      <c r="D70" s="71"/>
      <c r="E70" s="71"/>
      <c r="F70" s="71"/>
      <c r="G70" s="71"/>
      <c r="H70" s="71"/>
      <c r="I70" s="71"/>
      <c r="J70" s="141"/>
      <c r="K70" s="197"/>
      <c r="M70" s="28"/>
      <c r="U70" s="332"/>
      <c r="V70" s="292"/>
      <c r="W70" s="26"/>
      <c r="X70" s="26"/>
      <c r="Y70" s="317"/>
      <c r="Z70" s="332"/>
      <c r="AC70" s="696" t="s">
        <v>2728</v>
      </c>
      <c r="AD70" s="198"/>
      <c r="AE70" s="198"/>
      <c r="AF70" s="198"/>
      <c r="AG70" s="198"/>
      <c r="AH70" s="198"/>
      <c r="AI70" s="710" t="e">
        <f>IF(f_fr_PV=0,0,MIN(IF(OR(H96="",H96&lt;=5),(f_fr_PV^_x0*_a0+_b0+C_Bat*((f_fr_PV^_x5*_a5+_b5)-(f_fr_PV^_x0*_a0+_b0))/5)/100,(f_fr_PV^_x5*_a5+_b5+(C_Bat-5)*((f_fr_PV^_x10*_a10+_b10)-(f_fr_PV^_x5*_a5+_b5))/5)/100),0.8))</f>
        <v>#REF!</v>
      </c>
    </row>
    <row r="71" spans="1:39" ht="18" hidden="1" customHeight="1">
      <c r="B71" s="10"/>
      <c r="C71" s="15"/>
      <c r="D71" s="12"/>
      <c r="E71" s="12"/>
      <c r="F71" s="11"/>
      <c r="G71" s="11"/>
      <c r="H71" s="13"/>
      <c r="I71" s="14"/>
      <c r="J71" s="15"/>
      <c r="K71" s="16"/>
      <c r="M71" s="28"/>
      <c r="N71" s="347" t="s">
        <v>1433</v>
      </c>
      <c r="O71" s="348"/>
      <c r="P71" s="348"/>
      <c r="Q71" s="349"/>
      <c r="R71" s="349"/>
      <c r="S71" s="350"/>
      <c r="U71" s="445" t="s">
        <v>1504</v>
      </c>
      <c r="V71" s="551"/>
      <c r="W71" s="548"/>
      <c r="X71" s="548"/>
      <c r="Y71" s="556"/>
      <c r="Z71" s="447" t="e">
        <f>#REF!</f>
        <v>#REF!</v>
      </c>
      <c r="AA71" s="5" t="s">
        <v>256</v>
      </c>
      <c r="AC71" s="292" t="s">
        <v>2729</v>
      </c>
      <c r="AD71" s="26"/>
      <c r="AE71" s="26"/>
      <c r="AF71" s="26"/>
      <c r="AG71" s="26"/>
      <c r="AH71" s="26"/>
      <c r="AI71" s="700" t="e">
        <f>IF(f_fr_PV=0,0,MIN(IF(OR(H96="",H96&lt;=5),(f_fr_PV^_x0WP*_a0WP+_b0WP+C_Bat*((f_fr_PV^_x5WP*_a5WP+_b5WP)-(f_fr_PV^_x0WP*_a0WP+_b0WP))/5)/100,(f_fr_PV^_x5WP*_a5WP+_b5WP+(C_Bat-5)*((f_fr_PV^_x10WP*_a10WP+_b10WP)-(f_fr_PV^_x5WP*_a5WP+_b5WP))/5)/100),0.8))</f>
        <v>#REF!</v>
      </c>
    </row>
    <row r="72" spans="1:39" ht="18" hidden="1" customHeight="1">
      <c r="B72" s="183" t="str">
        <f>Uebersetzung!D365</f>
        <v xml:space="preserve">Données concernant l'utilisation du logement: </v>
      </c>
      <c r="C72" s="92"/>
      <c r="D72" s="12"/>
      <c r="E72" s="73">
        <f>B14</f>
        <v>0</v>
      </c>
      <c r="F72" s="711"/>
      <c r="G72" s="746"/>
      <c r="H72" s="747"/>
      <c r="I72" s="747"/>
      <c r="J72" s="748"/>
      <c r="K72" s="72">
        <f>K16</f>
        <v>0</v>
      </c>
      <c r="M72" s="28" t="b">
        <v>0</v>
      </c>
      <c r="N72" s="357" t="s">
        <v>1435</v>
      </c>
      <c r="O72" s="17"/>
      <c r="P72" s="17"/>
      <c r="Q72" s="17"/>
      <c r="R72" s="17"/>
      <c r="S72" s="21" t="e">
        <f>IF(EBF&gt;0,G95*E95/EBF-#REF!,0)*2*I95</f>
        <v>#REF!</v>
      </c>
      <c r="T72" s="5" t="s">
        <v>256</v>
      </c>
      <c r="U72" s="445" t="s">
        <v>1505</v>
      </c>
      <c r="V72" s="551"/>
      <c r="W72" s="548"/>
      <c r="X72" s="548"/>
      <c r="Y72" s="556"/>
      <c r="Z72" s="447" t="e">
        <f>#REF!</f>
        <v>#REF!</v>
      </c>
      <c r="AA72" s="5" t="s">
        <v>256</v>
      </c>
      <c r="AC72" s="117" t="s">
        <v>2730</v>
      </c>
      <c r="AD72" s="27"/>
      <c r="AE72" s="27"/>
      <c r="AF72" s="27"/>
      <c r="AG72" s="27"/>
      <c r="AH72" s="322"/>
      <c r="AI72" s="709" t="e">
        <f>IF(OR(J95="",J95=0),IF(AI76,ROUND((AI71*Anteil_WP+AI70*(1-Anteil_WP))*20,0)/20,0.2),MIN(J95,1))</f>
        <v>#REF!</v>
      </c>
    </row>
    <row r="73" spans="1:39" s="17" customFormat="1" ht="12" hidden="1" customHeight="1">
      <c r="A73" s="634" t="s">
        <v>2531</v>
      </c>
      <c r="B73" s="1002" t="str">
        <f>Uebersetzung!D366</f>
        <v>Ascenseur / élévateur disponible sur place?</v>
      </c>
      <c r="C73" s="1003"/>
      <c r="D73" s="37"/>
      <c r="E73" s="38"/>
      <c r="F73" s="745" t="s">
        <v>73</v>
      </c>
      <c r="G73" s="292"/>
      <c r="H73" s="26"/>
      <c r="I73" s="26"/>
      <c r="J73" s="26"/>
      <c r="K73" s="317"/>
      <c r="L73" s="46"/>
      <c r="M73" s="46"/>
      <c r="N73" s="82" t="s">
        <v>1436</v>
      </c>
      <c r="S73" s="358" t="e">
        <f>IF(EBF&gt;0,G95*E95/EBF-#REF!,0)*2*(1-I95)*0.4</f>
        <v>#REF!</v>
      </c>
      <c r="T73" s="5" t="s">
        <v>256</v>
      </c>
      <c r="U73" s="445"/>
      <c r="V73" s="551"/>
      <c r="W73" s="548"/>
      <c r="X73" s="548"/>
      <c r="Y73" s="556"/>
      <c r="Z73" s="447"/>
      <c r="AA73" s="5"/>
      <c r="AC73" s="708"/>
      <c r="AD73" s="177" t="s">
        <v>278</v>
      </c>
      <c r="AE73" s="178" t="s">
        <v>279</v>
      </c>
      <c r="AF73" s="178" t="s">
        <v>127</v>
      </c>
      <c r="AG73" s="178" t="s">
        <v>128</v>
      </c>
      <c r="AH73" s="48"/>
      <c r="AI73" s="708"/>
      <c r="AM73" s="902"/>
    </row>
    <row r="74" spans="1:39" s="17" customFormat="1" ht="18" hidden="1" customHeight="1">
      <c r="A74" s="634" t="s">
        <v>2532</v>
      </c>
      <c r="B74" s="965" t="str">
        <f>Uebersetzung!D367</f>
        <v>Tous les lave-vaisselle sont de classe A+++</v>
      </c>
      <c r="C74" s="966"/>
      <c r="D74" s="35"/>
      <c r="E74" s="34"/>
      <c r="F74" s="745"/>
      <c r="G74" s="292"/>
      <c r="H74" s="26"/>
      <c r="I74" s="26"/>
      <c r="J74" s="26"/>
      <c r="K74" s="317"/>
      <c r="L74" s="46"/>
      <c r="M74" s="46"/>
      <c r="N74" s="347" t="s">
        <v>1434</v>
      </c>
      <c r="O74" s="353"/>
      <c r="P74" s="351"/>
      <c r="Q74" s="351"/>
      <c r="R74" s="352"/>
      <c r="S74" s="354" t="e">
        <f>SUM(S72:S73)</f>
        <v>#REF!</v>
      </c>
      <c r="T74" s="5" t="s">
        <v>256</v>
      </c>
      <c r="U74" s="448" t="s">
        <v>1503</v>
      </c>
      <c r="V74" s="660"/>
      <c r="W74" s="442"/>
      <c r="X74" s="442"/>
      <c r="Y74" s="661"/>
      <c r="Z74" s="449" t="e">
        <f>IF(EBF=0,FALSE,IF((Z71-Z72)&gt;=5,TRUE,IF(AND(Z68&gt;0,Z69=0),FALSE,IF(OR(Z68&lt;50,AND(Z68&lt;=1000,Z68/Z69&lt;0.2)),TRUE,FALSE))))</f>
        <v>#REF!</v>
      </c>
      <c r="AC74" s="23" t="s">
        <v>174</v>
      </c>
      <c r="AD74" s="18" t="e">
        <f>IF(AND(Kategorie1 = 3,#REF!&gt;0), TRUE,FALSE)</f>
        <v>#REF!</v>
      </c>
      <c r="AE74" s="18" t="e">
        <f>IF(AND(Kategorie2 = 3,#REF!&gt;0), TRUE,FALSE)</f>
        <v>#REF!</v>
      </c>
      <c r="AF74" s="18" t="e">
        <f>IF(AND(Kategorie3 = 3,#REF!&gt;0), TRUE,FALSE)</f>
        <v>#REF!</v>
      </c>
      <c r="AG74" s="18" t="e">
        <f>IF(AND(Kategorie4 = 3,#REF!&gt;0), TRUE,FALSE)</f>
        <v>#REF!</v>
      </c>
      <c r="AH74" s="18"/>
      <c r="AI74" s="23" t="e">
        <f>OR(AD74,AE74,AF74,AG74)</f>
        <v>#REF!</v>
      </c>
      <c r="AM74" s="902"/>
    </row>
    <row r="75" spans="1:39" s="17" customFormat="1" ht="18" hidden="1" customHeight="1">
      <c r="A75" s="634" t="s">
        <v>2533</v>
      </c>
      <c r="B75" s="1006" t="str">
        <f>Uebersetzung!D368</f>
        <v>Tous les réfrigérateurs et congélateurs sont de classe A+++</v>
      </c>
      <c r="C75" s="1007"/>
      <c r="D75" s="34"/>
      <c r="E75" s="34"/>
      <c r="F75" s="745"/>
      <c r="G75" s="292"/>
      <c r="H75" s="26"/>
      <c r="I75" s="26"/>
      <c r="J75" s="26"/>
      <c r="K75" s="317"/>
      <c r="L75" s="46"/>
      <c r="M75" s="46"/>
      <c r="N75" s="44" t="s">
        <v>2300</v>
      </c>
      <c r="O75" s="5"/>
      <c r="P75" s="5"/>
      <c r="Q75" s="5"/>
      <c r="R75" s="5"/>
      <c r="S75" s="5"/>
      <c r="T75" s="5"/>
      <c r="V75" s="548"/>
      <c r="W75" s="548"/>
      <c r="X75" s="548"/>
      <c r="Y75" s="548"/>
      <c r="AC75" s="23" t="s">
        <v>2768</v>
      </c>
      <c r="AD75" s="18" t="e">
        <f>IF(AND(OR(Kategorie1 = 2,Kategorie1&gt;3),#REF!&gt;0,Kategorie1&lt;13), TRUE,FALSE)</f>
        <v>#REF!</v>
      </c>
      <c r="AE75" s="18" t="e">
        <f>IF(AND(OR(Kategorie2 = 2,Kategorie2&gt;3),#REF!&gt;0,Kategorie2&lt;13), TRUE,FALSE)</f>
        <v>#REF!</v>
      </c>
      <c r="AF75" s="18" t="e">
        <f>IF(AND(OR(Kategorie3 = 2,Kategorie3&gt;3),#REF!&gt;0,Kategorie3&lt;13), TRUE,FALSE)</f>
        <v>#REF!</v>
      </c>
      <c r="AG75" s="18" t="e">
        <f>IF(AND(OR(Kategorie4 = 2,Kategorie4&gt;3),#REF!&gt;0,Kategorie4&lt;13), TRUE,FALSE)</f>
        <v>#REF!</v>
      </c>
      <c r="AH75" s="18"/>
      <c r="AI75" s="23" t="e">
        <f>OR(AD75,AE75,AF75,AG75)</f>
        <v>#REF!</v>
      </c>
      <c r="AM75" s="902"/>
    </row>
    <row r="76" spans="1:39" s="17" customFormat="1" ht="18" hidden="1" customHeight="1">
      <c r="A76" s="634" t="s">
        <v>2534</v>
      </c>
      <c r="B76" s="181" t="str">
        <f>Uebersetzung!D369</f>
        <v>Tous les lave-linge sont de classe A+++</v>
      </c>
      <c r="C76" s="182"/>
      <c r="D76" s="34"/>
      <c r="E76" s="34"/>
      <c r="F76" s="745"/>
      <c r="G76" s="292"/>
      <c r="H76" s="26"/>
      <c r="I76" s="26"/>
      <c r="J76" s="26"/>
      <c r="K76" s="317"/>
      <c r="L76" s="46"/>
      <c r="M76" s="46"/>
      <c r="N76" s="362" t="s">
        <v>1440</v>
      </c>
      <c r="O76" s="360"/>
      <c r="P76" s="359"/>
      <c r="Q76" s="359"/>
      <c r="R76" s="361"/>
      <c r="S76" s="363" t="e">
        <f>S17+S20+S46+S60+S69-S74+S57+S90+S95</f>
        <v>#REF!</v>
      </c>
      <c r="T76" s="5" t="s">
        <v>256</v>
      </c>
      <c r="U76" s="84"/>
      <c r="V76" s="84"/>
      <c r="W76" s="84"/>
      <c r="X76" s="84"/>
      <c r="Y76" s="84"/>
      <c r="Z76" s="84"/>
      <c r="AC76" s="25" t="s">
        <v>2769</v>
      </c>
      <c r="AD76" s="19"/>
      <c r="AE76" s="19"/>
      <c r="AF76" s="19"/>
      <c r="AG76" s="19"/>
      <c r="AH76" s="19"/>
      <c r="AI76" s="449" t="e">
        <f>IF(AND(AI74,AI75=FALSE),TRUE,FALSE)</f>
        <v>#REF!</v>
      </c>
      <c r="AM76" s="902"/>
    </row>
    <row r="77" spans="1:39" s="17" customFormat="1" ht="18" hidden="1" customHeight="1">
      <c r="A77" s="634" t="s">
        <v>2535</v>
      </c>
      <c r="B77" s="965" t="str">
        <f>Uebersetzung!D370</f>
        <v>Tous les sèche-linge sont de classe A+++</v>
      </c>
      <c r="C77" s="966"/>
      <c r="D77" s="40"/>
      <c r="E77" s="34"/>
      <c r="F77" s="745"/>
      <c r="G77" s="292"/>
      <c r="H77" s="26"/>
      <c r="I77" s="26"/>
      <c r="J77" s="26"/>
      <c r="K77" s="317"/>
      <c r="L77" s="46"/>
      <c r="M77" s="46"/>
      <c r="N77" s="44" t="s">
        <v>2286</v>
      </c>
      <c r="O77" s="84"/>
      <c r="P77" s="84"/>
      <c r="Q77" s="84"/>
      <c r="R77" s="84"/>
      <c r="S77" s="84"/>
      <c r="T77" s="84"/>
      <c r="AM77" s="902"/>
    </row>
    <row r="78" spans="1:39" s="17" customFormat="1" ht="18" hidden="1" customHeight="1">
      <c r="A78" s="634" t="s">
        <v>2536</v>
      </c>
      <c r="B78" s="181" t="str">
        <f>Uebersetzung!D371</f>
        <v>Toutes les cuisinières sont à induction</v>
      </c>
      <c r="C78" s="182"/>
      <c r="D78" s="34"/>
      <c r="E78" s="34"/>
      <c r="F78" s="745"/>
      <c r="G78" s="292"/>
      <c r="H78" s="26"/>
      <c r="I78" s="26"/>
      <c r="J78" s="26"/>
      <c r="K78" s="317"/>
      <c r="L78" s="46"/>
      <c r="M78" s="46"/>
      <c r="N78" s="91" t="s">
        <v>1392</v>
      </c>
      <c r="O78" s="90">
        <v>1</v>
      </c>
      <c r="P78" s="99">
        <v>2</v>
      </c>
      <c r="Q78" s="99">
        <v>3</v>
      </c>
      <c r="R78" s="309">
        <v>4</v>
      </c>
      <c r="S78" s="309" t="s">
        <v>2277</v>
      </c>
      <c r="T78" s="84"/>
      <c r="AM78" s="902"/>
    </row>
    <row r="79" spans="1:39" s="17" customFormat="1" ht="18" hidden="1" customHeight="1">
      <c r="A79" s="634" t="s">
        <v>1488</v>
      </c>
      <c r="B79" s="965" t="str">
        <f>Uebersetzung!D372</f>
        <v>Eclairage résidentiel fixe LED A++</v>
      </c>
      <c r="C79" s="966"/>
      <c r="D79" s="34"/>
      <c r="E79" s="34"/>
      <c r="F79" s="745"/>
      <c r="G79" s="292"/>
      <c r="H79" s="26"/>
      <c r="I79" s="26"/>
      <c r="J79" s="26"/>
      <c r="K79" s="317"/>
      <c r="L79" s="46"/>
      <c r="M79" s="46"/>
      <c r="N79" s="444" t="s">
        <v>2297</v>
      </c>
      <c r="O79" s="550" t="e">
        <f>IF(Mieter1,FALSE,IF(Kategorie1&gt;3,TRUE,FALSE))</f>
        <v>#REF!</v>
      </c>
      <c r="P79" s="555" t="e">
        <f>IF(Mieter2,FALSE,IF(Kategorie2&gt;3,TRUE,FALSE))</f>
        <v>#REF!</v>
      </c>
      <c r="Q79" s="555" t="e">
        <f>IF(Mieter3,FALSE,IF(Kategorie3&gt;3,TRUE,FALSE))</f>
        <v>#REF!</v>
      </c>
      <c r="R79" s="552" t="e">
        <f>IF(Mieter4,FALSE,IF(Kategorie4&gt;3,TRUE,FALSE))</f>
        <v>#REF!</v>
      </c>
      <c r="S79" s="546"/>
      <c r="T79" s="84"/>
      <c r="AM79" s="902"/>
    </row>
    <row r="80" spans="1:39" s="84" customFormat="1" ht="18" hidden="1" customHeight="1">
      <c r="A80" s="634" t="s">
        <v>2537</v>
      </c>
      <c r="B80" s="965" t="str">
        <f>Uebersetzung!D373</f>
        <v>Eclairage général LED A++ &amp; régulation</v>
      </c>
      <c r="C80" s="1008"/>
      <c r="D80" s="69"/>
      <c r="E80" s="37"/>
      <c r="F80" s="745"/>
      <c r="G80" s="292"/>
      <c r="H80" s="26"/>
      <c r="I80" s="26"/>
      <c r="J80" s="26"/>
      <c r="K80" s="317"/>
      <c r="L80" s="86"/>
      <c r="M80" s="86"/>
      <c r="N80" s="549" t="s">
        <v>2276</v>
      </c>
      <c r="O80" s="551" t="e">
        <f>AND(_neu1,O79)</f>
        <v>#REF!</v>
      </c>
      <c r="P80" s="548" t="e">
        <f>AND(_neu2,P79)</f>
        <v>#REF!</v>
      </c>
      <c r="Q80" s="548" t="e">
        <f>AND(_neu3,Q79)</f>
        <v>#REF!</v>
      </c>
      <c r="R80" s="556" t="e">
        <f>AND(_neu4,R79)</f>
        <v>#REF!</v>
      </c>
      <c r="S80" s="549"/>
      <c r="AM80" s="903"/>
    </row>
    <row r="81" spans="1:39" s="84" customFormat="1" ht="18" hidden="1" customHeight="1">
      <c r="A81" s="634" t="s">
        <v>2538</v>
      </c>
      <c r="B81" s="1011" t="str">
        <f>Uebersetzung!D391</f>
        <v>Appareils efficaces Electricité générale</v>
      </c>
      <c r="C81" s="1012"/>
      <c r="D81" s="69"/>
      <c r="E81" s="37"/>
      <c r="F81" s="745"/>
      <c r="G81" s="117"/>
      <c r="H81" s="27"/>
      <c r="I81" s="27"/>
      <c r="J81" s="27"/>
      <c r="K81" s="87"/>
      <c r="L81" s="86"/>
      <c r="M81" s="86"/>
      <c r="N81" s="549" t="s">
        <v>2281</v>
      </c>
      <c r="O81" s="553" t="e">
        <f>IF(AND(_neu1,Kategorie1&gt;3),#REF!,0)</f>
        <v>#REF!</v>
      </c>
      <c r="P81" s="441" t="e">
        <f>IF(AND(_neu2,Kategorie2&gt;3),#REF!,0)</f>
        <v>#REF!</v>
      </c>
      <c r="Q81" s="441" t="e">
        <f>IF(AND(_neu3,Kategorie3&gt;3),#REF!,0)</f>
        <v>#REF!</v>
      </c>
      <c r="R81" s="554" t="e">
        <f>IF(AND(_neu4,Kategorie4&gt;3),#REF!,0)</f>
        <v>#REF!</v>
      </c>
      <c r="S81" s="103" t="e">
        <f>SUM(O81:R81)</f>
        <v>#REF!</v>
      </c>
      <c r="T81" s="84" t="s">
        <v>163</v>
      </c>
      <c r="AM81" s="903"/>
    </row>
    <row r="82" spans="1:39" s="84" customFormat="1" ht="18" hidden="1" customHeight="1">
      <c r="A82" s="634"/>
      <c r="B82" s="293"/>
      <c r="C82" s="12"/>
      <c r="D82" s="300"/>
      <c r="E82" s="30"/>
      <c r="F82" s="301"/>
      <c r="G82" s="301"/>
      <c r="H82" s="301"/>
      <c r="I82" s="301"/>
      <c r="J82" s="302"/>
      <c r="K82" s="303"/>
      <c r="L82" s="86"/>
      <c r="M82" s="86"/>
      <c r="N82" s="557" t="s">
        <v>2275</v>
      </c>
      <c r="O82" s="558" t="e">
        <f>AND($S$81&gt;250,O80)</f>
        <v>#REF!</v>
      </c>
      <c r="P82" s="559" t="e">
        <f>AND($S$81&gt;250,P80)</f>
        <v>#REF!</v>
      </c>
      <c r="Q82" s="559" t="e">
        <f>AND($S$81&gt;250,Q80)</f>
        <v>#REF!</v>
      </c>
      <c r="R82" s="560" t="e">
        <f>AND($S$81&gt;250,R80)</f>
        <v>#REF!</v>
      </c>
      <c r="S82" s="557" t="e">
        <f>OR(O82,P82,Q82,R82)</f>
        <v>#REF!</v>
      </c>
      <c r="T82" s="433" t="s">
        <v>2288</v>
      </c>
      <c r="AM82" s="903"/>
    </row>
    <row r="83" spans="1:39" s="84" customFormat="1" ht="18" hidden="1" customHeight="1">
      <c r="A83" s="634" t="s">
        <v>1472</v>
      </c>
      <c r="B83" s="1013" t="str">
        <f>Uebersetzung!D374</f>
        <v>Autres utilisations: données concernant l'éclairage</v>
      </c>
      <c r="C83" s="1014"/>
      <c r="D83" s="1014"/>
      <c r="E83" s="141" t="str">
        <f>IF(OR(F70&lt;&gt;"",G70&lt;&gt;"",H70&lt;&gt;""),Uebersetzung!D116,"")</f>
        <v/>
      </c>
      <c r="F83" s="74"/>
      <c r="G83" s="74"/>
      <c r="H83" s="74"/>
      <c r="I83" s="74"/>
      <c r="J83" s="74"/>
      <c r="K83" s="72"/>
      <c r="L83" s="86"/>
      <c r="M83" s="86"/>
      <c r="N83" s="549" t="s">
        <v>2280</v>
      </c>
      <c r="O83" s="551" t="e">
        <f>AND(Kategorie1&gt;3,_neu1=FALSE)</f>
        <v>#REF!</v>
      </c>
      <c r="P83" s="548" t="e">
        <f>AND(Kategorie2&gt;3,_neu2=FALSE)</f>
        <v>#REF!</v>
      </c>
      <c r="Q83" s="548" t="e">
        <f>AND(Kategorie3&gt;3,_neu3=FALSE)</f>
        <v>#REF!</v>
      </c>
      <c r="R83" s="556" t="e">
        <f>AND(Kategorie4&gt;3,_neu4=FALSE)</f>
        <v>#REF!</v>
      </c>
      <c r="S83" s="549"/>
      <c r="AM83" s="903"/>
    </row>
    <row r="84" spans="1:39" s="84" customFormat="1" ht="18" hidden="1" customHeight="1">
      <c r="A84" s="634"/>
      <c r="B84" s="294"/>
      <c r="C84" s="295"/>
      <c r="D84" s="296"/>
      <c r="E84" s="297"/>
      <c r="F84" s="298"/>
      <c r="G84" s="298"/>
      <c r="H84" s="298"/>
      <c r="I84" s="298"/>
      <c r="J84" s="298"/>
      <c r="K84" s="299"/>
      <c r="L84" s="86"/>
      <c r="M84" s="86"/>
      <c r="N84" s="557" t="s">
        <v>2282</v>
      </c>
      <c r="O84" s="558" t="e">
        <f>AND(O83=TRUE,F85=$N$13)</f>
        <v>#REF!</v>
      </c>
      <c r="P84" s="559" t="e">
        <f>AND(P83=TRUE,G85=$N$13)</f>
        <v>#REF!</v>
      </c>
      <c r="Q84" s="559" t="e">
        <f>AND(Q83=TRUE,H85=$N$13)</f>
        <v>#REF!</v>
      </c>
      <c r="R84" s="560" t="e">
        <f>AND(R83=TRUE,I85=$N$13)</f>
        <v>#REF!</v>
      </c>
      <c r="S84" s="557" t="e">
        <f>OR(O84,P84,Q84,R84)</f>
        <v>#REF!</v>
      </c>
      <c r="T84" s="433" t="s">
        <v>2289</v>
      </c>
      <c r="AM84" s="903"/>
    </row>
    <row r="85" spans="1:39" s="84" customFormat="1" ht="18" hidden="1" customHeight="1">
      <c r="A85" s="634" t="s">
        <v>1474</v>
      </c>
      <c r="B85" s="1009" t="str">
        <f>Uebersetzung!D412</f>
        <v>Eclairage: rénovation complète?</v>
      </c>
      <c r="C85" s="1010"/>
      <c r="D85" s="42"/>
      <c r="E85" s="42"/>
      <c r="F85" s="344"/>
      <c r="G85" s="344"/>
      <c r="H85" s="344"/>
      <c r="I85" s="344"/>
      <c r="J85" s="43"/>
      <c r="K85" s="111"/>
      <c r="L85" s="86"/>
      <c r="M85" s="86"/>
      <c r="N85" s="549" t="s">
        <v>2278</v>
      </c>
      <c r="O85" s="551" t="e">
        <f>AND(O79,O82=FALSE,O84=FALSE)</f>
        <v>#REF!</v>
      </c>
      <c r="P85" s="548" t="e">
        <f t="shared" ref="P85:R85" si="10">AND(P79,P82=FALSE,P84=FALSE)</f>
        <v>#REF!</v>
      </c>
      <c r="Q85" s="548" t="e">
        <f t="shared" si="10"/>
        <v>#REF!</v>
      </c>
      <c r="R85" s="556" t="e">
        <f t="shared" si="10"/>
        <v>#REF!</v>
      </c>
      <c r="S85" s="549"/>
      <c r="AM85" s="903"/>
    </row>
    <row r="86" spans="1:39" s="84" customFormat="1" ht="18" hidden="1" customHeight="1">
      <c r="A86" s="634" t="s">
        <v>1475</v>
      </c>
      <c r="B86" s="1041" t="str">
        <f>Uebersetzung!D377</f>
        <v>Luminaires: module Minergie ou classe A+</v>
      </c>
      <c r="C86" s="1042"/>
      <c r="D86" s="42"/>
      <c r="E86" s="42"/>
      <c r="F86" s="344"/>
      <c r="G86" s="344"/>
      <c r="H86" s="344"/>
      <c r="I86" s="344"/>
      <c r="J86" s="43"/>
      <c r="K86" s="111"/>
      <c r="L86" s="86"/>
      <c r="M86" s="86"/>
      <c r="N86" s="557" t="s">
        <v>2279</v>
      </c>
      <c r="O86" s="558" t="e">
        <f>AND(O85,F88&gt;0,F89&gt;0)</f>
        <v>#REF!</v>
      </c>
      <c r="P86" s="559" t="e">
        <f>AND(P85,G88&gt;0,G89&gt;0)</f>
        <v>#REF!</v>
      </c>
      <c r="Q86" s="559" t="e">
        <f>AND(Q85,H88&gt;0,H89&gt;0)</f>
        <v>#REF!</v>
      </c>
      <c r="R86" s="560" t="e">
        <f>AND(R85,I88&gt;0,I89&gt;0)</f>
        <v>#REF!</v>
      </c>
      <c r="S86" s="557" t="e">
        <f>OR(O86,P86,Q86,R86)</f>
        <v>#REF!</v>
      </c>
      <c r="T86" s="433" t="s">
        <v>2290</v>
      </c>
      <c r="AM86" s="903"/>
    </row>
    <row r="87" spans="1:39" s="84" customFormat="1" ht="18" hidden="1" customHeight="1">
      <c r="A87" s="634" t="s">
        <v>1481</v>
      </c>
      <c r="B87" s="1004" t="str">
        <f>Uebersetzung!D378</f>
        <v>Commande d'éclairage de classe A++</v>
      </c>
      <c r="C87" s="1005"/>
      <c r="D87" s="39"/>
      <c r="E87" s="34"/>
      <c r="F87" s="525"/>
      <c r="G87" s="525"/>
      <c r="H87" s="525"/>
      <c r="I87" s="525"/>
      <c r="J87" s="70"/>
      <c r="K87" s="194"/>
      <c r="L87" s="86"/>
      <c r="M87" s="86"/>
      <c r="N87" s="549" t="s">
        <v>2283</v>
      </c>
      <c r="O87" s="553" t="e">
        <f>IF(OR(O82,O84,O86),#REF!,0)</f>
        <v>#REF!</v>
      </c>
      <c r="P87" s="441" t="e">
        <f>IF(OR(P82,P84,P86),#REF!,0)</f>
        <v>#REF!</v>
      </c>
      <c r="Q87" s="441" t="e">
        <f>IF(OR(Q82,Q84,Q86),#REF!,0)</f>
        <v>#REF!</v>
      </c>
      <c r="R87" s="554" t="e">
        <f>IF(OR(R82,R84,R86),#REF!,0)</f>
        <v>#REF!</v>
      </c>
      <c r="S87" s="103" t="e">
        <f>SUM(O87:R87)</f>
        <v>#REF!</v>
      </c>
      <c r="T87" s="84" t="s">
        <v>163</v>
      </c>
      <c r="Z87" s="443"/>
      <c r="AM87" s="903"/>
    </row>
    <row r="88" spans="1:39" s="84" customFormat="1" ht="18" hidden="1" customHeight="1">
      <c r="A88" s="634" t="s">
        <v>2539</v>
      </c>
      <c r="B88" s="364"/>
      <c r="C88" s="365"/>
      <c r="D88" s="369"/>
      <c r="E88" s="34"/>
      <c r="F88" s="562"/>
      <c r="G88" s="562"/>
      <c r="H88" s="562"/>
      <c r="I88" s="562"/>
      <c r="J88" s="33"/>
      <c r="K88" s="424"/>
      <c r="L88" s="86"/>
      <c r="M88" s="86"/>
      <c r="N88" s="445" t="s">
        <v>2293</v>
      </c>
      <c r="O88" s="553" t="e">
        <f>IF(O87&gt;0,F88,0)</f>
        <v>#REF!</v>
      </c>
      <c r="P88" s="441" t="e">
        <f>IF(P87&gt;0,G88,0)</f>
        <v>#REF!</v>
      </c>
      <c r="Q88" s="441" t="e">
        <f>IF(Q87&gt;0,H88,0)</f>
        <v>#REF!</v>
      </c>
      <c r="R88" s="554" t="e">
        <f>IF(R87&gt;0,I88,0)</f>
        <v>#REF!</v>
      </c>
      <c r="S88" s="103" t="e">
        <f>IF(S87&gt;0,(O87*O88+P87*P88+Q87*Q88+R87*R88)/S87,0)</f>
        <v>#REF!</v>
      </c>
      <c r="T88" s="84" t="s">
        <v>256</v>
      </c>
      <c r="AM88" s="903"/>
    </row>
    <row r="89" spans="1:39" s="84" customFormat="1" ht="18" hidden="1" customHeight="1">
      <c r="A89" s="634" t="s">
        <v>1477</v>
      </c>
      <c r="B89" s="304"/>
      <c r="C89" s="305"/>
      <c r="D89" s="369"/>
      <c r="E89" s="34"/>
      <c r="F89" s="562"/>
      <c r="G89" s="562"/>
      <c r="H89" s="562"/>
      <c r="I89" s="562"/>
      <c r="J89" s="33"/>
      <c r="K89" s="424"/>
      <c r="L89" s="86"/>
      <c r="M89" s="86"/>
      <c r="N89" s="564" t="s">
        <v>2294</v>
      </c>
      <c r="O89" s="543" t="e">
        <f>IF(O87&gt;0,F89,0)</f>
        <v>#REF!</v>
      </c>
      <c r="P89" s="544" t="e">
        <f>IF(P87&gt;0,G89,0)</f>
        <v>#REF!</v>
      </c>
      <c r="Q89" s="544" t="e">
        <f>IF(Q87&gt;0,H89,0)</f>
        <v>#REF!</v>
      </c>
      <c r="R89" s="545" t="e">
        <f>IF(R87&gt;0,I89,0)</f>
        <v>#REF!</v>
      </c>
      <c r="S89" s="104" t="e">
        <f>IF(S87&gt;0,(O87*O89+P87*P89+Q87*Q89+R87*R89)/S87,0)</f>
        <v>#REF!</v>
      </c>
      <c r="T89" s="84" t="s">
        <v>256</v>
      </c>
      <c r="AM89" s="903"/>
    </row>
    <row r="90" spans="1:39" s="84" customFormat="1" ht="18" hidden="1" customHeight="1">
      <c r="A90" s="634" t="s">
        <v>1478</v>
      </c>
      <c r="B90" s="1045"/>
      <c r="C90" s="1046"/>
      <c r="D90" s="1047"/>
      <c r="E90" s="1048"/>
      <c r="F90" s="613"/>
      <c r="G90" s="613"/>
      <c r="H90" s="613"/>
      <c r="I90" s="613"/>
      <c r="J90" s="611"/>
      <c r="K90" s="650"/>
      <c r="L90" s="86"/>
      <c r="M90" s="86"/>
      <c r="N90" s="339" t="s">
        <v>1425</v>
      </c>
      <c r="O90" s="368" t="e">
        <f>IF(Kategorie1&lt;&gt;13,IF(OR(O82,O84,O86),O89*2,0),0)</f>
        <v>#REF!</v>
      </c>
      <c r="P90" s="368" t="e">
        <f>IF(Kategorie2&lt;&gt;13,IF(OR(P82,P84,P86),P89*2,0),0)</f>
        <v>#REF!</v>
      </c>
      <c r="Q90" s="368" t="e">
        <f>IF(Kategorie3&lt;&gt;13,IF(OR(Q82,Q84,Q86),Q89*2,0),0)</f>
        <v>#REF!</v>
      </c>
      <c r="R90" s="368" t="e">
        <f>IF(Kategorie4&lt;&gt;13,IF(OR(R82,R84,R86),R89*2,0),0)</f>
        <v>#REF!</v>
      </c>
      <c r="S90" s="340" t="e">
        <f>IF(SUM(O90:R90)&gt;0,IF(EBF&gt;0,(IF(Kategorie1&lt;&gt;13,O87*O89,0)+IF(Kategorie2&lt;&gt;13,P87*P89,0)+IF(Kategorie3&lt;&gt;13,Q87*Q89,0)+IF(Kategorie4&lt;&gt;13,R87*R89,0))*2/(IF(Kategorie1&lt;&gt;13,_EBF1,0)+IF(Kategorie2&lt;&gt;13,_EBF2,0)+IF(Kategorie3&lt;&gt;13,_EBF3,0)+IF(Kategorie4&lt;&gt;13,_EBF4,0)),0),0)</f>
        <v>#REF!</v>
      </c>
      <c r="T90" s="5" t="s">
        <v>256</v>
      </c>
      <c r="AM90" s="903"/>
    </row>
    <row r="91" spans="1:39" s="84" customFormat="1" ht="18" hidden="1" customHeight="1">
      <c r="A91" s="634"/>
      <c r="B91" s="9"/>
      <c r="C91" s="9"/>
      <c r="D91" s="300"/>
      <c r="E91" s="9"/>
      <c r="F91" s="9"/>
      <c r="G91" s="9"/>
      <c r="H91" s="9"/>
      <c r="I91" s="9"/>
      <c r="J91" s="9"/>
      <c r="K91" s="9"/>
      <c r="L91" s="86"/>
      <c r="M91" s="86"/>
      <c r="N91" s="563" t="s">
        <v>2292</v>
      </c>
      <c r="O91" s="108" t="e">
        <f>INDEX(#REF!,Kategorie1,1)/2</f>
        <v>#REF!</v>
      </c>
      <c r="P91" s="109" t="e">
        <f>INDEX(#REF!,Kategorie2,1)/2</f>
        <v>#REF!</v>
      </c>
      <c r="Q91" s="109" t="e">
        <f>INDEX(#REF!,Kategorie3,1)/2</f>
        <v>#REF!</v>
      </c>
      <c r="R91" s="542" t="e">
        <f>INDEX(#REF!,Kategorie4,1)/2</f>
        <v>#REF!</v>
      </c>
      <c r="S91" s="552"/>
      <c r="T91" s="5" t="s">
        <v>256</v>
      </c>
      <c r="AM91" s="903"/>
    </row>
    <row r="92" spans="1:39" s="84" customFormat="1" ht="18" hidden="1" customHeight="1">
      <c r="A92" s="634"/>
      <c r="B92" s="9"/>
      <c r="C92" s="9"/>
      <c r="D92" s="300"/>
      <c r="E92" s="9"/>
      <c r="F92" s="9"/>
      <c r="G92" s="9"/>
      <c r="H92" s="9"/>
      <c r="I92" s="9"/>
      <c r="J92" s="9"/>
      <c r="K92" s="9"/>
      <c r="L92" s="86"/>
      <c r="M92" s="86"/>
      <c r="N92" s="558" t="s">
        <v>2284</v>
      </c>
      <c r="O92" s="558" t="e">
        <f>IF(Mieter1,FALSE,AND(O79,O82=FALSE,O84=FALSE,O86=FALSE))</f>
        <v>#REF!</v>
      </c>
      <c r="P92" s="559" t="e">
        <f>IF(Mieter2,FALSE,AND(P79,P82=FALSE,P84=FALSE,P86=FALSE))</f>
        <v>#REF!</v>
      </c>
      <c r="Q92" s="559" t="e">
        <f>IF(Mieter3,FALSE,AND(Q79,Q82=FALSE,Q84=FALSE,Q86=FALSE))</f>
        <v>#REF!</v>
      </c>
      <c r="R92" s="560" t="e">
        <f>IF(Mieter4,FALSE,AND(R79,R82=FALSE,R84=FALSE,R86=FALSE))</f>
        <v>#REF!</v>
      </c>
      <c r="S92" s="560"/>
      <c r="T92" s="433" t="s">
        <v>2291</v>
      </c>
      <c r="AM92" s="903"/>
    </row>
    <row r="93" spans="1:39" s="84" customFormat="1" ht="18" hidden="1" customHeight="1">
      <c r="A93" s="636"/>
      <c r="B93" s="1026" t="str">
        <f>Uebersetzung!D463</f>
        <v>Autoproduction d‘électricité</v>
      </c>
      <c r="C93" s="1027"/>
      <c r="D93" s="1027"/>
      <c r="E93" s="1027"/>
      <c r="F93" s="1028"/>
      <c r="G93" s="1021" t="str">
        <f>Uebersetzung!D413</f>
        <v>Apport annuel spécifique [kWh/kWp]</v>
      </c>
      <c r="H93" s="1022"/>
      <c r="I93" s="1023" t="str">
        <f>Uebersetzung!D381</f>
        <v>Besoins personnels [%]</v>
      </c>
      <c r="J93" s="1024"/>
      <c r="K93" s="1025"/>
      <c r="L93" s="86"/>
      <c r="M93" s="86"/>
      <c r="N93" s="551" t="s">
        <v>2285</v>
      </c>
      <c r="O93" s="553" t="e">
        <f>IF(O92,#REF!,0)</f>
        <v>#REF!</v>
      </c>
      <c r="P93" s="441" t="e">
        <f>IF(P92,#REF!,0)</f>
        <v>#REF!</v>
      </c>
      <c r="Q93" s="441" t="e">
        <f>IF(Q92,#REF!,0)</f>
        <v>#REF!</v>
      </c>
      <c r="R93" s="554" t="e">
        <f>IF(R92,#REF!,0)</f>
        <v>#REF!</v>
      </c>
      <c r="S93" s="103" t="e">
        <f>SUM(O93:R93)</f>
        <v>#REF!</v>
      </c>
      <c r="AM93" s="903"/>
    </row>
    <row r="94" spans="1:39" s="84" customFormat="1" ht="18" hidden="1" customHeight="1">
      <c r="A94" s="641"/>
      <c r="B94" s="5"/>
      <c r="C94" s="5"/>
      <c r="D94" s="5"/>
      <c r="E94" s="5"/>
      <c r="F94" s="5"/>
      <c r="G94" s="605" t="e">
        <f>#REF!</f>
        <v>#REF!</v>
      </c>
      <c r="H94" s="607" t="e">
        <f>#REF!</f>
        <v>#REF!</v>
      </c>
      <c r="I94" s="609" t="e">
        <f>G94</f>
        <v>#REF!</v>
      </c>
      <c r="J94" s="1037" t="e">
        <f>H94</f>
        <v>#REF!</v>
      </c>
      <c r="K94" s="1038"/>
      <c r="L94" s="86"/>
      <c r="M94" s="86"/>
      <c r="N94" s="117" t="s">
        <v>1426</v>
      </c>
      <c r="O94" s="541" t="e">
        <f>IF(O92,IF(F86=$N$13,0.8,1)*IF(F87=$N$13,0.8,1),1)</f>
        <v>#REF!</v>
      </c>
      <c r="P94" s="322" t="e">
        <f>IF(P92,IF(G86=$N$13,0.8,1)*IF(G87=$N$13,0.8,1),1)</f>
        <v>#REF!</v>
      </c>
      <c r="Q94" s="322" t="e">
        <f>IF(Q92,IF(H86=$N$13,0.8,1)*IF(H87=$N$13,0.8,1),1)</f>
        <v>#REF!</v>
      </c>
      <c r="R94" s="539" t="e">
        <f>IF(R92,IF(I86=$N$13,0.8,1)*IF(I87=$N$13,0.8,1),1)</f>
        <v>#REF!</v>
      </c>
      <c r="S94" s="87"/>
      <c r="AM94" s="903"/>
    </row>
    <row r="95" spans="1:39" s="84" customFormat="1" ht="18" hidden="1" customHeight="1">
      <c r="A95" s="646" t="s">
        <v>1484</v>
      </c>
      <c r="B95" s="600" t="str">
        <f>Uebersetzung!D382</f>
        <v>Puissance installée (sans CCF) [kWp]</v>
      </c>
      <c r="C95" s="601"/>
      <c r="D95" s="601"/>
      <c r="E95" s="602"/>
      <c r="F95" s="538" t="s">
        <v>1437</v>
      </c>
      <c r="G95" s="606">
        <f>IF(OR(H95="",H95=0),800,H95)</f>
        <v>800</v>
      </c>
      <c r="H95" s="608"/>
      <c r="I95" s="610" t="e">
        <f>AI72</f>
        <v>#REF!</v>
      </c>
      <c r="J95" s="1039"/>
      <c r="K95" s="1040"/>
      <c r="L95" s="86"/>
      <c r="M95" s="86"/>
      <c r="N95" s="335" t="s">
        <v>1427</v>
      </c>
      <c r="O95" s="345" t="e">
        <f>IF(O92,O94*O91,0)*2</f>
        <v>#REF!</v>
      </c>
      <c r="P95" s="346" t="e">
        <f>IF(P92,P94*P91,0)*2</f>
        <v>#REF!</v>
      </c>
      <c r="Q95" s="346" t="e">
        <f>IF(Q92,Q94*Q91,0)*2</f>
        <v>#REF!</v>
      </c>
      <c r="R95" s="318" t="e">
        <f>IF(R92,R94*R91,0)*2</f>
        <v>#REF!</v>
      </c>
      <c r="S95" s="338" t="e">
        <f>IF(EBF&gt;0,(O91*O93*O94+P91*P93*P94+Q91*Q93*Q94+R91*R93*R94)*2/(_EBF1+_EBF2+_EBF3+_EBF4),0)</f>
        <v>#REF!</v>
      </c>
      <c r="T95" s="5" t="s">
        <v>256</v>
      </c>
      <c r="AM95" s="903"/>
    </row>
    <row r="96" spans="1:39" s="84" customFormat="1" ht="18" hidden="1" customHeight="1">
      <c r="A96" s="644" t="s">
        <v>2314</v>
      </c>
      <c r="B96" s="595" t="str">
        <f>Uebersetzung!D414</f>
        <v>Puissance installée spécifique, par m2 SRE:</v>
      </c>
      <c r="C96" s="596"/>
      <c r="D96" s="596"/>
      <c r="E96" s="597" t="e">
        <f>IF(EBF&gt;0,E95*1000/EBF,0)</f>
        <v>#REF!</v>
      </c>
      <c r="F96" s="598" t="s">
        <v>1438</v>
      </c>
      <c r="G96" s="615" t="str">
        <f>Uebersetzung!D475</f>
        <v>Capacité de la batterie [kWh]</v>
      </c>
      <c r="H96" s="599"/>
      <c r="I96" s="614" t="str">
        <f>Uebersetzung!D476</f>
        <v>Pertes de la batterie [%]:</v>
      </c>
      <c r="J96" s="1035"/>
      <c r="K96" s="1036"/>
      <c r="L96" s="86"/>
      <c r="M96" s="86"/>
      <c r="AM96" s="903"/>
    </row>
    <row r="97" spans="1:39" s="84" customFormat="1" ht="18" hidden="1" customHeight="1">
      <c r="A97" s="647" t="s">
        <v>1485</v>
      </c>
      <c r="B97" s="1032" t="str">
        <f>Uebersetzung!D452</f>
        <v>Taille minimale de l'installation d’autoproduction d’électricité:</v>
      </c>
      <c r="C97" s="1033"/>
      <c r="D97" s="1034"/>
      <c r="E97" s="603" t="e">
        <f>IF(Z74,"0",MIN(30,MAX(Z68*0.01+#REF!*EBF/G95,0)))</f>
        <v>#REF!</v>
      </c>
      <c r="F97" s="604" t="s">
        <v>1437</v>
      </c>
      <c r="G97" s="465"/>
      <c r="H97" s="466" t="str">
        <f>Uebersetzung!D386</f>
        <v xml:space="preserve">Exigence remplie?    </v>
      </c>
      <c r="I97" s="1015" t="e">
        <f>IF(wkk,Uebersetzung!D25,IF(EBF=0,"",IF(E97="0",Uebersetzung!$D$25,IF(ROUND(E95,2)&gt;=ROUND(E97,2),Uebersetzung!$D$25,Uebersetzung!$D$26))))</f>
        <v>#REF!</v>
      </c>
      <c r="J97" s="1016"/>
      <c r="K97" s="1017"/>
      <c r="L97" s="86"/>
      <c r="M97" s="86"/>
      <c r="N97" s="575" t="s">
        <v>2301</v>
      </c>
      <c r="AM97" s="903"/>
    </row>
    <row r="98" spans="1:39" s="84" customFormat="1" ht="18" hidden="1" customHeight="1">
      <c r="A98" s="641"/>
      <c r="B98" s="485" t="s">
        <v>1901</v>
      </c>
      <c r="C98" s="475"/>
      <c r="D98" s="475"/>
      <c r="E98" s="475"/>
      <c r="F98" s="484"/>
      <c r="G98" s="488" t="str">
        <f>Uebersetzung!D456</f>
        <v>Indice partiel
Besoins</v>
      </c>
      <c r="H98" s="489" t="str">
        <f>Uebersetzung!D457</f>
        <v>Production PV
(pondérée)</v>
      </c>
      <c r="I98" s="490"/>
      <c r="J98" s="490"/>
      <c r="K98" s="491"/>
      <c r="L98" s="86"/>
      <c r="M98" s="86"/>
      <c r="N98" s="314" t="s">
        <v>1392</v>
      </c>
      <c r="O98" s="90">
        <v>1</v>
      </c>
      <c r="P98" s="99">
        <v>2</v>
      </c>
      <c r="Q98" s="99">
        <v>3</v>
      </c>
      <c r="R98" s="309">
        <v>4</v>
      </c>
      <c r="S98" s="540" t="s">
        <v>2277</v>
      </c>
      <c r="AM98" s="903"/>
    </row>
    <row r="99" spans="1:39" s="84" customFormat="1" ht="18" hidden="1" customHeight="1">
      <c r="A99" s="642" t="s">
        <v>1490</v>
      </c>
      <c r="B99" s="1029" t="str">
        <f>Uebersetzung!D455</f>
        <v>Les besoins sont couverts par la production d’électricité:</v>
      </c>
      <c r="C99" s="1030"/>
      <c r="D99" s="1030"/>
      <c r="E99" s="1031"/>
      <c r="F99" s="468" t="s">
        <v>256</v>
      </c>
      <c r="G99" s="486" t="e">
        <f>S17+S20+S46+S57+S60+S69+S90+S95</f>
        <v>#REF!</v>
      </c>
      <c r="H99" s="487" t="e">
        <f>IF(EBF&gt;0,G95*E95/EBF-#REF!,0)*2</f>
        <v>#REF!</v>
      </c>
      <c r="I99" s="1018" t="e">
        <f>IF(EBF=0,"",IF(H99="0",Uebersetzung!$D$25,IF(ROUND(H99,1)&gt;=ROUND(G99,1),Uebersetzung!$D$25,Uebersetzung!$D$26)))</f>
        <v>#REF!</v>
      </c>
      <c r="J99" s="1019"/>
      <c r="K99" s="1020"/>
      <c r="L99" s="86"/>
      <c r="M99" s="86"/>
      <c r="N99" s="519" t="s">
        <v>2302</v>
      </c>
      <c r="O99" s="576" t="e">
        <f>IF(Kategorie1&lt;&gt;13,#REF!*#REF!,0)</f>
        <v>#REF!</v>
      </c>
      <c r="P99" s="579" t="e">
        <f>IF(Kategorie2&lt;&gt;13,#REF!*#REF!,0)</f>
        <v>#REF!</v>
      </c>
      <c r="Q99" s="579" t="e">
        <f>IF(Kategorie3&lt;&gt;13,#REF!*#REF!,)</f>
        <v>#REF!</v>
      </c>
      <c r="R99" s="579" t="e">
        <f>IF(Kategorie4&lt;&gt;13,#REF!*#REF!,0)</f>
        <v>#REF!</v>
      </c>
      <c r="S99" s="580" t="e">
        <f>IF(EBF=0,0,(O99*_EBF1+P99*_EBF2+Q99*_EBF3+R99*_EBF4)/(_EBF1+_EBF2+_EBF3+_EBF4))</f>
        <v>#REF!</v>
      </c>
      <c r="AM99" s="903"/>
    </row>
    <row r="100" spans="1:39" s="84" customFormat="1" ht="18" hidden="1" customHeight="1">
      <c r="A100" s="634"/>
      <c r="B100" s="5"/>
      <c r="C100" s="5"/>
      <c r="D100" s="5"/>
      <c r="E100" s="5"/>
      <c r="F100" s="5"/>
      <c r="G100" s="5"/>
      <c r="H100" s="5"/>
      <c r="I100" s="5"/>
      <c r="J100" s="5"/>
      <c r="K100" s="5"/>
      <c r="L100" s="86"/>
      <c r="M100" s="86"/>
      <c r="N100" s="510" t="s">
        <v>2303</v>
      </c>
      <c r="O100" s="106" t="e">
        <f>IF(Kategorie1&lt;&gt;13,(#REF!+#REF!)*2,0)</f>
        <v>#REF!</v>
      </c>
      <c r="P100" s="107" t="e">
        <f>IF(Kategorie2&lt;&gt;13,(#REF!+#REF!)*2,0)</f>
        <v>#REF!</v>
      </c>
      <c r="Q100" s="107" t="e">
        <f>IF(Kategorie3&lt;&gt;13,(#REF!+#REF!)*2,0)</f>
        <v>#REF!</v>
      </c>
      <c r="R100" s="107" t="e">
        <f>IF(Kategorie4&lt;&gt;13,(#REF!+#REF!)*2,0)</f>
        <v>#REF!</v>
      </c>
      <c r="S100" s="581" t="e">
        <f>IF(EBF=0,0,(O100*_EBF1+P100*_EBF2+Q100*_EBF3+R100*_EBF4)/(_EBF1+_EBF2+_EBF3+_EBF4))</f>
        <v>#REF!</v>
      </c>
      <c r="AM100" s="903"/>
    </row>
    <row r="101" spans="1:39" s="84" customFormat="1" ht="18" hidden="1" customHeight="1">
      <c r="A101" s="633"/>
      <c r="B101" s="5"/>
      <c r="C101" s="5"/>
      <c r="D101" s="22"/>
      <c r="E101" s="22"/>
      <c r="F101" s="32"/>
      <c r="G101" s="32"/>
      <c r="H101" s="32"/>
      <c r="I101" s="20"/>
      <c r="J101" s="9"/>
      <c r="K101" s="8"/>
      <c r="L101" s="86"/>
      <c r="M101" s="86"/>
      <c r="N101" s="520" t="s">
        <v>1391</v>
      </c>
      <c r="O101" s="577" t="e">
        <f>O99+O100</f>
        <v>#REF!</v>
      </c>
      <c r="P101" s="578" t="e">
        <f t="shared" ref="P101:R101" si="11">P99+P100</f>
        <v>#REF!</v>
      </c>
      <c r="Q101" s="578" t="e">
        <f t="shared" si="11"/>
        <v>#REF!</v>
      </c>
      <c r="R101" s="578" t="e">
        <f t="shared" si="11"/>
        <v>#REF!</v>
      </c>
      <c r="S101" s="582" t="e">
        <f>IF(EBF=0,0,(O101*_EBF1+P101*_EBF2+Q101*_EBF3+R101*_EBF4)/(_EBF1+_EBF2+_EBF3+_EBF4))</f>
        <v>#REF!</v>
      </c>
      <c r="AM101" s="903"/>
    </row>
    <row r="102" spans="1:39" s="84" customFormat="1" ht="18" hidden="1" customHeight="1">
      <c r="A102" s="633"/>
      <c r="B102" s="50" t="str">
        <f>Uebersetzung!D384</f>
        <v>Autres exigences</v>
      </c>
      <c r="C102" s="93"/>
      <c r="D102" s="52" t="str">
        <f>Uebersetzung!D385</f>
        <v>Autodéclaration/attestation</v>
      </c>
      <c r="E102" s="52"/>
      <c r="F102" s="51"/>
      <c r="G102" s="450"/>
      <c r="H102" s="89"/>
      <c r="I102" s="1043" t="str">
        <f>Uebersetzung!D386</f>
        <v xml:space="preserve">Exigence remplie?    </v>
      </c>
      <c r="J102" s="1043"/>
      <c r="K102" s="1044"/>
      <c r="L102" s="86"/>
      <c r="M102" s="86"/>
      <c r="N102" s="691" t="s">
        <v>2713</v>
      </c>
      <c r="O102" s="692" t="e">
        <f>IF(Kategorie1&lt;&gt;13,(#REF!)*2,0)</f>
        <v>#REF!</v>
      </c>
      <c r="P102" s="693" t="e">
        <f>IF(Kategorie2&lt;&gt;13,(#REF!)*2,0)</f>
        <v>#REF!</v>
      </c>
      <c r="Q102" s="693" t="e">
        <f>IF(Kategorie3&lt;&gt;13,(#REF!)*2,0)</f>
        <v>#REF!</v>
      </c>
      <c r="R102" s="693" t="e">
        <f>IF(Kategorie4&lt;&gt;13,(#REF!)*2,0)</f>
        <v>#REF!</v>
      </c>
      <c r="S102" s="570" t="e">
        <f>IF(EBF=0,0,(O102*_EBF1+P102*_EBF2+Q102*_EBF3+R102*_EBF4)/(_EBF1+_EBF2+_EBF3+_EBF4))</f>
        <v>#REF!</v>
      </c>
      <c r="AM102" s="903"/>
    </row>
    <row r="103" spans="1:39" s="84" customFormat="1" ht="18" hidden="1" customHeight="1">
      <c r="A103" s="634" t="s">
        <v>2312</v>
      </c>
      <c r="B103" s="1002" t="e">
        <f>IF(auswahl1&gt;0,INDEX(#REF!,2),"")</f>
        <v>#REF!</v>
      </c>
      <c r="C103" s="1003"/>
      <c r="D103" s="924" t="e">
        <f>IF(auswahl1&gt;0,INDEX(#REF!,2),"")</f>
        <v>#REF!</v>
      </c>
      <c r="E103" s="925"/>
      <c r="F103" s="925"/>
      <c r="G103" s="925"/>
      <c r="H103" s="926"/>
      <c r="I103" s="656"/>
      <c r="J103" s="932" t="e">
        <f>IF(AND(B103&lt;&gt;"",I103=$N$14),$R$13,IF(OR(I103="",B103=""),,$Q$13))</f>
        <v>#REF!</v>
      </c>
      <c r="K103" s="933"/>
      <c r="L103" s="86"/>
      <c r="M103" s="86"/>
      <c r="AM103" s="903"/>
    </row>
    <row r="104" spans="1:39" s="84" customFormat="1" ht="18" hidden="1" customHeight="1">
      <c r="A104" s="634" t="s">
        <v>205</v>
      </c>
      <c r="B104" s="965" t="e">
        <f>IF(auswahl2&gt;0,INDEX(#REF!,3),"")</f>
        <v>#REF!</v>
      </c>
      <c r="C104" s="966"/>
      <c r="D104" s="927" t="e">
        <f>IF(auswahl2&gt;0,INDEX(#REF!,3),"")</f>
        <v>#REF!</v>
      </c>
      <c r="E104" s="928"/>
      <c r="F104" s="928"/>
      <c r="G104" s="929"/>
      <c r="H104" s="657"/>
      <c r="I104" s="440"/>
      <c r="J104" s="629"/>
      <c r="K104" s="654" t="str">
        <f>"1.6 m3/hm2"</f>
        <v>1.6 m3/hm2</v>
      </c>
      <c r="L104" s="86"/>
      <c r="M104" s="86"/>
      <c r="AM104" s="903"/>
    </row>
    <row r="105" spans="1:39" s="84" customFormat="1" ht="18" hidden="1" customHeight="1">
      <c r="A105" s="634" t="s">
        <v>2313</v>
      </c>
      <c r="B105" s="965" t="e">
        <f>IF(auswahl3&gt;0,INDEX(#REF!,4),"")</f>
        <v>#REF!</v>
      </c>
      <c r="C105" s="966"/>
      <c r="D105" s="927" t="e">
        <f>IF(auswahl3&gt;0,INDEX(#REF!,4),"")</f>
        <v>#REF!</v>
      </c>
      <c r="E105" s="928"/>
      <c r="F105" s="928"/>
      <c r="G105" s="928"/>
      <c r="H105" s="929"/>
      <c r="I105" s="440"/>
      <c r="J105" s="930" t="e">
        <f>IF(AND(B105&lt;&gt;"",I105=$N$14),$R$13,IF(OR(I105="",B105=""),,$Q$13))</f>
        <v>#REF!</v>
      </c>
      <c r="K105" s="931"/>
      <c r="L105" s="86"/>
      <c r="M105" s="86"/>
      <c r="AM105" s="903"/>
    </row>
    <row r="106" spans="1:39" s="84" customFormat="1" ht="18" hidden="1" customHeight="1">
      <c r="A106" s="634" t="s">
        <v>2540</v>
      </c>
      <c r="B106" s="965" t="e">
        <f>IF(auswahl4&gt;0,INDEX(#REF!,5),"")</f>
        <v>#REF!</v>
      </c>
      <c r="C106" s="966"/>
      <c r="D106" s="927" t="e">
        <f>IF(auswahl4&gt;0,INDEX(#REF!,5),"")</f>
        <v>#REF!</v>
      </c>
      <c r="E106" s="928"/>
      <c r="F106" s="928"/>
      <c r="G106" s="929"/>
      <c r="H106" s="657"/>
      <c r="I106" s="451"/>
      <c r="J106" s="628"/>
      <c r="K106" s="655" t="e">
        <f>IF(AND(B106&lt;&gt;"",I106=$N$14),$R$13,IF(OR(I106="",B106=""),,$Q$13))</f>
        <v>#REF!</v>
      </c>
      <c r="L106" s="86"/>
      <c r="M106" s="86"/>
      <c r="AM106" s="903"/>
    </row>
    <row r="107" spans="1:39" s="84" customFormat="1" ht="18" hidden="1" customHeight="1">
      <c r="A107" s="634" t="s">
        <v>2413</v>
      </c>
      <c r="B107" s="965" t="e">
        <f>IF(auswahl5&gt;0,INDEX(#REF!,6),"")</f>
        <v>#REF!</v>
      </c>
      <c r="C107" s="966"/>
      <c r="D107" s="927" t="e">
        <f>IF(auswahl5&gt;0,INDEX(#REF!,6),"")</f>
        <v>#REF!</v>
      </c>
      <c r="E107" s="928"/>
      <c r="F107" s="928"/>
      <c r="G107" s="928"/>
      <c r="H107" s="929"/>
      <c r="I107" s="440"/>
      <c r="J107" s="922"/>
      <c r="K107" s="923"/>
      <c r="L107" s="86"/>
      <c r="M107" s="86"/>
      <c r="AM107" s="903"/>
    </row>
    <row r="108" spans="1:39" s="84" customFormat="1" ht="18" hidden="1" customHeight="1">
      <c r="A108" s="634" t="s">
        <v>2541</v>
      </c>
      <c r="B108" s="965" t="e">
        <f>IF(auswahl6&gt;0,INDEX(#REF!,7),"")</f>
        <v>#REF!</v>
      </c>
      <c r="C108" s="966"/>
      <c r="D108" s="927" t="e">
        <f>IF(auswahl6&gt;0,INDEX(#REF!,7),"")</f>
        <v>#REF!</v>
      </c>
      <c r="E108" s="928"/>
      <c r="F108" s="928"/>
      <c r="G108" s="928"/>
      <c r="H108" s="929"/>
      <c r="I108" s="452"/>
      <c r="J108" s="922"/>
      <c r="K108" s="923"/>
      <c r="L108" s="86"/>
      <c r="M108" s="86"/>
      <c r="AM108" s="903"/>
    </row>
    <row r="109" spans="1:39" s="84" customFormat="1" ht="18" hidden="1" customHeight="1">
      <c r="A109" s="634" t="s">
        <v>2544</v>
      </c>
      <c r="B109" s="716" t="e">
        <f>IF(auswahl7&gt;0,INDEX(#REF!,8),"")</f>
        <v>#REF!</v>
      </c>
      <c r="C109" s="717"/>
      <c r="D109" s="732" t="e">
        <f>IF(auswahl7&gt;0,INDEX(#REF!,8),"")</f>
        <v>#REF!</v>
      </c>
      <c r="E109" s="733"/>
      <c r="F109" s="733"/>
      <c r="G109" s="733"/>
      <c r="H109" s="734"/>
      <c r="I109" s="440"/>
      <c r="J109" s="719" t="e">
        <f>IF(AND(B109&lt;&gt;"",I109=$N$14),$R$13,IF(OR(I109="",B109=""),,$Q$13))</f>
        <v>#REF!</v>
      </c>
      <c r="K109" s="720"/>
      <c r="L109" s="86"/>
      <c r="M109" s="86"/>
      <c r="AM109" s="903"/>
    </row>
    <row r="110" spans="1:39" s="84" customFormat="1" ht="18" hidden="1" customHeight="1">
      <c r="A110" s="634" t="s">
        <v>2542</v>
      </c>
      <c r="B110" s="716" t="e">
        <f>IF(auswahl8&gt;0,INDEX(#REF!,9),"")</f>
        <v>#REF!</v>
      </c>
      <c r="C110" s="717"/>
      <c r="D110" s="721" t="e">
        <f>IF(auswahl8&gt;0,INDEX(#REF!,9),"")</f>
        <v>#REF!</v>
      </c>
      <c r="E110" s="722"/>
      <c r="F110" s="722"/>
      <c r="G110" s="722"/>
      <c r="H110" s="723"/>
      <c r="I110" s="440"/>
      <c r="J110" s="725"/>
      <c r="K110" s="726"/>
      <c r="L110" s="86"/>
      <c r="M110" s="86"/>
      <c r="AM110" s="903"/>
    </row>
    <row r="111" spans="1:39" s="84" customFormat="1" ht="18" hidden="1" customHeight="1">
      <c r="A111" s="634" t="s">
        <v>2543</v>
      </c>
      <c r="B111" s="718" t="e">
        <f>IF(auswahl9&gt;0,INDEX(#REF!,10),"")</f>
        <v>#REF!</v>
      </c>
      <c r="C111" s="724"/>
      <c r="D111" s="729" t="e">
        <f>IF(auswahl9&gt;0,INDEX(#REF!,10),"")</f>
        <v>#REF!</v>
      </c>
      <c r="E111" s="730"/>
      <c r="F111" s="730"/>
      <c r="G111" s="730"/>
      <c r="H111" s="731"/>
      <c r="I111" s="453"/>
      <c r="J111" s="727" t="e">
        <f>IF(AND(B111&lt;&gt;"",I111=$N$14),$R$13,IF(OR(I111="",B111=""),,$Q$13))</f>
        <v>#REF!</v>
      </c>
      <c r="K111" s="728"/>
      <c r="L111" s="86"/>
      <c r="M111" s="86"/>
      <c r="AM111" s="903"/>
    </row>
    <row r="112" spans="1:39" s="84" customFormat="1" ht="18" hidden="1" customHeight="1">
      <c r="A112" s="638"/>
      <c r="B112" s="431">
        <f ca="1">NOW()</f>
        <v>43157.464211226848</v>
      </c>
      <c r="C112" s="5"/>
      <c r="D112" s="5"/>
      <c r="E112" s="5"/>
      <c r="F112" s="5"/>
      <c r="G112" s="5"/>
      <c r="H112" s="5"/>
      <c r="I112" s="5"/>
      <c r="J112" s="5"/>
      <c r="K112" s="98" t="e">
        <f>#REF!&amp;" / "&amp;#REF!&amp;" / "&amp;#REF!&amp;" / "&amp;#REF!&amp;" / "&amp;#REF!&amp;" / "&amp;#REF!&amp;" / "&amp;#REF!</f>
        <v>#REF!</v>
      </c>
      <c r="L112" s="86"/>
      <c r="M112" s="86"/>
      <c r="AM112" s="903"/>
    </row>
    <row r="113" spans="1:39" s="84" customFormat="1" ht="18" customHeight="1">
      <c r="A113" s="639"/>
      <c r="F113" s="85"/>
      <c r="G113" s="85"/>
      <c r="H113" s="85"/>
      <c r="I113" s="85"/>
      <c r="L113" s="86"/>
      <c r="M113" s="86"/>
      <c r="AM113" s="903"/>
    </row>
    <row r="114" spans="1:39" s="84" customFormat="1" ht="18" customHeight="1">
      <c r="A114" s="639"/>
      <c r="F114" s="85"/>
      <c r="G114" s="85"/>
      <c r="H114" s="85"/>
      <c r="I114" s="85"/>
      <c r="L114" s="86"/>
      <c r="M114" s="86"/>
      <c r="AM114" s="903"/>
    </row>
    <row r="115" spans="1:39" s="84" customFormat="1" ht="18" customHeight="1">
      <c r="A115" s="639"/>
      <c r="F115" s="85"/>
      <c r="G115" s="85"/>
      <c r="H115" s="85"/>
      <c r="I115" s="85"/>
      <c r="L115" s="86"/>
      <c r="M115" s="86"/>
      <c r="AM115" s="903"/>
    </row>
    <row r="116" spans="1:39" s="84" customFormat="1" ht="18" customHeight="1">
      <c r="A116" s="639"/>
      <c r="F116" s="85"/>
      <c r="G116" s="85"/>
      <c r="H116" s="85"/>
      <c r="I116" s="85"/>
      <c r="L116" s="86"/>
      <c r="M116" s="86"/>
      <c r="AM116" s="903"/>
    </row>
    <row r="117" spans="1:39" s="84" customFormat="1" ht="18" customHeight="1">
      <c r="A117" s="639"/>
      <c r="F117" s="85"/>
      <c r="G117" s="85"/>
      <c r="H117" s="85"/>
      <c r="I117" s="85"/>
      <c r="L117" s="86"/>
      <c r="M117" s="86"/>
      <c r="AM117" s="903"/>
    </row>
    <row r="118" spans="1:39" s="84" customFormat="1" ht="18" customHeight="1">
      <c r="A118" s="639"/>
      <c r="F118" s="85"/>
      <c r="G118" s="85"/>
      <c r="H118" s="85"/>
      <c r="I118" s="85"/>
      <c r="L118" s="86"/>
      <c r="M118" s="86"/>
      <c r="AM118" s="903"/>
    </row>
    <row r="119" spans="1:39" s="84" customFormat="1" ht="18" customHeight="1">
      <c r="A119" s="639"/>
      <c r="F119" s="85"/>
      <c r="G119" s="85"/>
      <c r="H119" s="85"/>
      <c r="I119" s="85"/>
      <c r="L119" s="86"/>
      <c r="M119" s="86"/>
      <c r="AM119" s="903"/>
    </row>
    <row r="120" spans="1:39" s="84" customFormat="1" ht="18" customHeight="1">
      <c r="A120" s="639"/>
      <c r="F120" s="85"/>
      <c r="G120" s="85"/>
      <c r="H120" s="85"/>
      <c r="I120" s="85"/>
      <c r="L120" s="86"/>
      <c r="M120" s="86"/>
      <c r="AM120" s="903"/>
    </row>
    <row r="121" spans="1:39" s="84" customFormat="1" ht="18" customHeight="1">
      <c r="A121" s="639"/>
      <c r="F121" s="85"/>
      <c r="G121" s="85"/>
      <c r="H121" s="85"/>
      <c r="I121" s="85"/>
      <c r="L121" s="86"/>
      <c r="M121" s="86"/>
      <c r="AM121" s="903"/>
    </row>
    <row r="122" spans="1:39" s="84" customFormat="1" ht="18" customHeight="1">
      <c r="A122" s="639"/>
      <c r="F122" s="85"/>
      <c r="G122" s="85"/>
      <c r="H122" s="85"/>
      <c r="I122" s="85"/>
      <c r="L122" s="86"/>
      <c r="M122" s="86"/>
      <c r="AM122" s="903"/>
    </row>
    <row r="123" spans="1:39" s="84" customFormat="1" ht="18" customHeight="1">
      <c r="A123" s="639"/>
      <c r="F123" s="85"/>
      <c r="G123" s="85"/>
      <c r="H123" s="85"/>
      <c r="I123" s="85"/>
      <c r="L123" s="86"/>
      <c r="M123" s="86"/>
      <c r="AM123" s="903"/>
    </row>
    <row r="124" spans="1:39" s="84" customFormat="1" ht="18" customHeight="1">
      <c r="A124" s="639"/>
      <c r="F124" s="85"/>
      <c r="G124" s="85"/>
      <c r="H124" s="85"/>
      <c r="I124" s="85"/>
      <c r="L124" s="86"/>
      <c r="M124" s="86"/>
      <c r="AM124" s="903"/>
    </row>
    <row r="125" spans="1:39" s="84" customFormat="1" ht="18" customHeight="1">
      <c r="A125" s="639"/>
      <c r="F125" s="85"/>
      <c r="G125" s="85"/>
      <c r="H125" s="85"/>
      <c r="I125" s="85"/>
      <c r="L125" s="86"/>
      <c r="M125" s="86"/>
      <c r="AM125" s="903"/>
    </row>
    <row r="126" spans="1:39" s="84" customFormat="1" ht="18" customHeight="1">
      <c r="A126" s="639"/>
      <c r="F126" s="85"/>
      <c r="G126" s="85"/>
      <c r="H126" s="85"/>
      <c r="I126" s="85"/>
      <c r="L126" s="86"/>
      <c r="M126" s="86"/>
      <c r="AM126" s="903"/>
    </row>
    <row r="127" spans="1:39" s="84" customFormat="1" ht="18" customHeight="1">
      <c r="A127" s="639"/>
      <c r="F127" s="85"/>
      <c r="G127" s="85"/>
      <c r="H127" s="85"/>
      <c r="I127" s="85"/>
      <c r="L127" s="86"/>
      <c r="M127" s="86"/>
      <c r="AM127" s="903"/>
    </row>
    <row r="128" spans="1:39" s="84" customFormat="1" ht="18" customHeight="1">
      <c r="A128" s="639"/>
      <c r="F128" s="85"/>
      <c r="G128" s="85"/>
      <c r="H128" s="85"/>
      <c r="I128" s="85"/>
      <c r="L128" s="86"/>
      <c r="M128" s="86"/>
      <c r="AM128" s="903"/>
    </row>
    <row r="129" spans="1:39" s="84" customFormat="1" ht="18" customHeight="1">
      <c r="A129" s="639"/>
      <c r="F129" s="85"/>
      <c r="G129" s="85"/>
      <c r="H129" s="85"/>
      <c r="I129" s="85"/>
      <c r="L129" s="86"/>
      <c r="M129" s="86"/>
      <c r="AM129" s="903"/>
    </row>
    <row r="130" spans="1:39" s="84" customFormat="1" ht="18" customHeight="1">
      <c r="A130" s="639"/>
      <c r="F130" s="85"/>
      <c r="G130" s="85"/>
      <c r="H130" s="85"/>
      <c r="I130" s="85"/>
      <c r="L130" s="86"/>
      <c r="M130" s="86"/>
      <c r="AM130" s="903"/>
    </row>
    <row r="131" spans="1:39" s="84" customFormat="1" ht="18" customHeight="1">
      <c r="A131" s="639"/>
      <c r="F131" s="85"/>
      <c r="G131" s="85"/>
      <c r="H131" s="85"/>
      <c r="I131" s="85"/>
      <c r="L131" s="86"/>
      <c r="M131" s="86"/>
      <c r="AM131" s="903"/>
    </row>
    <row r="132" spans="1:39" s="84" customFormat="1" ht="18" customHeight="1">
      <c r="A132" s="639"/>
      <c r="F132" s="85"/>
      <c r="G132" s="85"/>
      <c r="H132" s="85"/>
      <c r="I132" s="85"/>
      <c r="L132" s="86"/>
      <c r="M132" s="86"/>
      <c r="AM132" s="903"/>
    </row>
    <row r="133" spans="1:39" s="84" customFormat="1" ht="18" customHeight="1">
      <c r="A133" s="639"/>
      <c r="F133" s="85"/>
      <c r="G133" s="85"/>
      <c r="H133" s="85"/>
      <c r="I133" s="85"/>
      <c r="L133" s="86"/>
      <c r="M133" s="86"/>
      <c r="AM133" s="903"/>
    </row>
    <row r="134" spans="1:39" s="84" customFormat="1" ht="18" customHeight="1">
      <c r="A134" s="639"/>
      <c r="F134" s="85"/>
      <c r="G134" s="85"/>
      <c r="H134" s="85"/>
      <c r="I134" s="85"/>
      <c r="L134" s="86"/>
      <c r="M134" s="86"/>
      <c r="AM134" s="903"/>
    </row>
    <row r="135" spans="1:39" s="84" customFormat="1" ht="18" customHeight="1">
      <c r="A135" s="639"/>
      <c r="F135" s="85"/>
      <c r="G135" s="85"/>
      <c r="H135" s="85"/>
      <c r="I135" s="85"/>
      <c r="L135" s="86"/>
      <c r="M135" s="86"/>
      <c r="AM135" s="903"/>
    </row>
    <row r="136" spans="1:39" s="84" customFormat="1" ht="18" customHeight="1">
      <c r="A136" s="639"/>
      <c r="F136" s="85"/>
      <c r="G136" s="85"/>
      <c r="H136" s="85"/>
      <c r="I136" s="85"/>
      <c r="L136" s="86"/>
      <c r="M136" s="86"/>
      <c r="AM136" s="903"/>
    </row>
    <row r="137" spans="1:39" s="84" customFormat="1" ht="18" customHeight="1">
      <c r="A137" s="639"/>
      <c r="F137" s="85"/>
      <c r="G137" s="85"/>
      <c r="H137" s="85"/>
      <c r="I137" s="85"/>
      <c r="L137" s="86"/>
      <c r="M137" s="86"/>
      <c r="AM137" s="903"/>
    </row>
    <row r="138" spans="1:39" s="84" customFormat="1" ht="18" customHeight="1">
      <c r="A138" s="639"/>
      <c r="F138" s="85"/>
      <c r="G138" s="85"/>
      <c r="H138" s="85"/>
      <c r="I138" s="85"/>
      <c r="L138" s="86"/>
      <c r="M138" s="86"/>
      <c r="AM138" s="903"/>
    </row>
    <row r="139" spans="1:39" s="84" customFormat="1" ht="18" customHeight="1">
      <c r="A139" s="639"/>
      <c r="F139" s="85"/>
      <c r="G139" s="85"/>
      <c r="H139" s="85"/>
      <c r="I139" s="85"/>
      <c r="L139" s="86"/>
      <c r="M139" s="86"/>
      <c r="AM139" s="903"/>
    </row>
    <row r="140" spans="1:39" s="84" customFormat="1" ht="18" customHeight="1">
      <c r="A140" s="639"/>
      <c r="F140" s="85"/>
      <c r="G140" s="85"/>
      <c r="H140" s="85"/>
      <c r="I140" s="85"/>
      <c r="L140" s="86"/>
      <c r="M140" s="86"/>
      <c r="AM140" s="903"/>
    </row>
    <row r="141" spans="1:39" s="84" customFormat="1" ht="18" customHeight="1">
      <c r="A141" s="639"/>
      <c r="F141" s="85"/>
      <c r="G141" s="85"/>
      <c r="H141" s="85"/>
      <c r="I141" s="85"/>
      <c r="L141" s="86"/>
      <c r="M141" s="86"/>
      <c r="AM141" s="903"/>
    </row>
    <row r="142" spans="1:39" s="84" customFormat="1" ht="18" customHeight="1">
      <c r="A142" s="639"/>
      <c r="F142" s="85"/>
      <c r="G142" s="85"/>
      <c r="H142" s="85"/>
      <c r="I142" s="85"/>
      <c r="L142" s="86"/>
      <c r="M142" s="86"/>
      <c r="AM142" s="903"/>
    </row>
    <row r="143" spans="1:39" s="84" customFormat="1" ht="18" customHeight="1">
      <c r="A143" s="639"/>
      <c r="F143" s="85"/>
      <c r="G143" s="85"/>
      <c r="H143" s="85"/>
      <c r="I143" s="85"/>
      <c r="L143" s="86"/>
      <c r="M143" s="86"/>
      <c r="AM143" s="903"/>
    </row>
    <row r="144" spans="1:39" s="84" customFormat="1" ht="18" customHeight="1">
      <c r="A144" s="639"/>
      <c r="F144" s="85"/>
      <c r="G144" s="85"/>
      <c r="H144" s="85"/>
      <c r="I144" s="85"/>
      <c r="L144" s="86"/>
      <c r="M144" s="86"/>
      <c r="AM144" s="903"/>
    </row>
    <row r="145" spans="1:39" s="84" customFormat="1" ht="18" customHeight="1">
      <c r="A145" s="639"/>
      <c r="F145" s="85"/>
      <c r="G145" s="85"/>
      <c r="H145" s="85"/>
      <c r="I145" s="85"/>
      <c r="L145" s="86"/>
      <c r="M145" s="86"/>
      <c r="AM145" s="903"/>
    </row>
    <row r="146" spans="1:39" s="84" customFormat="1" ht="18" customHeight="1">
      <c r="A146" s="639"/>
      <c r="F146" s="85"/>
      <c r="G146" s="85"/>
      <c r="H146" s="85"/>
      <c r="I146" s="85"/>
      <c r="L146" s="86"/>
      <c r="M146" s="86"/>
      <c r="AM146" s="903"/>
    </row>
    <row r="147" spans="1:39" s="84" customFormat="1" ht="18" customHeight="1">
      <c r="A147" s="639"/>
      <c r="F147" s="85"/>
      <c r="G147" s="85"/>
      <c r="H147" s="85"/>
      <c r="I147" s="85"/>
      <c r="L147" s="86"/>
      <c r="M147" s="86"/>
      <c r="AM147" s="903"/>
    </row>
    <row r="148" spans="1:39" s="84" customFormat="1" ht="18" customHeight="1">
      <c r="A148" s="639"/>
      <c r="F148" s="85"/>
      <c r="G148" s="85"/>
      <c r="H148" s="85"/>
      <c r="I148" s="85"/>
      <c r="L148" s="86"/>
      <c r="M148" s="86"/>
      <c r="AM148" s="903"/>
    </row>
    <row r="149" spans="1:39" s="84" customFormat="1" ht="18" customHeight="1">
      <c r="A149" s="639"/>
      <c r="F149" s="85"/>
      <c r="G149" s="85"/>
      <c r="H149" s="85"/>
      <c r="I149" s="85"/>
      <c r="L149" s="86"/>
      <c r="M149" s="86"/>
      <c r="AM149" s="903"/>
    </row>
    <row r="150" spans="1:39" s="84" customFormat="1" ht="18" customHeight="1">
      <c r="A150" s="639"/>
      <c r="F150" s="85"/>
      <c r="G150" s="85"/>
      <c r="H150" s="85"/>
      <c r="I150" s="85"/>
      <c r="L150" s="86"/>
      <c r="M150" s="86"/>
      <c r="AM150" s="903"/>
    </row>
    <row r="151" spans="1:39" s="84" customFormat="1" ht="18" customHeight="1">
      <c r="A151" s="639"/>
      <c r="F151" s="85"/>
      <c r="G151" s="85"/>
      <c r="H151" s="85"/>
      <c r="I151" s="85"/>
      <c r="L151" s="86"/>
      <c r="M151" s="86"/>
      <c r="AM151" s="903"/>
    </row>
    <row r="152" spans="1:39" s="84" customFormat="1" ht="18" customHeight="1">
      <c r="A152" s="639"/>
      <c r="F152" s="85"/>
      <c r="G152" s="85"/>
      <c r="H152" s="85"/>
      <c r="I152" s="85"/>
      <c r="L152" s="86"/>
      <c r="M152" s="86"/>
      <c r="AM152" s="903"/>
    </row>
    <row r="153" spans="1:39" s="84" customFormat="1" ht="18" customHeight="1">
      <c r="A153" s="639"/>
      <c r="F153" s="85"/>
      <c r="G153" s="85"/>
      <c r="H153" s="85"/>
      <c r="I153" s="85"/>
      <c r="L153" s="86"/>
      <c r="M153" s="86"/>
      <c r="AM153" s="903"/>
    </row>
    <row r="154" spans="1:39" s="84" customFormat="1" ht="18" customHeight="1">
      <c r="A154" s="639"/>
      <c r="F154" s="85"/>
      <c r="G154" s="85"/>
      <c r="H154" s="85"/>
      <c r="I154" s="85"/>
      <c r="L154" s="86"/>
      <c r="M154" s="86"/>
      <c r="AM154" s="903"/>
    </row>
    <row r="155" spans="1:39" s="84" customFormat="1" ht="18" customHeight="1">
      <c r="A155" s="639"/>
      <c r="F155" s="85"/>
      <c r="G155" s="85"/>
      <c r="H155" s="85"/>
      <c r="I155" s="85"/>
      <c r="L155" s="86"/>
      <c r="M155" s="86"/>
      <c r="AM155" s="903"/>
    </row>
    <row r="156" spans="1:39" s="84" customFormat="1" ht="18" customHeight="1">
      <c r="A156" s="639"/>
      <c r="F156" s="85"/>
      <c r="G156" s="85"/>
      <c r="H156" s="85"/>
      <c r="I156" s="85"/>
      <c r="L156" s="86"/>
      <c r="M156" s="86"/>
      <c r="AM156" s="903"/>
    </row>
    <row r="157" spans="1:39" s="84" customFormat="1" ht="18" customHeight="1">
      <c r="A157" s="639"/>
      <c r="F157" s="85"/>
      <c r="G157" s="85"/>
      <c r="H157" s="85"/>
      <c r="I157" s="85"/>
      <c r="L157" s="86"/>
      <c r="M157" s="86"/>
      <c r="AM157" s="903"/>
    </row>
    <row r="158" spans="1:39" s="84" customFormat="1" ht="18" customHeight="1">
      <c r="A158" s="639"/>
      <c r="F158" s="85"/>
      <c r="G158" s="85"/>
      <c r="H158" s="85"/>
      <c r="I158" s="85"/>
      <c r="L158" s="86"/>
      <c r="M158" s="86"/>
      <c r="AM158" s="903"/>
    </row>
    <row r="159" spans="1:39" s="84" customFormat="1" ht="18" customHeight="1">
      <c r="A159" s="639"/>
      <c r="F159" s="85"/>
      <c r="G159" s="85"/>
      <c r="H159" s="85"/>
      <c r="I159" s="85"/>
      <c r="L159" s="86"/>
      <c r="M159" s="86"/>
      <c r="AM159" s="903"/>
    </row>
    <row r="160" spans="1:39" s="84" customFormat="1" ht="18" customHeight="1">
      <c r="A160" s="639"/>
      <c r="F160" s="85"/>
      <c r="G160" s="85"/>
      <c r="H160" s="85"/>
      <c r="I160" s="85"/>
      <c r="L160" s="86"/>
      <c r="M160" s="86"/>
      <c r="AM160" s="903"/>
    </row>
    <row r="161" spans="1:39" s="84" customFormat="1" ht="18" customHeight="1">
      <c r="A161" s="639"/>
      <c r="F161" s="85"/>
      <c r="G161" s="85"/>
      <c r="H161" s="85"/>
      <c r="I161" s="85"/>
      <c r="L161" s="86"/>
      <c r="M161" s="86"/>
      <c r="AM161" s="903"/>
    </row>
    <row r="162" spans="1:39" s="84" customFormat="1" ht="18" customHeight="1">
      <c r="A162" s="639"/>
      <c r="F162" s="85"/>
      <c r="G162" s="85"/>
      <c r="H162" s="85"/>
      <c r="I162" s="85"/>
      <c r="L162" s="86"/>
      <c r="M162" s="86"/>
      <c r="AM162" s="903"/>
    </row>
    <row r="163" spans="1:39" s="84" customFormat="1" ht="18" customHeight="1">
      <c r="A163" s="639"/>
      <c r="F163" s="85"/>
      <c r="G163" s="85"/>
      <c r="H163" s="85"/>
      <c r="I163" s="85"/>
      <c r="L163" s="86"/>
      <c r="M163" s="86"/>
      <c r="AM163" s="903"/>
    </row>
    <row r="164" spans="1:39" s="84" customFormat="1" ht="18" customHeight="1">
      <c r="A164" s="639"/>
      <c r="F164" s="85"/>
      <c r="G164" s="85"/>
      <c r="H164" s="85"/>
      <c r="I164" s="85"/>
      <c r="L164" s="86"/>
      <c r="M164" s="86"/>
      <c r="AM164" s="903"/>
    </row>
    <row r="165" spans="1:39" s="84" customFormat="1" ht="18" customHeight="1">
      <c r="A165" s="639"/>
      <c r="F165" s="85"/>
      <c r="G165" s="85"/>
      <c r="H165" s="85"/>
      <c r="I165" s="85"/>
      <c r="L165" s="86"/>
      <c r="M165" s="86"/>
      <c r="AM165" s="903"/>
    </row>
    <row r="166" spans="1:39" s="84" customFormat="1" ht="18" customHeight="1">
      <c r="A166" s="639"/>
      <c r="F166" s="85"/>
      <c r="G166" s="85"/>
      <c r="H166" s="85"/>
      <c r="I166" s="85"/>
      <c r="L166" s="86"/>
      <c r="M166" s="86"/>
      <c r="AM166" s="903"/>
    </row>
    <row r="167" spans="1:39" s="84" customFormat="1" ht="18" customHeight="1">
      <c r="A167" s="639"/>
      <c r="F167" s="85"/>
      <c r="G167" s="85"/>
      <c r="H167" s="85"/>
      <c r="I167" s="85"/>
      <c r="L167" s="86"/>
      <c r="M167" s="86"/>
      <c r="AM167" s="903"/>
    </row>
    <row r="168" spans="1:39" s="84" customFormat="1" ht="18" customHeight="1">
      <c r="A168" s="639"/>
      <c r="F168" s="85"/>
      <c r="G168" s="85"/>
      <c r="H168" s="85"/>
      <c r="I168" s="85"/>
      <c r="L168" s="86"/>
      <c r="M168" s="86"/>
      <c r="AM168" s="903"/>
    </row>
    <row r="169" spans="1:39" s="84" customFormat="1" ht="18" customHeight="1">
      <c r="A169" s="639"/>
      <c r="F169" s="85"/>
      <c r="G169" s="85"/>
      <c r="H169" s="85"/>
      <c r="I169" s="85"/>
      <c r="L169" s="86"/>
      <c r="M169" s="86"/>
      <c r="AM169" s="903"/>
    </row>
    <row r="170" spans="1:39" s="84" customFormat="1" ht="18" customHeight="1">
      <c r="A170" s="639"/>
      <c r="F170" s="85"/>
      <c r="G170" s="85"/>
      <c r="H170" s="85"/>
      <c r="I170" s="85"/>
      <c r="L170" s="86"/>
      <c r="M170" s="86"/>
      <c r="AM170" s="903"/>
    </row>
    <row r="171" spans="1:39" s="84" customFormat="1" ht="18" customHeight="1">
      <c r="A171" s="639"/>
      <c r="F171" s="85"/>
      <c r="G171" s="85"/>
      <c r="H171" s="85"/>
      <c r="I171" s="85"/>
      <c r="L171" s="86"/>
      <c r="M171" s="86"/>
      <c r="AM171" s="903"/>
    </row>
    <row r="172" spans="1:39" s="84" customFormat="1" ht="18" customHeight="1">
      <c r="A172" s="639"/>
      <c r="F172" s="85"/>
      <c r="G172" s="85"/>
      <c r="H172" s="85"/>
      <c r="I172" s="85"/>
      <c r="L172" s="86"/>
      <c r="M172" s="86"/>
      <c r="AM172" s="903"/>
    </row>
    <row r="173" spans="1:39" s="84" customFormat="1" ht="18" customHeight="1">
      <c r="A173" s="639"/>
      <c r="F173" s="85"/>
      <c r="G173" s="85"/>
      <c r="H173" s="85"/>
      <c r="I173" s="85"/>
      <c r="L173" s="86"/>
      <c r="M173" s="86"/>
      <c r="AM173" s="903"/>
    </row>
    <row r="174" spans="1:39" s="84" customFormat="1" ht="18" customHeight="1">
      <c r="A174" s="639"/>
      <c r="F174" s="85"/>
      <c r="G174" s="85"/>
      <c r="H174" s="85"/>
      <c r="I174" s="85"/>
      <c r="L174" s="86"/>
      <c r="M174" s="86"/>
      <c r="AM174" s="903"/>
    </row>
    <row r="175" spans="1:39" s="84" customFormat="1" ht="18" customHeight="1">
      <c r="A175" s="639"/>
      <c r="F175" s="85"/>
      <c r="G175" s="85"/>
      <c r="H175" s="85"/>
      <c r="I175" s="85"/>
      <c r="L175" s="86"/>
      <c r="M175" s="86"/>
      <c r="AM175" s="903"/>
    </row>
    <row r="176" spans="1:39" s="84" customFormat="1" ht="18" customHeight="1">
      <c r="A176" s="639"/>
      <c r="F176" s="85"/>
      <c r="G176" s="85"/>
      <c r="H176" s="85"/>
      <c r="I176" s="85"/>
      <c r="L176" s="86"/>
      <c r="M176" s="86"/>
      <c r="AM176" s="903"/>
    </row>
    <row r="177" spans="1:39" s="84" customFormat="1" ht="18" customHeight="1">
      <c r="A177" s="639"/>
      <c r="F177" s="85"/>
      <c r="G177" s="85"/>
      <c r="H177" s="85"/>
      <c r="I177" s="85"/>
      <c r="L177" s="86"/>
      <c r="M177" s="86"/>
      <c r="AM177" s="903"/>
    </row>
    <row r="178" spans="1:39" s="84" customFormat="1" ht="18" customHeight="1">
      <c r="A178" s="639"/>
      <c r="F178" s="85"/>
      <c r="G178" s="85"/>
      <c r="H178" s="85"/>
      <c r="I178" s="85"/>
      <c r="L178" s="86"/>
      <c r="M178" s="86"/>
      <c r="AM178" s="903"/>
    </row>
    <row r="179" spans="1:39" s="84" customFormat="1" ht="18" customHeight="1">
      <c r="A179" s="639"/>
      <c r="F179" s="85"/>
      <c r="G179" s="85"/>
      <c r="H179" s="85"/>
      <c r="I179" s="85"/>
      <c r="L179" s="86"/>
      <c r="M179" s="86"/>
      <c r="AM179" s="903"/>
    </row>
    <row r="180" spans="1:39" s="84" customFormat="1" ht="18" customHeight="1">
      <c r="A180" s="639"/>
      <c r="F180" s="85"/>
      <c r="G180" s="85"/>
      <c r="H180" s="85"/>
      <c r="I180" s="85"/>
      <c r="L180" s="86"/>
      <c r="M180" s="86"/>
      <c r="AM180" s="903"/>
    </row>
    <row r="181" spans="1:39" s="84" customFormat="1" ht="18" customHeight="1">
      <c r="A181" s="639"/>
      <c r="F181" s="85"/>
      <c r="G181" s="85"/>
      <c r="H181" s="85"/>
      <c r="I181" s="85"/>
      <c r="L181" s="86"/>
      <c r="M181" s="86"/>
      <c r="AM181" s="903"/>
    </row>
    <row r="182" spans="1:39" s="84" customFormat="1" ht="18" customHeight="1">
      <c r="A182" s="639"/>
      <c r="F182" s="85"/>
      <c r="G182" s="85"/>
      <c r="H182" s="85"/>
      <c r="I182" s="85"/>
      <c r="L182" s="86"/>
      <c r="M182" s="86"/>
      <c r="AM182" s="903"/>
    </row>
    <row r="183" spans="1:39" s="84" customFormat="1" ht="18" customHeight="1">
      <c r="A183" s="639"/>
      <c r="F183" s="85"/>
      <c r="G183" s="85"/>
      <c r="H183" s="85"/>
      <c r="I183" s="85"/>
      <c r="L183" s="86"/>
      <c r="M183" s="86"/>
      <c r="AM183" s="903"/>
    </row>
    <row r="184" spans="1:39" s="84" customFormat="1" ht="18" customHeight="1">
      <c r="A184" s="639"/>
      <c r="F184" s="85"/>
      <c r="G184" s="85"/>
      <c r="H184" s="85"/>
      <c r="I184" s="85"/>
      <c r="L184" s="86"/>
      <c r="M184" s="86"/>
      <c r="AM184" s="903"/>
    </row>
    <row r="185" spans="1:39" s="84" customFormat="1" ht="18" customHeight="1">
      <c r="A185" s="639"/>
      <c r="F185" s="85"/>
      <c r="G185" s="85"/>
      <c r="H185" s="85"/>
      <c r="I185" s="85"/>
      <c r="L185" s="86"/>
      <c r="M185" s="86"/>
      <c r="AM185" s="903"/>
    </row>
    <row r="186" spans="1:39" s="84" customFormat="1" ht="18" customHeight="1">
      <c r="A186" s="639"/>
      <c r="F186" s="85"/>
      <c r="G186" s="85"/>
      <c r="H186" s="85"/>
      <c r="I186" s="85"/>
      <c r="L186" s="86"/>
      <c r="M186" s="86"/>
      <c r="AM186" s="903"/>
    </row>
    <row r="187" spans="1:39" s="84" customFormat="1" ht="18" customHeight="1">
      <c r="A187" s="639"/>
      <c r="F187" s="85"/>
      <c r="G187" s="85"/>
      <c r="H187" s="85"/>
      <c r="I187" s="85"/>
      <c r="L187" s="86"/>
      <c r="M187" s="86"/>
      <c r="AM187" s="903"/>
    </row>
    <row r="188" spans="1:39" s="84" customFormat="1" ht="18" customHeight="1">
      <c r="A188" s="639"/>
      <c r="F188" s="85"/>
      <c r="G188" s="85"/>
      <c r="H188" s="85"/>
      <c r="I188" s="85"/>
      <c r="L188" s="86"/>
      <c r="M188" s="86"/>
      <c r="AM188" s="903"/>
    </row>
    <row r="189" spans="1:39" s="84" customFormat="1" ht="18" customHeight="1">
      <c r="A189" s="639"/>
      <c r="F189" s="85"/>
      <c r="G189" s="85"/>
      <c r="H189" s="85"/>
      <c r="I189" s="85"/>
      <c r="L189" s="86"/>
      <c r="M189" s="86"/>
      <c r="AM189" s="903"/>
    </row>
    <row r="190" spans="1:39" s="84" customFormat="1" ht="18" customHeight="1">
      <c r="A190" s="639"/>
      <c r="F190" s="85"/>
      <c r="G190" s="85"/>
      <c r="H190" s="85"/>
      <c r="I190" s="85"/>
      <c r="L190" s="86"/>
      <c r="M190" s="86"/>
      <c r="AM190" s="903"/>
    </row>
    <row r="191" spans="1:39" s="84" customFormat="1" ht="18" customHeight="1">
      <c r="A191" s="639"/>
      <c r="F191" s="85"/>
      <c r="G191" s="85"/>
      <c r="H191" s="85"/>
      <c r="I191" s="85"/>
      <c r="L191" s="86"/>
      <c r="M191" s="86"/>
      <c r="AM191" s="903"/>
    </row>
    <row r="192" spans="1:39" s="84" customFormat="1" ht="18" customHeight="1">
      <c r="A192" s="639"/>
      <c r="F192" s="85"/>
      <c r="G192" s="85"/>
      <c r="H192" s="85"/>
      <c r="I192" s="85"/>
      <c r="L192" s="86"/>
      <c r="M192" s="86"/>
      <c r="AM192" s="903"/>
    </row>
    <row r="193" spans="1:39" s="84" customFormat="1" ht="18" customHeight="1">
      <c r="A193" s="639"/>
      <c r="F193" s="85"/>
      <c r="G193" s="85"/>
      <c r="H193" s="85"/>
      <c r="I193" s="85"/>
      <c r="L193" s="86"/>
      <c r="M193" s="86"/>
      <c r="AM193" s="903"/>
    </row>
    <row r="194" spans="1:39" s="84" customFormat="1" ht="18" customHeight="1">
      <c r="A194" s="639"/>
      <c r="F194" s="85"/>
      <c r="G194" s="85"/>
      <c r="H194" s="85"/>
      <c r="I194" s="85"/>
      <c r="L194" s="86"/>
      <c r="M194" s="86"/>
      <c r="AM194" s="903"/>
    </row>
    <row r="195" spans="1:39" s="84" customFormat="1" ht="18" customHeight="1">
      <c r="A195" s="639"/>
      <c r="F195" s="85"/>
      <c r="G195" s="85"/>
      <c r="H195" s="85"/>
      <c r="I195" s="85"/>
      <c r="L195" s="86"/>
      <c r="M195" s="86"/>
      <c r="AM195" s="903"/>
    </row>
    <row r="196" spans="1:39" s="84" customFormat="1" ht="18" customHeight="1">
      <c r="A196" s="639"/>
      <c r="F196" s="85"/>
      <c r="G196" s="85"/>
      <c r="H196" s="85"/>
      <c r="I196" s="85"/>
      <c r="L196" s="86"/>
      <c r="M196" s="86"/>
      <c r="AM196" s="903"/>
    </row>
    <row r="197" spans="1:39" s="84" customFormat="1" ht="18" customHeight="1">
      <c r="A197" s="639"/>
      <c r="F197" s="85"/>
      <c r="G197" s="85"/>
      <c r="H197" s="85"/>
      <c r="I197" s="85"/>
      <c r="L197" s="86"/>
      <c r="M197" s="86"/>
      <c r="AM197" s="903"/>
    </row>
    <row r="198" spans="1:39" s="84" customFormat="1" ht="18" customHeight="1">
      <c r="A198" s="639"/>
      <c r="F198" s="85"/>
      <c r="G198" s="85"/>
      <c r="H198" s="85"/>
      <c r="I198" s="85"/>
      <c r="L198" s="86"/>
      <c r="M198" s="86"/>
      <c r="AM198" s="903"/>
    </row>
    <row r="199" spans="1:39" s="84" customFormat="1" ht="18" customHeight="1">
      <c r="A199" s="639"/>
      <c r="F199" s="85"/>
      <c r="G199" s="85"/>
      <c r="H199" s="85"/>
      <c r="I199" s="85"/>
      <c r="L199" s="86"/>
      <c r="M199" s="86"/>
      <c r="AM199" s="903"/>
    </row>
    <row r="200" spans="1:39" s="84" customFormat="1" ht="18" customHeight="1">
      <c r="A200" s="639"/>
      <c r="F200" s="85"/>
      <c r="G200" s="85"/>
      <c r="H200" s="85"/>
      <c r="I200" s="85"/>
      <c r="L200" s="86"/>
      <c r="M200" s="86"/>
      <c r="AM200" s="903"/>
    </row>
    <row r="201" spans="1:39" s="84" customFormat="1" ht="18" customHeight="1">
      <c r="A201" s="639"/>
      <c r="F201" s="85"/>
      <c r="G201" s="85"/>
      <c r="H201" s="85"/>
      <c r="I201" s="85"/>
      <c r="L201" s="86"/>
      <c r="M201" s="86"/>
      <c r="AM201" s="903"/>
    </row>
    <row r="202" spans="1:39" s="84" customFormat="1" ht="18" customHeight="1">
      <c r="A202" s="639"/>
      <c r="F202" s="85"/>
      <c r="G202" s="85"/>
      <c r="H202" s="85"/>
      <c r="I202" s="85"/>
      <c r="L202" s="86"/>
      <c r="M202" s="86"/>
      <c r="AM202" s="903"/>
    </row>
    <row r="203" spans="1:39" s="84" customFormat="1" ht="18" customHeight="1">
      <c r="A203" s="639"/>
      <c r="F203" s="85"/>
      <c r="G203" s="85"/>
      <c r="H203" s="85"/>
      <c r="I203" s="85"/>
      <c r="L203" s="86"/>
      <c r="M203" s="86"/>
      <c r="AM203" s="903"/>
    </row>
    <row r="204" spans="1:39" s="84" customFormat="1" ht="18" customHeight="1">
      <c r="A204" s="639"/>
      <c r="F204" s="85"/>
      <c r="G204" s="85"/>
      <c r="H204" s="85"/>
      <c r="I204" s="85"/>
      <c r="L204" s="86"/>
      <c r="M204" s="86"/>
      <c r="AM204" s="903"/>
    </row>
    <row r="205" spans="1:39" s="84" customFormat="1" ht="18" customHeight="1">
      <c r="A205" s="639"/>
      <c r="F205" s="85"/>
      <c r="G205" s="85"/>
      <c r="H205" s="85"/>
      <c r="I205" s="85"/>
      <c r="L205" s="86"/>
      <c r="M205" s="86"/>
      <c r="AM205" s="903"/>
    </row>
    <row r="206" spans="1:39" s="84" customFormat="1" ht="18" customHeight="1">
      <c r="A206" s="639"/>
      <c r="F206" s="85"/>
      <c r="G206" s="85"/>
      <c r="H206" s="85"/>
      <c r="I206" s="85"/>
      <c r="L206" s="86"/>
      <c r="M206" s="86"/>
      <c r="AM206" s="903"/>
    </row>
    <row r="207" spans="1:39" s="84" customFormat="1" ht="18" customHeight="1">
      <c r="A207" s="639"/>
      <c r="F207" s="85"/>
      <c r="G207" s="85"/>
      <c r="H207" s="85"/>
      <c r="I207" s="85"/>
      <c r="L207" s="86"/>
      <c r="M207" s="86"/>
      <c r="AM207" s="903"/>
    </row>
    <row r="208" spans="1:39" s="84" customFormat="1" ht="18" customHeight="1">
      <c r="A208" s="639"/>
      <c r="F208" s="85"/>
      <c r="G208" s="85"/>
      <c r="H208" s="85"/>
      <c r="I208" s="85"/>
      <c r="L208" s="86"/>
      <c r="M208" s="86"/>
      <c r="AM208" s="903"/>
    </row>
    <row r="209" spans="1:39" s="84" customFormat="1" ht="18" customHeight="1">
      <c r="A209" s="639"/>
      <c r="F209" s="85"/>
      <c r="G209" s="85"/>
      <c r="H209" s="85"/>
      <c r="I209" s="85"/>
      <c r="L209" s="86"/>
      <c r="M209" s="86"/>
      <c r="AM209" s="903"/>
    </row>
    <row r="210" spans="1:39" s="84" customFormat="1" ht="18" customHeight="1">
      <c r="A210" s="639"/>
      <c r="F210" s="85"/>
      <c r="G210" s="85"/>
      <c r="H210" s="85"/>
      <c r="I210" s="85"/>
      <c r="L210" s="86"/>
      <c r="M210" s="86"/>
      <c r="AM210" s="903"/>
    </row>
    <row r="211" spans="1:39" s="84" customFormat="1" ht="18" customHeight="1">
      <c r="A211" s="639"/>
      <c r="F211" s="85"/>
      <c r="G211" s="85"/>
      <c r="H211" s="85"/>
      <c r="I211" s="85"/>
      <c r="L211" s="86"/>
      <c r="M211" s="86"/>
      <c r="AM211" s="903"/>
    </row>
    <row r="212" spans="1:39" s="84" customFormat="1" ht="18" customHeight="1">
      <c r="A212" s="639"/>
      <c r="F212" s="85"/>
      <c r="G212" s="85"/>
      <c r="H212" s="85"/>
      <c r="I212" s="85"/>
      <c r="L212" s="86"/>
      <c r="M212" s="86"/>
      <c r="AM212" s="903"/>
    </row>
    <row r="213" spans="1:39" s="84" customFormat="1" ht="18" customHeight="1">
      <c r="A213" s="639"/>
      <c r="F213" s="85"/>
      <c r="G213" s="85"/>
      <c r="H213" s="85"/>
      <c r="I213" s="85"/>
      <c r="L213" s="86"/>
      <c r="M213" s="86"/>
      <c r="AM213" s="903"/>
    </row>
    <row r="214" spans="1:39" s="84" customFormat="1" ht="18" customHeight="1">
      <c r="A214" s="639"/>
      <c r="F214" s="85"/>
      <c r="G214" s="85"/>
      <c r="H214" s="85"/>
      <c r="I214" s="85"/>
      <c r="L214" s="86"/>
      <c r="M214" s="86"/>
      <c r="AM214" s="903"/>
    </row>
    <row r="215" spans="1:39" s="84" customFormat="1" ht="18" customHeight="1">
      <c r="A215" s="639"/>
      <c r="F215" s="85"/>
      <c r="G215" s="85"/>
      <c r="H215" s="85"/>
      <c r="I215" s="85"/>
      <c r="L215" s="86"/>
      <c r="M215" s="86"/>
      <c r="AM215" s="903"/>
    </row>
    <row r="216" spans="1:39" s="84" customFormat="1" ht="18" customHeight="1">
      <c r="A216" s="639"/>
      <c r="F216" s="85"/>
      <c r="G216" s="85"/>
      <c r="H216" s="85"/>
      <c r="I216" s="85"/>
      <c r="L216" s="86"/>
      <c r="M216" s="86"/>
      <c r="AM216" s="903"/>
    </row>
    <row r="217" spans="1:39" s="84" customFormat="1" ht="18" customHeight="1">
      <c r="A217" s="639"/>
      <c r="F217" s="85"/>
      <c r="G217" s="85"/>
      <c r="H217" s="85"/>
      <c r="I217" s="85"/>
      <c r="L217" s="86"/>
      <c r="M217" s="86"/>
      <c r="AM217" s="903"/>
    </row>
    <row r="218" spans="1:39" s="84" customFormat="1" ht="18" customHeight="1">
      <c r="A218" s="639"/>
      <c r="F218" s="85"/>
      <c r="G218" s="85"/>
      <c r="H218" s="85"/>
      <c r="I218" s="85"/>
      <c r="L218" s="86"/>
      <c r="M218" s="86"/>
      <c r="AM218" s="903"/>
    </row>
    <row r="219" spans="1:39" s="84" customFormat="1" ht="18" customHeight="1">
      <c r="A219" s="639"/>
      <c r="F219" s="85"/>
      <c r="G219" s="85"/>
      <c r="H219" s="85"/>
      <c r="I219" s="85"/>
      <c r="L219" s="86"/>
      <c r="M219" s="86"/>
      <c r="AM219" s="903"/>
    </row>
    <row r="220" spans="1:39" s="84" customFormat="1" ht="18" customHeight="1">
      <c r="A220" s="639"/>
      <c r="F220" s="85"/>
      <c r="G220" s="85"/>
      <c r="H220" s="85"/>
      <c r="I220" s="85"/>
      <c r="L220" s="86"/>
      <c r="M220" s="86"/>
      <c r="AM220" s="903"/>
    </row>
    <row r="221" spans="1:39" s="84" customFormat="1" ht="18" customHeight="1">
      <c r="A221" s="639"/>
      <c r="F221" s="85"/>
      <c r="G221" s="85"/>
      <c r="H221" s="85"/>
      <c r="I221" s="85"/>
      <c r="L221" s="86"/>
      <c r="M221" s="86"/>
      <c r="AM221" s="903"/>
    </row>
    <row r="222" spans="1:39" s="84" customFormat="1" ht="18" customHeight="1">
      <c r="A222" s="639"/>
      <c r="F222" s="85"/>
      <c r="G222" s="85"/>
      <c r="H222" s="85"/>
      <c r="I222" s="85"/>
      <c r="L222" s="86"/>
      <c r="M222" s="86"/>
      <c r="AM222" s="903"/>
    </row>
    <row r="223" spans="1:39" s="84" customFormat="1" ht="18" customHeight="1">
      <c r="A223" s="639"/>
      <c r="F223" s="85"/>
      <c r="G223" s="85"/>
      <c r="H223" s="85"/>
      <c r="I223" s="85"/>
      <c r="L223" s="86"/>
      <c r="M223" s="86"/>
      <c r="AM223" s="903"/>
    </row>
    <row r="224" spans="1:39" s="84" customFormat="1" ht="18" customHeight="1">
      <c r="A224" s="639"/>
      <c r="F224" s="85"/>
      <c r="G224" s="85"/>
      <c r="H224" s="85"/>
      <c r="I224" s="85"/>
      <c r="L224" s="86"/>
      <c r="M224" s="86"/>
      <c r="AM224" s="903"/>
    </row>
    <row r="225" spans="1:39" s="84" customFormat="1" ht="18" customHeight="1">
      <c r="A225" s="639"/>
      <c r="F225" s="85"/>
      <c r="G225" s="85"/>
      <c r="H225" s="85"/>
      <c r="I225" s="85"/>
      <c r="L225" s="86"/>
      <c r="M225" s="86"/>
      <c r="AM225" s="903"/>
    </row>
    <row r="226" spans="1:39" s="84" customFormat="1" ht="18" customHeight="1">
      <c r="A226" s="639"/>
      <c r="F226" s="85"/>
      <c r="G226" s="85"/>
      <c r="H226" s="85"/>
      <c r="I226" s="85"/>
      <c r="L226" s="86"/>
      <c r="M226" s="86"/>
      <c r="AM226" s="903"/>
    </row>
    <row r="227" spans="1:39" s="84" customFormat="1" ht="18" customHeight="1">
      <c r="A227" s="639"/>
      <c r="F227" s="85"/>
      <c r="G227" s="85"/>
      <c r="H227" s="85"/>
      <c r="I227" s="85"/>
      <c r="L227" s="86"/>
      <c r="M227" s="86"/>
      <c r="AM227" s="903"/>
    </row>
    <row r="228" spans="1:39" s="84" customFormat="1" ht="18" customHeight="1">
      <c r="A228" s="639"/>
      <c r="F228" s="85"/>
      <c r="G228" s="85"/>
      <c r="H228" s="85"/>
      <c r="I228" s="85"/>
      <c r="L228" s="86"/>
      <c r="M228" s="86"/>
      <c r="AM228" s="903"/>
    </row>
    <row r="229" spans="1:39" s="84" customFormat="1" ht="18" customHeight="1">
      <c r="A229" s="639"/>
      <c r="F229" s="85"/>
      <c r="G229" s="85"/>
      <c r="H229" s="85"/>
      <c r="I229" s="85"/>
      <c r="L229" s="86"/>
      <c r="M229" s="86"/>
      <c r="AM229" s="903"/>
    </row>
    <row r="230" spans="1:39" s="84" customFormat="1" ht="18" customHeight="1">
      <c r="A230" s="639"/>
      <c r="F230" s="85"/>
      <c r="G230" s="85"/>
      <c r="H230" s="85"/>
      <c r="I230" s="85"/>
      <c r="L230" s="86"/>
      <c r="M230" s="86"/>
      <c r="AM230" s="903"/>
    </row>
    <row r="231" spans="1:39" s="84" customFormat="1" ht="18" customHeight="1">
      <c r="A231" s="639"/>
      <c r="F231" s="85"/>
      <c r="G231" s="85"/>
      <c r="H231" s="85"/>
      <c r="I231" s="85"/>
      <c r="L231" s="86"/>
      <c r="M231" s="86"/>
      <c r="AM231" s="903"/>
    </row>
    <row r="232" spans="1:39" s="84" customFormat="1" ht="18" customHeight="1">
      <c r="A232" s="639"/>
      <c r="F232" s="85"/>
      <c r="G232" s="85"/>
      <c r="H232" s="85"/>
      <c r="I232" s="85"/>
      <c r="L232" s="86"/>
      <c r="M232" s="86"/>
      <c r="AM232" s="903"/>
    </row>
    <row r="233" spans="1:39" s="84" customFormat="1" ht="18" customHeight="1">
      <c r="A233" s="639"/>
      <c r="F233" s="85"/>
      <c r="G233" s="85"/>
      <c r="H233" s="85"/>
      <c r="I233" s="85"/>
      <c r="L233" s="86"/>
      <c r="M233" s="86"/>
      <c r="AM233" s="903"/>
    </row>
    <row r="234" spans="1:39" s="84" customFormat="1" ht="18" customHeight="1">
      <c r="A234" s="639"/>
      <c r="F234" s="85"/>
      <c r="G234" s="85"/>
      <c r="H234" s="85"/>
      <c r="I234" s="85"/>
      <c r="L234" s="86"/>
      <c r="M234" s="86"/>
      <c r="AM234" s="903"/>
    </row>
    <row r="235" spans="1:39" s="84" customFormat="1" ht="18" customHeight="1">
      <c r="A235" s="639"/>
      <c r="F235" s="85"/>
      <c r="G235" s="85"/>
      <c r="H235" s="85"/>
      <c r="I235" s="85"/>
      <c r="L235" s="86"/>
      <c r="M235" s="86"/>
      <c r="AM235" s="903"/>
    </row>
    <row r="236" spans="1:39" s="84" customFormat="1" ht="18" customHeight="1">
      <c r="A236" s="639"/>
      <c r="F236" s="85"/>
      <c r="G236" s="85"/>
      <c r="H236" s="85"/>
      <c r="I236" s="85"/>
      <c r="L236" s="86"/>
      <c r="M236" s="86"/>
      <c r="AM236" s="903"/>
    </row>
    <row r="237" spans="1:39" s="84" customFormat="1" ht="18" customHeight="1">
      <c r="A237" s="639"/>
      <c r="F237" s="85"/>
      <c r="G237" s="85"/>
      <c r="H237" s="85"/>
      <c r="I237" s="85"/>
      <c r="L237" s="86"/>
      <c r="M237" s="86"/>
      <c r="AM237" s="903"/>
    </row>
    <row r="238" spans="1:39" s="84" customFormat="1" ht="18" customHeight="1">
      <c r="A238" s="639"/>
      <c r="F238" s="85"/>
      <c r="G238" s="85"/>
      <c r="H238" s="85"/>
      <c r="I238" s="85"/>
      <c r="L238" s="86"/>
      <c r="M238" s="86"/>
      <c r="AM238" s="903"/>
    </row>
    <row r="239" spans="1:39" s="84" customFormat="1" ht="18" customHeight="1">
      <c r="A239" s="639"/>
      <c r="F239" s="85"/>
      <c r="G239" s="85"/>
      <c r="H239" s="85"/>
      <c r="I239" s="85"/>
      <c r="L239" s="86"/>
      <c r="M239" s="86"/>
      <c r="AM239" s="903"/>
    </row>
    <row r="240" spans="1:39" s="84" customFormat="1" ht="18" customHeight="1">
      <c r="A240" s="639"/>
      <c r="F240" s="85"/>
      <c r="G240" s="85"/>
      <c r="H240" s="85"/>
      <c r="I240" s="85"/>
      <c r="L240" s="86"/>
      <c r="M240" s="86"/>
      <c r="AM240" s="903"/>
    </row>
    <row r="241" spans="1:39" s="84" customFormat="1" ht="18" customHeight="1">
      <c r="A241" s="639"/>
      <c r="F241" s="85"/>
      <c r="G241" s="85"/>
      <c r="H241" s="85"/>
      <c r="I241" s="85"/>
      <c r="L241" s="86"/>
      <c r="M241" s="86"/>
      <c r="AM241" s="903"/>
    </row>
    <row r="242" spans="1:39" s="84" customFormat="1" ht="18" customHeight="1">
      <c r="A242" s="639"/>
      <c r="F242" s="85"/>
      <c r="G242" s="85"/>
      <c r="H242" s="85"/>
      <c r="I242" s="85"/>
      <c r="L242" s="86"/>
      <c r="M242" s="86"/>
      <c r="AM242" s="903"/>
    </row>
    <row r="243" spans="1:39" s="84" customFormat="1" ht="18" customHeight="1">
      <c r="A243" s="639"/>
      <c r="F243" s="85"/>
      <c r="G243" s="85"/>
      <c r="H243" s="85"/>
      <c r="I243" s="85"/>
      <c r="L243" s="86"/>
      <c r="M243" s="86"/>
      <c r="AM243" s="903"/>
    </row>
    <row r="244" spans="1:39" s="84" customFormat="1" ht="18" customHeight="1">
      <c r="A244" s="639"/>
      <c r="F244" s="85"/>
      <c r="G244" s="85"/>
      <c r="H244" s="85"/>
      <c r="I244" s="85"/>
      <c r="L244" s="86"/>
      <c r="M244" s="86"/>
      <c r="AM244" s="903"/>
    </row>
    <row r="245" spans="1:39" s="84" customFormat="1" ht="18" customHeight="1">
      <c r="A245" s="639"/>
      <c r="F245" s="85"/>
      <c r="G245" s="85"/>
      <c r="H245" s="85"/>
      <c r="I245" s="85"/>
      <c r="L245" s="86"/>
      <c r="M245" s="86"/>
      <c r="AM245" s="903"/>
    </row>
    <row r="246" spans="1:39" s="84" customFormat="1" ht="18" customHeight="1">
      <c r="A246" s="639"/>
      <c r="F246" s="85"/>
      <c r="G246" s="85"/>
      <c r="H246" s="85"/>
      <c r="I246" s="85"/>
      <c r="L246" s="86"/>
      <c r="M246" s="86"/>
      <c r="AM246" s="903"/>
    </row>
    <row r="247" spans="1:39" s="84" customFormat="1" ht="18" customHeight="1">
      <c r="A247" s="639"/>
      <c r="F247" s="85"/>
      <c r="G247" s="85"/>
      <c r="H247" s="85"/>
      <c r="I247" s="85"/>
      <c r="L247" s="86"/>
      <c r="M247" s="86"/>
      <c r="AM247" s="903"/>
    </row>
    <row r="248" spans="1:39" s="84" customFormat="1" ht="18" customHeight="1">
      <c r="A248" s="639"/>
      <c r="F248" s="85"/>
      <c r="G248" s="85"/>
      <c r="H248" s="85"/>
      <c r="I248" s="85"/>
      <c r="L248" s="86"/>
      <c r="M248" s="86"/>
      <c r="AM248" s="903"/>
    </row>
    <row r="249" spans="1:39" s="84" customFormat="1" ht="18" customHeight="1">
      <c r="A249" s="639"/>
      <c r="F249" s="85"/>
      <c r="G249" s="85"/>
      <c r="H249" s="85"/>
      <c r="I249" s="85"/>
      <c r="L249" s="86"/>
      <c r="M249" s="86"/>
      <c r="AM249" s="903"/>
    </row>
    <row r="250" spans="1:39" s="84" customFormat="1" ht="18" customHeight="1">
      <c r="A250" s="639"/>
      <c r="F250" s="85"/>
      <c r="G250" s="85"/>
      <c r="H250" s="85"/>
      <c r="I250" s="85"/>
      <c r="L250" s="86"/>
      <c r="M250" s="86"/>
      <c r="AM250" s="903"/>
    </row>
    <row r="251" spans="1:39" s="84" customFormat="1" ht="18" customHeight="1">
      <c r="A251" s="639"/>
      <c r="F251" s="85"/>
      <c r="G251" s="85"/>
      <c r="H251" s="85"/>
      <c r="I251" s="85"/>
      <c r="L251" s="86"/>
      <c r="M251" s="86"/>
      <c r="AM251" s="903"/>
    </row>
    <row r="252" spans="1:39" s="84" customFormat="1" ht="18" customHeight="1">
      <c r="A252" s="639"/>
      <c r="F252" s="85"/>
      <c r="G252" s="85"/>
      <c r="H252" s="85"/>
      <c r="I252" s="85"/>
      <c r="L252" s="86"/>
      <c r="M252" s="86"/>
      <c r="AM252" s="903"/>
    </row>
    <row r="253" spans="1:39" s="84" customFormat="1" ht="18" customHeight="1">
      <c r="A253" s="639"/>
      <c r="F253" s="85"/>
      <c r="G253" s="85"/>
      <c r="H253" s="85"/>
      <c r="I253" s="85"/>
      <c r="L253" s="86"/>
      <c r="M253" s="86"/>
      <c r="AM253" s="903"/>
    </row>
    <row r="254" spans="1:39" s="84" customFormat="1" ht="18" customHeight="1">
      <c r="A254" s="639"/>
      <c r="F254" s="85"/>
      <c r="G254" s="85"/>
      <c r="H254" s="85"/>
      <c r="I254" s="85"/>
      <c r="L254" s="86"/>
      <c r="M254" s="86"/>
      <c r="AM254" s="903"/>
    </row>
    <row r="255" spans="1:39" s="84" customFormat="1" ht="18" customHeight="1">
      <c r="A255" s="639"/>
      <c r="F255" s="85"/>
      <c r="G255" s="85"/>
      <c r="H255" s="85"/>
      <c r="I255" s="85"/>
      <c r="L255" s="86"/>
      <c r="M255" s="86"/>
      <c r="AM255" s="903"/>
    </row>
    <row r="256" spans="1:39" s="84" customFormat="1" ht="18" customHeight="1">
      <c r="A256" s="639"/>
      <c r="F256" s="85"/>
      <c r="G256" s="85"/>
      <c r="H256" s="85"/>
      <c r="I256" s="85"/>
      <c r="L256" s="86"/>
      <c r="M256" s="86"/>
      <c r="AM256" s="903"/>
    </row>
    <row r="257" spans="1:39" s="84" customFormat="1" ht="18" customHeight="1">
      <c r="A257" s="639"/>
      <c r="F257" s="85"/>
      <c r="G257" s="85"/>
      <c r="H257" s="85"/>
      <c r="I257" s="85"/>
      <c r="L257" s="86"/>
      <c r="M257" s="86"/>
      <c r="AM257" s="903"/>
    </row>
    <row r="258" spans="1:39" s="84" customFormat="1" ht="18" customHeight="1">
      <c r="A258" s="639"/>
      <c r="F258" s="85"/>
      <c r="G258" s="85"/>
      <c r="H258" s="85"/>
      <c r="I258" s="85"/>
      <c r="L258" s="86"/>
      <c r="M258" s="86"/>
      <c r="AM258" s="903"/>
    </row>
    <row r="259" spans="1:39" s="84" customFormat="1" ht="18" customHeight="1">
      <c r="A259" s="639"/>
      <c r="F259" s="85"/>
      <c r="G259" s="85"/>
      <c r="H259" s="85"/>
      <c r="I259" s="85"/>
      <c r="L259" s="86"/>
      <c r="M259" s="86"/>
      <c r="AM259" s="903"/>
    </row>
    <row r="260" spans="1:39" s="84" customFormat="1" ht="18" customHeight="1">
      <c r="A260" s="639"/>
      <c r="F260" s="85"/>
      <c r="G260" s="85"/>
      <c r="H260" s="85"/>
      <c r="I260" s="85"/>
      <c r="L260" s="86"/>
      <c r="M260" s="86"/>
      <c r="AM260" s="903"/>
    </row>
    <row r="261" spans="1:39" s="84" customFormat="1" ht="18" customHeight="1">
      <c r="A261" s="639"/>
      <c r="F261" s="85"/>
      <c r="G261" s="85"/>
      <c r="H261" s="85"/>
      <c r="I261" s="85"/>
      <c r="L261" s="86"/>
      <c r="M261" s="86"/>
      <c r="AM261" s="903"/>
    </row>
    <row r="262" spans="1:39" s="84" customFormat="1" ht="18" customHeight="1">
      <c r="A262" s="639"/>
      <c r="F262" s="85"/>
      <c r="G262" s="85"/>
      <c r="H262" s="85"/>
      <c r="I262" s="85"/>
      <c r="L262" s="86"/>
      <c r="M262" s="86"/>
      <c r="AM262" s="903"/>
    </row>
    <row r="263" spans="1:39" s="84" customFormat="1" ht="18" customHeight="1">
      <c r="A263" s="639"/>
      <c r="F263" s="85"/>
      <c r="G263" s="85"/>
      <c r="H263" s="85"/>
      <c r="I263" s="85"/>
      <c r="L263" s="86"/>
      <c r="M263" s="86"/>
      <c r="AM263" s="903"/>
    </row>
    <row r="264" spans="1:39" s="84" customFormat="1" ht="18" customHeight="1">
      <c r="A264" s="639"/>
      <c r="F264" s="85"/>
      <c r="G264" s="85"/>
      <c r="H264" s="85"/>
      <c r="I264" s="85"/>
      <c r="L264" s="86"/>
      <c r="M264" s="86"/>
      <c r="AM264" s="903"/>
    </row>
    <row r="265" spans="1:39" s="84" customFormat="1" ht="18" customHeight="1">
      <c r="A265" s="639"/>
      <c r="F265" s="85"/>
      <c r="G265" s="85"/>
      <c r="H265" s="85"/>
      <c r="I265" s="85"/>
      <c r="L265" s="86"/>
      <c r="M265" s="86"/>
      <c r="AM265" s="903"/>
    </row>
    <row r="266" spans="1:39" s="84" customFormat="1" ht="18" customHeight="1">
      <c r="A266" s="639"/>
      <c r="F266" s="85"/>
      <c r="G266" s="85"/>
      <c r="H266" s="85"/>
      <c r="I266" s="85"/>
      <c r="L266" s="86"/>
      <c r="M266" s="86"/>
      <c r="AM266" s="903"/>
    </row>
    <row r="267" spans="1:39" s="84" customFormat="1" ht="18" customHeight="1">
      <c r="A267" s="639"/>
      <c r="F267" s="85"/>
      <c r="G267" s="85"/>
      <c r="H267" s="85"/>
      <c r="I267" s="85"/>
      <c r="L267" s="86"/>
      <c r="M267" s="86"/>
      <c r="AM267" s="903"/>
    </row>
    <row r="268" spans="1:39" s="84" customFormat="1" ht="18" customHeight="1">
      <c r="A268" s="639"/>
      <c r="F268" s="85"/>
      <c r="G268" s="85"/>
      <c r="H268" s="85"/>
      <c r="I268" s="85"/>
      <c r="L268" s="86"/>
      <c r="M268" s="86"/>
      <c r="AM268" s="903"/>
    </row>
    <row r="269" spans="1:39" s="84" customFormat="1" ht="18" customHeight="1">
      <c r="A269" s="639"/>
      <c r="F269" s="85"/>
      <c r="G269" s="85"/>
      <c r="H269" s="85"/>
      <c r="I269" s="85"/>
      <c r="L269" s="86"/>
      <c r="M269" s="86"/>
      <c r="AM269" s="903"/>
    </row>
    <row r="270" spans="1:39" s="84" customFormat="1" ht="18" customHeight="1">
      <c r="A270" s="639"/>
      <c r="F270" s="85"/>
      <c r="G270" s="85"/>
      <c r="H270" s="85"/>
      <c r="I270" s="85"/>
      <c r="L270" s="86"/>
      <c r="M270" s="86"/>
      <c r="AM270" s="903"/>
    </row>
    <row r="271" spans="1:39" s="84" customFormat="1" ht="18" customHeight="1">
      <c r="A271" s="639"/>
      <c r="F271" s="85"/>
      <c r="G271" s="85"/>
      <c r="H271" s="85"/>
      <c r="I271" s="85"/>
      <c r="L271" s="86"/>
      <c r="M271" s="86"/>
      <c r="AM271" s="903"/>
    </row>
    <row r="272" spans="1:39" s="84" customFormat="1" ht="18" customHeight="1">
      <c r="A272" s="639"/>
      <c r="F272" s="85"/>
      <c r="G272" s="85"/>
      <c r="H272" s="85"/>
      <c r="I272" s="85"/>
      <c r="L272" s="86"/>
      <c r="M272" s="86"/>
      <c r="AM272" s="903"/>
    </row>
    <row r="273" spans="1:39" s="84" customFormat="1" ht="18" customHeight="1">
      <c r="A273" s="639"/>
      <c r="F273" s="85"/>
      <c r="G273" s="85"/>
      <c r="H273" s="85"/>
      <c r="I273" s="85"/>
      <c r="L273" s="86"/>
      <c r="M273" s="86"/>
      <c r="AM273" s="903"/>
    </row>
    <row r="274" spans="1:39" s="84" customFormat="1" ht="18" customHeight="1">
      <c r="A274" s="639"/>
      <c r="F274" s="85"/>
      <c r="G274" s="85"/>
      <c r="H274" s="85"/>
      <c r="I274" s="85"/>
      <c r="L274" s="86"/>
      <c r="M274" s="86"/>
      <c r="AM274" s="903"/>
    </row>
    <row r="275" spans="1:39" s="84" customFormat="1" ht="18" customHeight="1">
      <c r="A275" s="639"/>
      <c r="F275" s="85"/>
      <c r="G275" s="85"/>
      <c r="H275" s="85"/>
      <c r="I275" s="85"/>
      <c r="L275" s="86"/>
      <c r="M275" s="86"/>
      <c r="AM275" s="903"/>
    </row>
    <row r="276" spans="1:39" s="84" customFormat="1" ht="18" customHeight="1">
      <c r="A276" s="639"/>
      <c r="F276" s="85"/>
      <c r="G276" s="85"/>
      <c r="H276" s="85"/>
      <c r="I276" s="85"/>
      <c r="L276" s="86"/>
      <c r="M276" s="86"/>
      <c r="AM276" s="903"/>
    </row>
    <row r="277" spans="1:39" s="84" customFormat="1" ht="18" customHeight="1">
      <c r="A277" s="639"/>
      <c r="F277" s="85"/>
      <c r="G277" s="85"/>
      <c r="H277" s="85"/>
      <c r="I277" s="85"/>
      <c r="L277" s="86"/>
      <c r="M277" s="86"/>
      <c r="AM277" s="903"/>
    </row>
    <row r="278" spans="1:39" s="84" customFormat="1" ht="18" customHeight="1">
      <c r="A278" s="639"/>
      <c r="F278" s="85"/>
      <c r="G278" s="85"/>
      <c r="H278" s="85"/>
      <c r="I278" s="85"/>
      <c r="L278" s="86"/>
      <c r="M278" s="86"/>
      <c r="AM278" s="903"/>
    </row>
    <row r="279" spans="1:39" s="84" customFormat="1" ht="18" customHeight="1">
      <c r="A279" s="639"/>
      <c r="F279" s="85"/>
      <c r="G279" s="85"/>
      <c r="H279" s="85"/>
      <c r="I279" s="85"/>
      <c r="L279" s="86"/>
      <c r="M279" s="86"/>
      <c r="AM279" s="903"/>
    </row>
    <row r="280" spans="1:39" s="84" customFormat="1" ht="18" customHeight="1">
      <c r="A280" s="639"/>
      <c r="F280" s="85"/>
      <c r="G280" s="85"/>
      <c r="H280" s="85"/>
      <c r="I280" s="85"/>
      <c r="L280" s="86"/>
      <c r="M280" s="86"/>
      <c r="AM280" s="903"/>
    </row>
    <row r="281" spans="1:39" s="84" customFormat="1" ht="18" customHeight="1">
      <c r="A281" s="639"/>
      <c r="F281" s="85"/>
      <c r="G281" s="85"/>
      <c r="H281" s="85"/>
      <c r="I281" s="85"/>
      <c r="L281" s="86"/>
      <c r="M281" s="86"/>
      <c r="AM281" s="903"/>
    </row>
    <row r="282" spans="1:39" s="84" customFormat="1" ht="18" customHeight="1">
      <c r="A282" s="639"/>
      <c r="F282" s="85"/>
      <c r="G282" s="85"/>
      <c r="H282" s="85"/>
      <c r="I282" s="85"/>
      <c r="L282" s="86"/>
      <c r="M282" s="86"/>
      <c r="AM282" s="903"/>
    </row>
    <row r="283" spans="1:39" s="84" customFormat="1" ht="18" customHeight="1">
      <c r="A283" s="639"/>
      <c r="F283" s="85"/>
      <c r="G283" s="85"/>
      <c r="H283" s="85"/>
      <c r="I283" s="85"/>
      <c r="L283" s="86"/>
      <c r="M283" s="86"/>
      <c r="AM283" s="903"/>
    </row>
    <row r="284" spans="1:39" s="84" customFormat="1" ht="18" customHeight="1">
      <c r="A284" s="639"/>
      <c r="F284" s="85"/>
      <c r="G284" s="85"/>
      <c r="H284" s="85"/>
      <c r="I284" s="85"/>
      <c r="L284" s="86"/>
      <c r="M284" s="86"/>
      <c r="AM284" s="903"/>
    </row>
    <row r="285" spans="1:39" s="84" customFormat="1" ht="18" customHeight="1">
      <c r="A285" s="639"/>
      <c r="F285" s="85"/>
      <c r="G285" s="85"/>
      <c r="H285" s="85"/>
      <c r="I285" s="85"/>
      <c r="L285" s="86"/>
      <c r="M285" s="86"/>
      <c r="AM285" s="903"/>
    </row>
    <row r="286" spans="1:39" s="84" customFormat="1" ht="18" customHeight="1">
      <c r="A286" s="639"/>
      <c r="F286" s="85"/>
      <c r="G286" s="85"/>
      <c r="H286" s="85"/>
      <c r="I286" s="85"/>
      <c r="L286" s="86"/>
      <c r="M286" s="86"/>
      <c r="AM286" s="903"/>
    </row>
    <row r="287" spans="1:39" s="84" customFormat="1" ht="18" customHeight="1">
      <c r="A287" s="639"/>
      <c r="F287" s="85"/>
      <c r="G287" s="85"/>
      <c r="H287" s="85"/>
      <c r="I287" s="85"/>
      <c r="L287" s="86"/>
      <c r="M287" s="86"/>
      <c r="AM287" s="903"/>
    </row>
    <row r="288" spans="1:39" s="84" customFormat="1" ht="18" customHeight="1">
      <c r="A288" s="639"/>
      <c r="F288" s="85"/>
      <c r="G288" s="85"/>
      <c r="H288" s="85"/>
      <c r="I288" s="85"/>
      <c r="L288" s="86"/>
      <c r="M288" s="86"/>
      <c r="AM288" s="903"/>
    </row>
    <row r="289" spans="1:39" s="84" customFormat="1" ht="18" customHeight="1">
      <c r="A289" s="639"/>
      <c r="F289" s="85"/>
      <c r="G289" s="85"/>
      <c r="H289" s="85"/>
      <c r="I289" s="85"/>
      <c r="L289" s="86"/>
      <c r="M289" s="86"/>
      <c r="AM289" s="903"/>
    </row>
    <row r="290" spans="1:39" s="84" customFormat="1" ht="18" customHeight="1">
      <c r="A290" s="639"/>
      <c r="F290" s="85"/>
      <c r="G290" s="85"/>
      <c r="H290" s="85"/>
      <c r="I290" s="85"/>
      <c r="L290" s="86"/>
      <c r="M290" s="86"/>
      <c r="AM290" s="903"/>
    </row>
    <row r="291" spans="1:39" s="84" customFormat="1" ht="18" customHeight="1">
      <c r="A291" s="639"/>
      <c r="F291" s="85"/>
      <c r="G291" s="85"/>
      <c r="H291" s="85"/>
      <c r="I291" s="85"/>
      <c r="L291" s="86"/>
      <c r="M291" s="86"/>
      <c r="AM291" s="903"/>
    </row>
    <row r="292" spans="1:39" s="84" customFormat="1" ht="18" customHeight="1">
      <c r="A292" s="639"/>
      <c r="F292" s="85"/>
      <c r="G292" s="85"/>
      <c r="H292" s="85"/>
      <c r="I292" s="85"/>
      <c r="L292" s="86"/>
      <c r="M292" s="86"/>
      <c r="AM292" s="903"/>
    </row>
    <row r="293" spans="1:39" s="84" customFormat="1" ht="18" customHeight="1">
      <c r="A293" s="639"/>
      <c r="F293" s="85"/>
      <c r="G293" s="85"/>
      <c r="H293" s="85"/>
      <c r="I293" s="85"/>
      <c r="L293" s="86"/>
      <c r="M293" s="86"/>
      <c r="AM293" s="903"/>
    </row>
    <row r="294" spans="1:39" s="84" customFormat="1" ht="18" customHeight="1">
      <c r="A294" s="639"/>
      <c r="F294" s="85"/>
      <c r="G294" s="85"/>
      <c r="H294" s="85"/>
      <c r="I294" s="85"/>
      <c r="L294" s="86"/>
      <c r="M294" s="86"/>
      <c r="AM294" s="903"/>
    </row>
    <row r="295" spans="1:39" s="84" customFormat="1" ht="18" customHeight="1">
      <c r="A295" s="639"/>
      <c r="F295" s="85"/>
      <c r="G295" s="85"/>
      <c r="H295" s="85"/>
      <c r="I295" s="85"/>
      <c r="L295" s="86"/>
      <c r="M295" s="86"/>
      <c r="AM295" s="903"/>
    </row>
    <row r="296" spans="1:39" s="84" customFormat="1" ht="18" customHeight="1">
      <c r="A296" s="639"/>
      <c r="F296" s="85"/>
      <c r="G296" s="85"/>
      <c r="H296" s="85"/>
      <c r="I296" s="85"/>
      <c r="L296" s="86"/>
      <c r="M296" s="86"/>
      <c r="AM296" s="903"/>
    </row>
    <row r="297" spans="1:39" s="84" customFormat="1" ht="18" customHeight="1">
      <c r="A297" s="639"/>
      <c r="F297" s="85"/>
      <c r="G297" s="85"/>
      <c r="H297" s="85"/>
      <c r="I297" s="85"/>
      <c r="L297" s="86"/>
      <c r="M297" s="86"/>
      <c r="AM297" s="903"/>
    </row>
    <row r="298" spans="1:39" s="84" customFormat="1" ht="18" customHeight="1">
      <c r="A298" s="639"/>
      <c r="F298" s="85"/>
      <c r="G298" s="85"/>
      <c r="H298" s="85"/>
      <c r="I298" s="85"/>
      <c r="L298" s="86"/>
      <c r="M298" s="86"/>
      <c r="AM298" s="903"/>
    </row>
    <row r="299" spans="1:39" s="84" customFormat="1" ht="12.75">
      <c r="A299" s="639"/>
      <c r="F299" s="85"/>
      <c r="G299" s="85"/>
      <c r="H299" s="85"/>
      <c r="I299" s="85"/>
      <c r="L299" s="86"/>
      <c r="M299" s="86"/>
      <c r="AM299" s="903"/>
    </row>
    <row r="300" spans="1:39" s="84" customFormat="1" ht="12.75">
      <c r="A300" s="639"/>
      <c r="F300" s="85"/>
      <c r="G300" s="85"/>
      <c r="H300" s="85"/>
      <c r="I300" s="85"/>
      <c r="L300" s="86"/>
      <c r="M300" s="86"/>
      <c r="AM300" s="903"/>
    </row>
    <row r="301" spans="1:39" s="84" customFormat="1" ht="12.75">
      <c r="A301" s="639"/>
      <c r="F301" s="85"/>
      <c r="G301" s="85"/>
      <c r="H301" s="85"/>
      <c r="I301" s="85"/>
      <c r="L301" s="86"/>
      <c r="M301" s="86"/>
      <c r="AM301" s="903"/>
    </row>
    <row r="302" spans="1:39" s="84" customFormat="1" ht="12.75">
      <c r="A302" s="639"/>
      <c r="F302" s="85"/>
      <c r="G302" s="85"/>
      <c r="H302" s="85"/>
      <c r="I302" s="85"/>
      <c r="L302" s="86"/>
      <c r="M302" s="86"/>
      <c r="AM302" s="903"/>
    </row>
    <row r="303" spans="1:39" s="84" customFormat="1" ht="12.75">
      <c r="A303" s="639"/>
      <c r="F303" s="85"/>
      <c r="G303" s="85"/>
      <c r="H303" s="85"/>
      <c r="I303" s="85"/>
      <c r="L303" s="86"/>
      <c r="M303" s="86"/>
      <c r="AM303" s="903"/>
    </row>
    <row r="304" spans="1:39" s="84" customFormat="1" ht="12.75">
      <c r="A304" s="639"/>
      <c r="F304" s="85"/>
      <c r="G304" s="85"/>
      <c r="H304" s="85"/>
      <c r="I304" s="85"/>
      <c r="L304" s="86"/>
      <c r="M304" s="86"/>
      <c r="AM304" s="903"/>
    </row>
    <row r="305" spans="1:39" s="84" customFormat="1" ht="12.75">
      <c r="A305" s="639"/>
      <c r="F305" s="85"/>
      <c r="G305" s="85"/>
      <c r="H305" s="85"/>
      <c r="I305" s="85"/>
      <c r="L305" s="86"/>
      <c r="M305" s="86"/>
      <c r="AM305" s="903"/>
    </row>
    <row r="306" spans="1:39" s="84" customFormat="1" ht="12.75">
      <c r="A306" s="639"/>
      <c r="F306" s="85"/>
      <c r="G306" s="85"/>
      <c r="H306" s="85"/>
      <c r="I306" s="85"/>
      <c r="L306" s="86"/>
      <c r="M306" s="86"/>
      <c r="AM306" s="903"/>
    </row>
    <row r="307" spans="1:39" s="84" customFormat="1" ht="12.75">
      <c r="A307" s="639"/>
      <c r="F307" s="85"/>
      <c r="G307" s="85"/>
      <c r="H307" s="85"/>
      <c r="I307" s="85"/>
      <c r="L307" s="86"/>
      <c r="M307" s="86"/>
      <c r="AM307" s="903"/>
    </row>
    <row r="308" spans="1:39" s="84" customFormat="1" ht="12.75">
      <c r="A308" s="639"/>
      <c r="F308" s="85"/>
      <c r="G308" s="85"/>
      <c r="H308" s="85"/>
      <c r="I308" s="85"/>
      <c r="L308" s="86"/>
      <c r="M308" s="86"/>
      <c r="AM308" s="903"/>
    </row>
    <row r="309" spans="1:39" s="84" customFormat="1" ht="12.75">
      <c r="A309" s="639"/>
      <c r="F309" s="85"/>
      <c r="G309" s="85"/>
      <c r="H309" s="85"/>
      <c r="I309" s="85"/>
      <c r="L309" s="86"/>
      <c r="M309" s="86"/>
      <c r="AM309" s="903"/>
    </row>
    <row r="310" spans="1:39" s="84" customFormat="1" ht="12.75">
      <c r="A310" s="639"/>
      <c r="F310" s="85"/>
      <c r="G310" s="85"/>
      <c r="H310" s="85"/>
      <c r="I310" s="85"/>
      <c r="L310" s="86"/>
      <c r="M310" s="86"/>
      <c r="AM310" s="903"/>
    </row>
    <row r="311" spans="1:39" s="84" customFormat="1" ht="12.75">
      <c r="A311" s="639"/>
      <c r="F311" s="85"/>
      <c r="G311" s="85"/>
      <c r="H311" s="85"/>
      <c r="I311" s="85"/>
      <c r="L311" s="86"/>
      <c r="M311" s="86"/>
      <c r="AM311" s="903"/>
    </row>
    <row r="312" spans="1:39" customFormat="1" ht="12.75">
      <c r="A312" s="640"/>
      <c r="F312" s="1"/>
      <c r="G312" s="1"/>
      <c r="H312" s="1"/>
      <c r="I312" s="1"/>
      <c r="L312" s="47"/>
      <c r="M312" s="47"/>
      <c r="AM312" s="904"/>
    </row>
    <row r="313" spans="1:39" customFormat="1" ht="12.75">
      <c r="A313" s="640"/>
      <c r="F313" s="1"/>
      <c r="G313" s="1"/>
      <c r="H313" s="1"/>
      <c r="I313" s="1"/>
      <c r="L313" s="47"/>
      <c r="M313" s="47"/>
      <c r="AM313" s="904"/>
    </row>
    <row r="314" spans="1:39" customFormat="1" ht="12.75">
      <c r="A314" s="640"/>
      <c r="F314" s="1"/>
      <c r="G314" s="1"/>
      <c r="H314" s="1"/>
      <c r="I314" s="1"/>
      <c r="L314" s="47"/>
      <c r="M314" s="47"/>
      <c r="AM314" s="904"/>
    </row>
    <row r="315" spans="1:39" customFormat="1" ht="12.75">
      <c r="A315" s="640"/>
      <c r="F315" s="1"/>
      <c r="G315" s="1"/>
      <c r="H315" s="1"/>
      <c r="I315" s="1"/>
      <c r="L315" s="47"/>
      <c r="M315" s="47"/>
      <c r="AM315" s="904"/>
    </row>
    <row r="316" spans="1:39" customFormat="1" ht="12.75">
      <c r="A316" s="640"/>
      <c r="F316" s="1"/>
      <c r="G316" s="1"/>
      <c r="H316" s="1"/>
      <c r="I316" s="1"/>
      <c r="L316" s="47"/>
      <c r="M316" s="47"/>
      <c r="AM316" s="904"/>
    </row>
    <row r="317" spans="1:39" customFormat="1" ht="12.75">
      <c r="A317" s="640"/>
      <c r="F317" s="1"/>
      <c r="G317" s="1"/>
      <c r="H317" s="1"/>
      <c r="I317" s="1"/>
      <c r="L317" s="47"/>
      <c r="M317" s="47"/>
      <c r="AM317" s="904"/>
    </row>
    <row r="318" spans="1:39" customFormat="1" ht="12.75">
      <c r="A318" s="640"/>
      <c r="F318" s="1"/>
      <c r="G318" s="1"/>
      <c r="H318" s="1"/>
      <c r="I318" s="1"/>
      <c r="L318" s="47"/>
      <c r="M318" s="47"/>
      <c r="AM318" s="904"/>
    </row>
    <row r="319" spans="1:39" customFormat="1" ht="12.75">
      <c r="A319" s="640"/>
      <c r="F319" s="1"/>
      <c r="G319" s="1"/>
      <c r="H319" s="1"/>
      <c r="I319" s="1"/>
      <c r="L319" s="47"/>
      <c r="M319" s="47"/>
      <c r="AM319" s="904"/>
    </row>
    <row r="320" spans="1:39" customFormat="1" ht="12.75">
      <c r="A320" s="640"/>
      <c r="F320" s="1"/>
      <c r="G320" s="1"/>
      <c r="H320" s="1"/>
      <c r="I320" s="1"/>
      <c r="L320" s="47"/>
      <c r="M320" s="47"/>
      <c r="AM320" s="904"/>
    </row>
    <row r="321" spans="1:39" customFormat="1" ht="12.75">
      <c r="A321" s="640"/>
      <c r="F321" s="1"/>
      <c r="G321" s="1"/>
      <c r="H321" s="1"/>
      <c r="I321" s="1"/>
      <c r="L321" s="47"/>
      <c r="M321" s="47"/>
      <c r="AM321" s="904"/>
    </row>
    <row r="322" spans="1:39" customFormat="1" ht="12.75">
      <c r="A322" s="640"/>
      <c r="F322" s="1"/>
      <c r="G322" s="1"/>
      <c r="H322" s="1"/>
      <c r="I322" s="1"/>
      <c r="L322" s="47"/>
      <c r="M322" s="47"/>
      <c r="AM322" s="904"/>
    </row>
    <row r="323" spans="1:39" customFormat="1" ht="12.75">
      <c r="A323" s="640"/>
      <c r="F323" s="1"/>
      <c r="G323" s="1"/>
      <c r="H323" s="1"/>
      <c r="I323" s="1"/>
      <c r="L323" s="47"/>
      <c r="M323" s="47"/>
      <c r="AM323" s="904"/>
    </row>
    <row r="324" spans="1:39" customFormat="1" ht="12.75">
      <c r="A324" s="640"/>
      <c r="F324" s="1"/>
      <c r="G324" s="1"/>
      <c r="H324" s="1"/>
      <c r="I324" s="1"/>
      <c r="L324" s="47"/>
      <c r="M324" s="47"/>
      <c r="AM324" s="904"/>
    </row>
    <row r="325" spans="1:39" customFormat="1" ht="12.75">
      <c r="A325" s="640"/>
      <c r="F325" s="1"/>
      <c r="G325" s="1"/>
      <c r="H325" s="1"/>
      <c r="I325" s="1"/>
      <c r="L325" s="47"/>
      <c r="M325" s="47"/>
      <c r="AM325" s="904"/>
    </row>
    <row r="326" spans="1:39" customFormat="1" ht="12.75">
      <c r="A326" s="640"/>
      <c r="F326" s="1"/>
      <c r="G326" s="1"/>
      <c r="H326" s="1"/>
      <c r="I326" s="1"/>
      <c r="L326" s="47"/>
      <c r="M326" s="47"/>
      <c r="AM326" s="904"/>
    </row>
    <row r="327" spans="1:39" customFormat="1" ht="12.75">
      <c r="A327" s="640"/>
      <c r="F327" s="1"/>
      <c r="G327" s="1"/>
      <c r="H327" s="1"/>
      <c r="I327" s="1"/>
      <c r="L327" s="47"/>
      <c r="M327" s="47"/>
      <c r="AM327" s="904"/>
    </row>
    <row r="328" spans="1:39" customFormat="1" ht="12.75">
      <c r="A328" s="640"/>
      <c r="F328" s="1"/>
      <c r="G328" s="1"/>
      <c r="H328" s="1"/>
      <c r="I328" s="1"/>
      <c r="L328" s="47"/>
      <c r="M328" s="47"/>
      <c r="AM328" s="904"/>
    </row>
    <row r="329" spans="1:39" customFormat="1" ht="12.75">
      <c r="A329" s="640"/>
      <c r="F329" s="1"/>
      <c r="G329" s="1"/>
      <c r="H329" s="1"/>
      <c r="I329" s="1"/>
      <c r="L329" s="47"/>
      <c r="M329" s="47"/>
      <c r="AM329" s="904"/>
    </row>
    <row r="330" spans="1:39" customFormat="1" ht="12.75">
      <c r="A330" s="640"/>
      <c r="F330" s="1"/>
      <c r="G330" s="1"/>
      <c r="H330" s="1"/>
      <c r="I330" s="1"/>
      <c r="L330" s="47"/>
      <c r="M330" s="47"/>
      <c r="AM330" s="904"/>
    </row>
    <row r="331" spans="1:39" customFormat="1" ht="12.75">
      <c r="A331" s="640"/>
      <c r="F331" s="1"/>
      <c r="G331" s="1"/>
      <c r="H331" s="1"/>
      <c r="I331" s="1"/>
      <c r="L331" s="47"/>
      <c r="M331" s="47"/>
      <c r="AM331" s="904"/>
    </row>
    <row r="332" spans="1:39" customFormat="1" ht="12.75">
      <c r="A332" s="640"/>
      <c r="F332" s="1"/>
      <c r="G332" s="1"/>
      <c r="H332" s="1"/>
      <c r="I332" s="1"/>
      <c r="L332" s="47"/>
      <c r="M332" s="47"/>
      <c r="AM332" s="904"/>
    </row>
    <row r="333" spans="1:39" customFormat="1" ht="12.75">
      <c r="A333" s="640"/>
      <c r="F333" s="1"/>
      <c r="G333" s="1"/>
      <c r="H333" s="1"/>
      <c r="I333" s="1"/>
      <c r="L333" s="47"/>
      <c r="M333" s="47"/>
      <c r="AM333" s="904"/>
    </row>
    <row r="334" spans="1:39" customFormat="1" ht="12.75">
      <c r="A334" s="640"/>
      <c r="F334" s="1"/>
      <c r="G334" s="1"/>
      <c r="H334" s="1"/>
      <c r="I334" s="1"/>
      <c r="L334" s="47"/>
      <c r="M334" s="47"/>
      <c r="AM334" s="904"/>
    </row>
    <row r="335" spans="1:39" customFormat="1" ht="12.75">
      <c r="A335" s="640"/>
      <c r="F335" s="1"/>
      <c r="G335" s="1"/>
      <c r="H335" s="1"/>
      <c r="I335" s="1"/>
      <c r="L335" s="47"/>
      <c r="M335" s="47"/>
      <c r="AM335" s="904"/>
    </row>
    <row r="336" spans="1:39" customFormat="1" ht="12.75">
      <c r="A336" s="640"/>
      <c r="F336" s="1"/>
      <c r="G336" s="1"/>
      <c r="H336" s="1"/>
      <c r="I336" s="1"/>
      <c r="L336" s="47"/>
      <c r="M336" s="47"/>
      <c r="AM336" s="904"/>
    </row>
    <row r="337" spans="1:39" customFormat="1" ht="12.75">
      <c r="A337" s="640"/>
      <c r="F337" s="1"/>
      <c r="G337" s="1"/>
      <c r="H337" s="1"/>
      <c r="I337" s="1"/>
      <c r="L337" s="47"/>
      <c r="M337" s="47"/>
      <c r="AM337" s="904"/>
    </row>
    <row r="338" spans="1:39" customFormat="1" ht="12.75">
      <c r="A338" s="640"/>
      <c r="F338" s="1"/>
      <c r="G338" s="1"/>
      <c r="H338" s="1"/>
      <c r="I338" s="1"/>
      <c r="L338" s="47"/>
      <c r="M338" s="47"/>
      <c r="AM338" s="904"/>
    </row>
    <row r="339" spans="1:39" customFormat="1" ht="12.75">
      <c r="A339" s="640"/>
      <c r="F339" s="1"/>
      <c r="G339" s="1"/>
      <c r="H339" s="1"/>
      <c r="I339" s="1"/>
      <c r="L339" s="47"/>
      <c r="M339" s="47"/>
      <c r="AM339" s="904"/>
    </row>
    <row r="340" spans="1:39" customFormat="1" ht="12.75">
      <c r="A340" s="640"/>
      <c r="F340" s="1"/>
      <c r="G340" s="1"/>
      <c r="H340" s="1"/>
      <c r="I340" s="1"/>
      <c r="L340" s="47"/>
      <c r="M340" s="47"/>
      <c r="AM340" s="904"/>
    </row>
    <row r="341" spans="1:39" customFormat="1" ht="12.75">
      <c r="A341" s="640"/>
      <c r="F341" s="1"/>
      <c r="G341" s="1"/>
      <c r="H341" s="1"/>
      <c r="I341" s="1"/>
      <c r="L341" s="47"/>
      <c r="M341" s="47"/>
      <c r="AM341" s="904"/>
    </row>
    <row r="342" spans="1:39" customFormat="1" ht="12.75">
      <c r="A342" s="640"/>
      <c r="F342" s="1"/>
      <c r="G342" s="1"/>
      <c r="H342" s="1"/>
      <c r="I342" s="1"/>
      <c r="L342" s="47"/>
      <c r="M342" s="47"/>
      <c r="AM342" s="904"/>
    </row>
    <row r="343" spans="1:39" customFormat="1" ht="12.75">
      <c r="A343" s="640"/>
      <c r="F343" s="1"/>
      <c r="G343" s="1"/>
      <c r="H343" s="1"/>
      <c r="I343" s="1"/>
      <c r="L343" s="47"/>
      <c r="M343" s="47"/>
      <c r="AM343" s="904"/>
    </row>
    <row r="344" spans="1:39" customFormat="1" ht="12.75">
      <c r="A344" s="640"/>
      <c r="F344" s="1"/>
      <c r="G344" s="1"/>
      <c r="H344" s="1"/>
      <c r="I344" s="1"/>
      <c r="L344" s="47"/>
      <c r="M344" s="47"/>
      <c r="AM344" s="904"/>
    </row>
    <row r="345" spans="1:39" customFormat="1" ht="12.75">
      <c r="A345" s="640"/>
      <c r="F345" s="1"/>
      <c r="G345" s="1"/>
      <c r="H345" s="1"/>
      <c r="I345" s="1"/>
      <c r="L345" s="47"/>
      <c r="M345" s="47"/>
      <c r="AM345" s="904"/>
    </row>
    <row r="346" spans="1:39" customFormat="1" ht="12.75">
      <c r="A346" s="640"/>
      <c r="F346" s="1"/>
      <c r="G346" s="1"/>
      <c r="H346" s="1"/>
      <c r="I346" s="1"/>
      <c r="L346" s="47"/>
      <c r="M346" s="47"/>
      <c r="AM346" s="904"/>
    </row>
    <row r="347" spans="1:39" customFormat="1" ht="12.75">
      <c r="A347" s="640"/>
      <c r="F347" s="1"/>
      <c r="G347" s="1"/>
      <c r="H347" s="1"/>
      <c r="I347" s="1"/>
      <c r="L347" s="47"/>
      <c r="M347" s="47"/>
      <c r="AM347" s="904"/>
    </row>
    <row r="348" spans="1:39" customFormat="1" ht="12.75">
      <c r="A348" s="640"/>
      <c r="F348" s="1"/>
      <c r="G348" s="1"/>
      <c r="H348" s="1"/>
      <c r="I348" s="1"/>
      <c r="L348" s="47"/>
      <c r="M348" s="47"/>
      <c r="AM348" s="904"/>
    </row>
    <row r="349" spans="1:39" customFormat="1" ht="12.75">
      <c r="A349" s="640"/>
      <c r="F349" s="1"/>
      <c r="G349" s="1"/>
      <c r="H349" s="1"/>
      <c r="I349" s="1"/>
      <c r="L349" s="47"/>
      <c r="M349" s="47"/>
      <c r="AM349" s="904"/>
    </row>
    <row r="350" spans="1:39" customFormat="1" ht="12.75">
      <c r="A350" s="640"/>
      <c r="F350" s="1"/>
      <c r="G350" s="1"/>
      <c r="H350" s="1"/>
      <c r="I350" s="1"/>
      <c r="L350" s="47"/>
      <c r="M350" s="47"/>
      <c r="AM350" s="904"/>
    </row>
    <row r="351" spans="1:39" customFormat="1" ht="12.75">
      <c r="A351" s="640"/>
      <c r="F351" s="1"/>
      <c r="G351" s="1"/>
      <c r="H351" s="1"/>
      <c r="I351" s="1"/>
      <c r="L351" s="47"/>
      <c r="M351" s="47"/>
      <c r="AM351" s="904"/>
    </row>
    <row r="352" spans="1:39" customFormat="1" ht="12.75">
      <c r="A352" s="640"/>
      <c r="F352" s="1"/>
      <c r="G352" s="1"/>
      <c r="H352" s="1"/>
      <c r="I352" s="1"/>
      <c r="L352" s="47"/>
      <c r="M352" s="47"/>
      <c r="AM352" s="904"/>
    </row>
    <row r="353" spans="1:39" customFormat="1" ht="12.75">
      <c r="A353" s="640"/>
      <c r="F353" s="1"/>
      <c r="G353" s="1"/>
      <c r="H353" s="1"/>
      <c r="I353" s="1"/>
      <c r="L353" s="47"/>
      <c r="M353" s="47"/>
      <c r="AM353" s="904"/>
    </row>
    <row r="354" spans="1:39" customFormat="1" ht="12.75">
      <c r="A354" s="640"/>
      <c r="F354" s="1"/>
      <c r="G354" s="1"/>
      <c r="H354" s="1"/>
      <c r="I354" s="1"/>
      <c r="L354" s="47"/>
      <c r="M354" s="47"/>
      <c r="AM354" s="904"/>
    </row>
    <row r="355" spans="1:39" customFormat="1" ht="12.75">
      <c r="A355" s="640"/>
      <c r="F355" s="1"/>
      <c r="G355" s="1"/>
      <c r="H355" s="1"/>
      <c r="I355" s="1"/>
      <c r="L355" s="47"/>
      <c r="M355" s="47"/>
      <c r="AM355" s="904"/>
    </row>
    <row r="356" spans="1:39" customFormat="1" ht="12.75">
      <c r="A356" s="640"/>
      <c r="F356" s="1"/>
      <c r="G356" s="1"/>
      <c r="H356" s="1"/>
      <c r="I356" s="1"/>
      <c r="L356" s="47"/>
      <c r="M356" s="47"/>
      <c r="AM356" s="904"/>
    </row>
    <row r="357" spans="1:39" customFormat="1" ht="12.75">
      <c r="A357" s="640"/>
      <c r="F357" s="1"/>
      <c r="G357" s="1"/>
      <c r="H357" s="1"/>
      <c r="I357" s="1"/>
      <c r="L357" s="47"/>
      <c r="M357" s="47"/>
      <c r="AM357" s="904"/>
    </row>
    <row r="358" spans="1:39" customFormat="1" ht="12.75">
      <c r="A358" s="640"/>
      <c r="F358" s="1"/>
      <c r="G358" s="1"/>
      <c r="H358" s="1"/>
      <c r="I358" s="1"/>
      <c r="L358" s="47"/>
      <c r="M358" s="47"/>
      <c r="AM358" s="904"/>
    </row>
    <row r="359" spans="1:39" customFormat="1" ht="12.75">
      <c r="A359" s="640"/>
      <c r="F359" s="1"/>
      <c r="G359" s="1"/>
      <c r="H359" s="1"/>
      <c r="I359" s="1"/>
      <c r="L359" s="47"/>
      <c r="M359" s="47"/>
      <c r="AM359" s="904"/>
    </row>
    <row r="360" spans="1:39" customFormat="1" ht="12.75">
      <c r="A360" s="640"/>
      <c r="F360" s="1"/>
      <c r="G360" s="1"/>
      <c r="H360" s="1"/>
      <c r="I360" s="1"/>
      <c r="L360" s="47"/>
      <c r="M360" s="47"/>
      <c r="AM360" s="904"/>
    </row>
    <row r="361" spans="1:39" customFormat="1" ht="12.75">
      <c r="A361" s="640"/>
      <c r="F361" s="1"/>
      <c r="G361" s="1"/>
      <c r="H361" s="1"/>
      <c r="I361" s="1"/>
      <c r="L361" s="47"/>
      <c r="M361" s="47"/>
      <c r="AM361" s="904"/>
    </row>
    <row r="362" spans="1:39" customFormat="1" ht="12.75">
      <c r="A362" s="640"/>
      <c r="F362" s="1"/>
      <c r="G362" s="1"/>
      <c r="H362" s="1"/>
      <c r="I362" s="1"/>
      <c r="L362" s="47"/>
      <c r="M362" s="47"/>
      <c r="AM362" s="904"/>
    </row>
    <row r="363" spans="1:39" customFormat="1" ht="12.75">
      <c r="A363" s="640"/>
      <c r="F363" s="1"/>
      <c r="G363" s="1"/>
      <c r="H363" s="1"/>
      <c r="I363" s="1"/>
      <c r="L363" s="47"/>
      <c r="M363" s="47"/>
      <c r="AM363" s="904"/>
    </row>
    <row r="364" spans="1:39" customFormat="1" ht="12.75">
      <c r="A364" s="640"/>
      <c r="F364" s="1"/>
      <c r="G364" s="1"/>
      <c r="H364" s="1"/>
      <c r="I364" s="1"/>
      <c r="L364" s="47"/>
      <c r="M364" s="47"/>
      <c r="AM364" s="904"/>
    </row>
    <row r="365" spans="1:39" customFormat="1" ht="12.75">
      <c r="A365" s="640"/>
      <c r="F365" s="1"/>
      <c r="G365" s="1"/>
      <c r="H365" s="1"/>
      <c r="I365" s="1"/>
      <c r="L365" s="47"/>
      <c r="M365" s="47"/>
      <c r="AM365" s="904"/>
    </row>
    <row r="366" spans="1:39" customFormat="1" ht="12.75">
      <c r="A366" s="640"/>
      <c r="F366" s="1"/>
      <c r="G366" s="1"/>
      <c r="H366" s="1"/>
      <c r="I366" s="1"/>
      <c r="L366" s="47"/>
      <c r="M366" s="47"/>
      <c r="AM366" s="904"/>
    </row>
    <row r="367" spans="1:39" customFormat="1" ht="12.75">
      <c r="A367" s="640"/>
      <c r="F367" s="1"/>
      <c r="G367" s="1"/>
      <c r="H367" s="1"/>
      <c r="I367" s="1"/>
      <c r="L367" s="47"/>
      <c r="M367" s="47"/>
      <c r="AM367" s="904"/>
    </row>
    <row r="368" spans="1:39" customFormat="1" ht="12.75">
      <c r="A368" s="640"/>
      <c r="F368" s="1"/>
      <c r="G368" s="1"/>
      <c r="H368" s="1"/>
      <c r="I368" s="1"/>
      <c r="L368" s="47"/>
      <c r="M368" s="47"/>
      <c r="AM368" s="904"/>
    </row>
    <row r="369" spans="1:39" customFormat="1" ht="12.75">
      <c r="A369" s="640"/>
      <c r="F369" s="1"/>
      <c r="G369" s="1"/>
      <c r="H369" s="1"/>
      <c r="I369" s="1"/>
      <c r="L369" s="47"/>
      <c r="M369" s="47"/>
      <c r="AM369" s="904"/>
    </row>
    <row r="370" spans="1:39" customFormat="1" ht="12.75">
      <c r="A370" s="640"/>
      <c r="F370" s="1"/>
      <c r="G370" s="1"/>
      <c r="H370" s="1"/>
      <c r="I370" s="1"/>
      <c r="L370" s="47"/>
      <c r="M370" s="47"/>
      <c r="AM370" s="904"/>
    </row>
    <row r="371" spans="1:39" customFormat="1" ht="12.75">
      <c r="A371" s="640"/>
      <c r="F371" s="1"/>
      <c r="G371" s="1"/>
      <c r="H371" s="1"/>
      <c r="I371" s="1"/>
      <c r="L371" s="47"/>
      <c r="M371" s="47"/>
      <c r="AM371" s="904"/>
    </row>
    <row r="372" spans="1:39" customFormat="1" ht="12.75">
      <c r="A372" s="640"/>
      <c r="F372" s="1"/>
      <c r="G372" s="1"/>
      <c r="H372" s="1"/>
      <c r="I372" s="1"/>
      <c r="L372" s="47"/>
      <c r="M372" s="47"/>
      <c r="AM372" s="904"/>
    </row>
    <row r="373" spans="1:39" customFormat="1" ht="12.75">
      <c r="A373" s="640"/>
      <c r="F373" s="1"/>
      <c r="G373" s="1"/>
      <c r="H373" s="1"/>
      <c r="I373" s="1"/>
      <c r="L373" s="47"/>
      <c r="M373" s="47"/>
      <c r="AM373" s="904"/>
    </row>
    <row r="374" spans="1:39" customFormat="1" ht="12.75">
      <c r="A374" s="640"/>
      <c r="F374" s="1"/>
      <c r="G374" s="1"/>
      <c r="H374" s="1"/>
      <c r="I374" s="1"/>
      <c r="L374" s="47"/>
      <c r="M374" s="47"/>
      <c r="AM374" s="904"/>
    </row>
    <row r="375" spans="1:39" customFormat="1" ht="12.75">
      <c r="A375" s="640"/>
      <c r="F375" s="1"/>
      <c r="G375" s="1"/>
      <c r="H375" s="1"/>
      <c r="I375" s="1"/>
      <c r="L375" s="47"/>
      <c r="M375" s="47"/>
      <c r="AM375" s="904"/>
    </row>
    <row r="376" spans="1:39" customFormat="1" ht="12.75">
      <c r="A376" s="640"/>
      <c r="F376" s="1"/>
      <c r="G376" s="1"/>
      <c r="H376" s="1"/>
      <c r="I376" s="1"/>
      <c r="L376" s="47"/>
      <c r="M376" s="47"/>
      <c r="AM376" s="904"/>
    </row>
    <row r="377" spans="1:39" customFormat="1" ht="12.75">
      <c r="A377" s="640"/>
      <c r="F377" s="1"/>
      <c r="G377" s="1"/>
      <c r="H377" s="1"/>
      <c r="I377" s="1"/>
      <c r="L377" s="47"/>
      <c r="M377" s="47"/>
      <c r="AM377" s="904"/>
    </row>
    <row r="378" spans="1:39" customFormat="1" ht="12.75">
      <c r="A378" s="640"/>
      <c r="F378" s="1"/>
      <c r="G378" s="1"/>
      <c r="H378" s="1"/>
      <c r="I378" s="1"/>
      <c r="L378" s="47"/>
      <c r="M378" s="47"/>
      <c r="AM378" s="904"/>
    </row>
    <row r="379" spans="1:39" customFormat="1" ht="12.75">
      <c r="A379" s="640"/>
      <c r="F379" s="1"/>
      <c r="G379" s="1"/>
      <c r="H379" s="1"/>
      <c r="I379" s="1"/>
      <c r="L379" s="47"/>
      <c r="M379" s="47"/>
      <c r="AM379" s="904"/>
    </row>
    <row r="380" spans="1:39" customFormat="1" ht="12.75">
      <c r="A380" s="640"/>
      <c r="F380" s="1"/>
      <c r="G380" s="1"/>
      <c r="H380" s="1"/>
      <c r="I380" s="1"/>
      <c r="L380" s="47"/>
      <c r="M380" s="47"/>
      <c r="AM380" s="904"/>
    </row>
    <row r="381" spans="1:39" customFormat="1" ht="12.75">
      <c r="A381" s="640"/>
      <c r="F381" s="1"/>
      <c r="G381" s="1"/>
      <c r="H381" s="1"/>
      <c r="I381" s="1"/>
      <c r="L381" s="47"/>
      <c r="M381" s="47"/>
      <c r="AM381" s="904"/>
    </row>
    <row r="382" spans="1:39" customFormat="1" ht="12.75">
      <c r="A382" s="640"/>
      <c r="F382" s="1"/>
      <c r="G382" s="1"/>
      <c r="H382" s="1"/>
      <c r="I382" s="1"/>
      <c r="L382" s="47"/>
      <c r="M382" s="47"/>
      <c r="AM382" s="904"/>
    </row>
    <row r="383" spans="1:39" customFormat="1" ht="12.75">
      <c r="A383" s="640"/>
      <c r="F383" s="1"/>
      <c r="G383" s="1"/>
      <c r="H383" s="1"/>
      <c r="I383" s="1"/>
      <c r="L383" s="47"/>
      <c r="M383" s="47"/>
      <c r="AM383" s="904"/>
    </row>
    <row r="384" spans="1:39" customFormat="1" ht="12.75">
      <c r="A384" s="640"/>
      <c r="F384" s="1"/>
      <c r="G384" s="1"/>
      <c r="H384" s="1"/>
      <c r="I384" s="1"/>
      <c r="L384" s="47"/>
      <c r="M384" s="47"/>
      <c r="AM384" s="904"/>
    </row>
    <row r="385" spans="1:39" customFormat="1" ht="12.75">
      <c r="A385" s="640"/>
      <c r="F385" s="1"/>
      <c r="G385" s="1"/>
      <c r="H385" s="1"/>
      <c r="I385" s="1"/>
      <c r="L385" s="47"/>
      <c r="M385" s="47"/>
      <c r="AM385" s="904"/>
    </row>
    <row r="386" spans="1:39" customFormat="1" ht="12.75">
      <c r="A386" s="640"/>
      <c r="F386" s="1"/>
      <c r="G386" s="1"/>
      <c r="H386" s="1"/>
      <c r="I386" s="1"/>
      <c r="L386" s="47"/>
      <c r="M386" s="47"/>
      <c r="AM386" s="904"/>
    </row>
    <row r="387" spans="1:39" customFormat="1" ht="12.75">
      <c r="A387" s="640"/>
      <c r="F387" s="1"/>
      <c r="G387" s="1"/>
      <c r="H387" s="1"/>
      <c r="I387" s="1"/>
      <c r="L387" s="47"/>
      <c r="M387" s="47"/>
      <c r="AM387" s="904"/>
    </row>
    <row r="388" spans="1:39" customFormat="1" ht="12.75">
      <c r="A388" s="640"/>
      <c r="F388" s="1"/>
      <c r="G388" s="1"/>
      <c r="H388" s="1"/>
      <c r="I388" s="1"/>
      <c r="L388" s="47"/>
      <c r="M388" s="47"/>
      <c r="AM388" s="904"/>
    </row>
    <row r="389" spans="1:39" customFormat="1" ht="12.75">
      <c r="A389" s="640"/>
      <c r="F389" s="1"/>
      <c r="G389" s="1"/>
      <c r="H389" s="1"/>
      <c r="I389" s="1"/>
      <c r="L389" s="47"/>
      <c r="M389" s="47"/>
      <c r="AM389" s="904"/>
    </row>
    <row r="390" spans="1:39" customFormat="1" ht="12.75">
      <c r="A390" s="640"/>
      <c r="F390" s="1"/>
      <c r="G390" s="1"/>
      <c r="H390" s="1"/>
      <c r="I390" s="1"/>
      <c r="L390" s="47"/>
      <c r="M390" s="47"/>
      <c r="AM390" s="904"/>
    </row>
    <row r="391" spans="1:39" customFormat="1" ht="12.75">
      <c r="A391" s="640"/>
      <c r="F391" s="1"/>
      <c r="G391" s="1"/>
      <c r="H391" s="1"/>
      <c r="I391" s="1"/>
      <c r="L391" s="47"/>
      <c r="M391" s="47"/>
      <c r="AM391" s="904"/>
    </row>
    <row r="392" spans="1:39" customFormat="1" ht="12.75">
      <c r="A392" s="640"/>
      <c r="F392" s="1"/>
      <c r="G392" s="1"/>
      <c r="H392" s="1"/>
      <c r="I392" s="1"/>
      <c r="L392" s="47"/>
      <c r="M392" s="47"/>
      <c r="AM392" s="904"/>
    </row>
    <row r="393" spans="1:39" customFormat="1" ht="12.75">
      <c r="A393" s="640"/>
      <c r="F393" s="1"/>
      <c r="G393" s="1"/>
      <c r="H393" s="1"/>
      <c r="I393" s="1"/>
      <c r="L393" s="47"/>
      <c r="M393" s="47"/>
      <c r="AM393" s="904"/>
    </row>
    <row r="394" spans="1:39" customFormat="1" ht="12.75">
      <c r="A394" s="640"/>
      <c r="F394" s="1"/>
      <c r="G394" s="1"/>
      <c r="H394" s="1"/>
      <c r="I394" s="1"/>
      <c r="L394" s="47"/>
      <c r="M394" s="47"/>
      <c r="AM394" s="904"/>
    </row>
    <row r="395" spans="1:39" customFormat="1" ht="12.75">
      <c r="A395" s="640"/>
      <c r="F395" s="1"/>
      <c r="G395" s="1"/>
      <c r="H395" s="1"/>
      <c r="I395" s="1"/>
      <c r="L395" s="47"/>
      <c r="M395" s="47"/>
      <c r="AM395" s="904"/>
    </row>
    <row r="396" spans="1:39" customFormat="1" ht="12.75">
      <c r="A396" s="640"/>
      <c r="F396" s="1"/>
      <c r="G396" s="1"/>
      <c r="H396" s="1"/>
      <c r="I396" s="1"/>
      <c r="L396" s="47"/>
      <c r="M396" s="47"/>
      <c r="AM396" s="904"/>
    </row>
    <row r="397" spans="1:39" customFormat="1" ht="12.75">
      <c r="A397" s="640"/>
      <c r="F397" s="1"/>
      <c r="G397" s="1"/>
      <c r="H397" s="1"/>
      <c r="I397" s="1"/>
      <c r="L397" s="47"/>
      <c r="M397" s="47"/>
      <c r="AM397" s="904"/>
    </row>
    <row r="398" spans="1:39" customFormat="1" ht="12.75">
      <c r="A398" s="640"/>
      <c r="F398" s="1"/>
      <c r="G398" s="1"/>
      <c r="H398" s="1"/>
      <c r="I398" s="1"/>
      <c r="L398" s="47"/>
      <c r="M398" s="47"/>
      <c r="AM398" s="904"/>
    </row>
    <row r="399" spans="1:39" customFormat="1" ht="12.75">
      <c r="A399" s="640"/>
      <c r="F399" s="1"/>
      <c r="G399" s="1"/>
      <c r="H399" s="1"/>
      <c r="I399" s="1"/>
      <c r="L399" s="47"/>
      <c r="M399" s="47"/>
      <c r="AM399" s="904"/>
    </row>
    <row r="400" spans="1:39" customFormat="1" ht="12.75">
      <c r="A400" s="640"/>
      <c r="F400" s="1"/>
      <c r="G400" s="1"/>
      <c r="H400" s="1"/>
      <c r="I400" s="1"/>
      <c r="L400" s="47"/>
      <c r="M400" s="47"/>
      <c r="AM400" s="904"/>
    </row>
    <row r="401" spans="1:39" customFormat="1" ht="12.75">
      <c r="A401" s="640"/>
      <c r="F401" s="1"/>
      <c r="G401" s="1"/>
      <c r="H401" s="1"/>
      <c r="I401" s="1"/>
      <c r="L401" s="47"/>
      <c r="M401" s="47"/>
      <c r="AM401" s="904"/>
    </row>
    <row r="402" spans="1:39" customFormat="1" ht="12.75">
      <c r="A402" s="640"/>
      <c r="F402" s="1"/>
      <c r="G402" s="1"/>
      <c r="H402" s="1"/>
      <c r="I402" s="1"/>
      <c r="L402" s="47"/>
      <c r="M402" s="47"/>
      <c r="AM402" s="904"/>
    </row>
    <row r="403" spans="1:39" customFormat="1" ht="12.75">
      <c r="A403" s="640"/>
      <c r="F403" s="1"/>
      <c r="G403" s="1"/>
      <c r="H403" s="1"/>
      <c r="I403" s="1"/>
      <c r="L403" s="47"/>
      <c r="M403" s="47"/>
      <c r="AM403" s="904"/>
    </row>
    <row r="404" spans="1:39" customFormat="1" ht="12.75">
      <c r="A404" s="640"/>
      <c r="F404" s="1"/>
      <c r="G404" s="1"/>
      <c r="H404" s="1"/>
      <c r="I404" s="1"/>
      <c r="L404" s="47"/>
      <c r="M404" s="47"/>
      <c r="AM404" s="904"/>
    </row>
    <row r="405" spans="1:39" customFormat="1" ht="12.75">
      <c r="A405" s="640"/>
      <c r="F405" s="1"/>
      <c r="G405" s="1"/>
      <c r="H405" s="1"/>
      <c r="I405" s="1"/>
      <c r="L405" s="47"/>
      <c r="M405" s="47"/>
      <c r="AM405" s="904"/>
    </row>
    <row r="406" spans="1:39" customFormat="1" ht="12.75">
      <c r="A406" s="640"/>
      <c r="F406" s="1"/>
      <c r="G406" s="1"/>
      <c r="H406" s="1"/>
      <c r="I406" s="1"/>
      <c r="L406" s="47"/>
      <c r="M406" s="47"/>
      <c r="AM406" s="904"/>
    </row>
    <row r="407" spans="1:39" customFormat="1" ht="12.75">
      <c r="A407" s="640"/>
      <c r="F407" s="1"/>
      <c r="G407" s="1"/>
      <c r="H407" s="1"/>
      <c r="I407" s="1"/>
      <c r="L407" s="47"/>
      <c r="M407" s="47"/>
      <c r="AM407" s="904"/>
    </row>
    <row r="408" spans="1:39" customFormat="1" ht="12.75">
      <c r="A408" s="640"/>
      <c r="F408" s="1"/>
      <c r="G408" s="1"/>
      <c r="H408" s="1"/>
      <c r="I408" s="1"/>
      <c r="L408" s="47"/>
      <c r="M408" s="47"/>
      <c r="AM408" s="904"/>
    </row>
    <row r="409" spans="1:39" customFormat="1" ht="12.75">
      <c r="A409" s="640"/>
      <c r="F409" s="1"/>
      <c r="G409" s="1"/>
      <c r="H409" s="1"/>
      <c r="I409" s="1"/>
      <c r="L409" s="47"/>
      <c r="M409" s="47"/>
      <c r="AM409" s="904"/>
    </row>
    <row r="410" spans="1:39" customFormat="1" ht="12.75">
      <c r="A410" s="640"/>
      <c r="F410" s="1"/>
      <c r="G410" s="1"/>
      <c r="H410" s="1"/>
      <c r="I410" s="1"/>
      <c r="L410" s="47"/>
      <c r="M410" s="47"/>
      <c r="AM410" s="904"/>
    </row>
    <row r="411" spans="1:39" customFormat="1" ht="12.75">
      <c r="A411" s="640"/>
      <c r="F411" s="1"/>
      <c r="G411" s="1"/>
      <c r="H411" s="1"/>
      <c r="I411" s="1"/>
      <c r="L411" s="47"/>
      <c r="M411" s="47"/>
      <c r="AM411" s="904"/>
    </row>
    <row r="412" spans="1:39" customFormat="1" ht="12.75">
      <c r="A412" s="640"/>
      <c r="F412" s="1"/>
      <c r="G412" s="1"/>
      <c r="H412" s="1"/>
      <c r="I412" s="1"/>
      <c r="L412" s="47"/>
      <c r="M412" s="47"/>
      <c r="AM412" s="904"/>
    </row>
    <row r="413" spans="1:39" customFormat="1" ht="12.75">
      <c r="A413" s="640"/>
      <c r="F413" s="1"/>
      <c r="G413" s="1"/>
      <c r="H413" s="1"/>
      <c r="I413" s="1"/>
      <c r="L413" s="47"/>
      <c r="M413" s="47"/>
      <c r="AM413" s="904"/>
    </row>
    <row r="414" spans="1:39" customFormat="1" ht="12.75">
      <c r="A414" s="640"/>
      <c r="F414" s="1"/>
      <c r="G414" s="1"/>
      <c r="H414" s="1"/>
      <c r="I414" s="1"/>
      <c r="L414" s="47"/>
      <c r="M414" s="47"/>
      <c r="AM414" s="904"/>
    </row>
    <row r="415" spans="1:39" customFormat="1" ht="12.75">
      <c r="A415" s="640"/>
      <c r="F415" s="1"/>
      <c r="G415" s="1"/>
      <c r="H415" s="1"/>
      <c r="I415" s="1"/>
      <c r="L415" s="47"/>
      <c r="M415" s="47"/>
      <c r="AM415" s="904"/>
    </row>
    <row r="416" spans="1:39" customFormat="1" ht="12.75">
      <c r="A416" s="640"/>
      <c r="F416" s="1"/>
      <c r="G416" s="1"/>
      <c r="H416" s="1"/>
      <c r="I416" s="1"/>
      <c r="L416" s="47"/>
      <c r="M416" s="47"/>
      <c r="AM416" s="904"/>
    </row>
    <row r="417" spans="1:39" customFormat="1" ht="12.75">
      <c r="A417" s="640"/>
      <c r="F417" s="1"/>
      <c r="G417" s="1"/>
      <c r="H417" s="1"/>
      <c r="I417" s="1"/>
      <c r="L417" s="47"/>
      <c r="M417" s="47"/>
      <c r="AM417" s="904"/>
    </row>
    <row r="418" spans="1:39" customFormat="1" ht="12.75">
      <c r="A418" s="640"/>
      <c r="F418" s="1"/>
      <c r="G418" s="1"/>
      <c r="H418" s="1"/>
      <c r="I418" s="1"/>
      <c r="L418" s="47"/>
      <c r="M418" s="47"/>
      <c r="AM418" s="904"/>
    </row>
    <row r="419" spans="1:39" customFormat="1" ht="12.75">
      <c r="A419" s="640"/>
      <c r="F419" s="1"/>
      <c r="G419" s="1"/>
      <c r="H419" s="1"/>
      <c r="I419" s="1"/>
      <c r="L419" s="47"/>
      <c r="M419" s="47"/>
      <c r="AM419" s="904"/>
    </row>
    <row r="420" spans="1:39" customFormat="1" ht="12.75">
      <c r="A420" s="640"/>
      <c r="F420" s="1"/>
      <c r="G420" s="1"/>
      <c r="H420" s="1"/>
      <c r="I420" s="1"/>
      <c r="L420" s="47"/>
      <c r="M420" s="47"/>
      <c r="AM420" s="904"/>
    </row>
    <row r="421" spans="1:39" customFormat="1" ht="12.75">
      <c r="A421" s="640"/>
      <c r="F421" s="1"/>
      <c r="G421" s="1"/>
      <c r="H421" s="1"/>
      <c r="I421" s="1"/>
      <c r="L421" s="47"/>
      <c r="M421" s="47"/>
      <c r="AM421" s="904"/>
    </row>
    <row r="422" spans="1:39" customFormat="1" ht="12.75">
      <c r="A422" s="640"/>
      <c r="F422" s="1"/>
      <c r="G422" s="1"/>
      <c r="H422" s="1"/>
      <c r="I422" s="1"/>
      <c r="L422" s="47"/>
      <c r="M422" s="47"/>
      <c r="AM422" s="904"/>
    </row>
    <row r="423" spans="1:39" customFormat="1" ht="12.75">
      <c r="A423" s="640"/>
      <c r="F423" s="1"/>
      <c r="G423" s="1"/>
      <c r="H423" s="1"/>
      <c r="I423" s="1"/>
      <c r="L423" s="47"/>
      <c r="M423" s="47"/>
      <c r="AM423" s="904"/>
    </row>
    <row r="424" spans="1:39" customFormat="1" ht="12.75">
      <c r="A424" s="640"/>
      <c r="F424" s="1"/>
      <c r="G424" s="1"/>
      <c r="H424" s="1"/>
      <c r="I424" s="1"/>
      <c r="L424" s="47"/>
      <c r="M424" s="47"/>
      <c r="AM424" s="904"/>
    </row>
    <row r="425" spans="1:39" customFormat="1" ht="12.75">
      <c r="A425" s="640"/>
      <c r="F425" s="1"/>
      <c r="G425" s="1"/>
      <c r="H425" s="1"/>
      <c r="I425" s="1"/>
      <c r="L425" s="47"/>
      <c r="M425" s="47"/>
      <c r="AM425" s="904"/>
    </row>
    <row r="426" spans="1:39" customFormat="1" ht="12.75">
      <c r="A426" s="640"/>
      <c r="F426" s="1"/>
      <c r="G426" s="1"/>
      <c r="H426" s="1"/>
      <c r="I426" s="1"/>
      <c r="L426" s="47"/>
      <c r="M426" s="47"/>
      <c r="AM426" s="904"/>
    </row>
    <row r="427" spans="1:39" customFormat="1" ht="12.75">
      <c r="A427" s="640"/>
      <c r="F427" s="1"/>
      <c r="G427" s="1"/>
      <c r="H427" s="1"/>
      <c r="I427" s="1"/>
      <c r="L427" s="47"/>
      <c r="M427" s="47"/>
      <c r="AM427" s="904"/>
    </row>
    <row r="428" spans="1:39" customFormat="1" ht="12.75">
      <c r="A428" s="640"/>
      <c r="F428" s="1"/>
      <c r="G428" s="1"/>
      <c r="H428" s="1"/>
      <c r="I428" s="1"/>
      <c r="L428" s="47"/>
      <c r="M428" s="47"/>
      <c r="AM428" s="904"/>
    </row>
    <row r="429" spans="1:39" customFormat="1" ht="12.75">
      <c r="A429" s="640"/>
      <c r="F429" s="1"/>
      <c r="G429" s="1"/>
      <c r="H429" s="1"/>
      <c r="I429" s="1"/>
      <c r="L429" s="47"/>
      <c r="M429" s="47"/>
      <c r="AM429" s="904"/>
    </row>
    <row r="430" spans="1:39" customFormat="1" ht="12.75">
      <c r="A430" s="640"/>
      <c r="F430" s="1"/>
      <c r="G430" s="1"/>
      <c r="H430" s="1"/>
      <c r="I430" s="1"/>
      <c r="L430" s="47"/>
      <c r="M430" s="47"/>
      <c r="AM430" s="904"/>
    </row>
    <row r="431" spans="1:39" customFormat="1" ht="12.75">
      <c r="A431" s="640"/>
      <c r="F431" s="1"/>
      <c r="G431" s="1"/>
      <c r="H431" s="1"/>
      <c r="I431" s="1"/>
      <c r="L431" s="47"/>
      <c r="M431" s="47"/>
      <c r="AM431" s="904"/>
    </row>
    <row r="432" spans="1:39" customFormat="1" ht="12.75">
      <c r="A432" s="640"/>
      <c r="F432" s="1"/>
      <c r="G432" s="1"/>
      <c r="H432" s="1"/>
      <c r="I432" s="1"/>
      <c r="L432" s="47"/>
      <c r="M432" s="47"/>
      <c r="AM432" s="904"/>
    </row>
    <row r="433" spans="1:39" customFormat="1" ht="12.75">
      <c r="A433" s="640"/>
      <c r="F433" s="1"/>
      <c r="G433" s="1"/>
      <c r="H433" s="1"/>
      <c r="I433" s="1"/>
      <c r="L433" s="47"/>
      <c r="M433" s="47"/>
      <c r="AM433" s="904"/>
    </row>
    <row r="434" spans="1:39" customFormat="1" ht="12.75">
      <c r="A434" s="640"/>
      <c r="F434" s="1"/>
      <c r="G434" s="1"/>
      <c r="H434" s="1"/>
      <c r="I434" s="1"/>
      <c r="L434" s="47"/>
      <c r="M434" s="47"/>
      <c r="AM434" s="904"/>
    </row>
    <row r="435" spans="1:39" customFormat="1" ht="12.75">
      <c r="A435" s="640"/>
      <c r="F435" s="1"/>
      <c r="G435" s="1"/>
      <c r="H435" s="1"/>
      <c r="I435" s="1"/>
      <c r="L435" s="47"/>
      <c r="M435" s="47"/>
      <c r="AM435" s="904"/>
    </row>
    <row r="436" spans="1:39" customFormat="1" ht="12.75">
      <c r="A436" s="640"/>
      <c r="F436" s="1"/>
      <c r="G436" s="1"/>
      <c r="H436" s="1"/>
      <c r="I436" s="1"/>
      <c r="L436" s="47"/>
      <c r="M436" s="47"/>
      <c r="AM436" s="904"/>
    </row>
    <row r="437" spans="1:39" customFormat="1" ht="12.75">
      <c r="A437" s="640"/>
      <c r="F437" s="1"/>
      <c r="G437" s="1"/>
      <c r="H437" s="1"/>
      <c r="I437" s="1"/>
      <c r="L437" s="47"/>
      <c r="M437" s="47"/>
      <c r="AM437" s="904"/>
    </row>
    <row r="438" spans="1:39" customFormat="1" ht="12.75">
      <c r="A438" s="640"/>
      <c r="F438" s="1"/>
      <c r="G438" s="1"/>
      <c r="H438" s="1"/>
      <c r="I438" s="1"/>
      <c r="L438" s="47"/>
      <c r="M438" s="47"/>
      <c r="AM438" s="904"/>
    </row>
    <row r="439" spans="1:39" customFormat="1" ht="12.75">
      <c r="A439" s="640"/>
      <c r="F439" s="1"/>
      <c r="G439" s="1"/>
      <c r="H439" s="1"/>
      <c r="I439" s="1"/>
      <c r="L439" s="47"/>
      <c r="M439" s="47"/>
      <c r="AM439" s="904"/>
    </row>
    <row r="440" spans="1:39" customFormat="1" ht="12.75">
      <c r="A440" s="640"/>
      <c r="F440" s="1"/>
      <c r="G440" s="1"/>
      <c r="H440" s="1"/>
      <c r="I440" s="1"/>
      <c r="L440" s="47"/>
      <c r="M440" s="47"/>
      <c r="AM440" s="904"/>
    </row>
    <row r="441" spans="1:39" customFormat="1" ht="12.75">
      <c r="A441" s="640"/>
      <c r="F441" s="1"/>
      <c r="G441" s="1"/>
      <c r="H441" s="1"/>
      <c r="I441" s="1"/>
      <c r="L441" s="47"/>
      <c r="M441" s="47"/>
      <c r="AM441" s="904"/>
    </row>
    <row r="442" spans="1:39" customFormat="1" ht="12.75">
      <c r="A442" s="640"/>
      <c r="F442" s="1"/>
      <c r="G442" s="1"/>
      <c r="H442" s="1"/>
      <c r="I442" s="1"/>
      <c r="L442" s="47"/>
      <c r="M442" s="47"/>
      <c r="AM442" s="904"/>
    </row>
    <row r="443" spans="1:39" customFormat="1" ht="12.75">
      <c r="A443" s="640"/>
      <c r="F443" s="1"/>
      <c r="G443" s="1"/>
      <c r="H443" s="1"/>
      <c r="I443" s="1"/>
      <c r="L443" s="47"/>
      <c r="M443" s="47"/>
      <c r="AM443" s="904"/>
    </row>
    <row r="444" spans="1:39" customFormat="1" ht="12.75">
      <c r="A444" s="640"/>
      <c r="F444" s="1"/>
      <c r="G444" s="1"/>
      <c r="H444" s="1"/>
      <c r="I444" s="1"/>
      <c r="L444" s="47"/>
      <c r="M444" s="47"/>
      <c r="AM444" s="904"/>
    </row>
    <row r="445" spans="1:39" customFormat="1" ht="12.75">
      <c r="A445" s="640"/>
      <c r="F445" s="1"/>
      <c r="G445" s="1"/>
      <c r="H445" s="1"/>
      <c r="I445" s="1"/>
      <c r="L445" s="47"/>
      <c r="M445" s="47"/>
      <c r="AM445" s="904"/>
    </row>
    <row r="446" spans="1:39" customFormat="1" ht="12.75">
      <c r="A446" s="640"/>
      <c r="F446" s="1"/>
      <c r="G446" s="1"/>
      <c r="H446" s="1"/>
      <c r="I446" s="1"/>
      <c r="L446" s="47"/>
      <c r="M446" s="47"/>
      <c r="AM446" s="904"/>
    </row>
    <row r="447" spans="1:39" customFormat="1" ht="12.75">
      <c r="A447" s="640"/>
      <c r="F447" s="1"/>
      <c r="G447" s="1"/>
      <c r="H447" s="1"/>
      <c r="I447" s="1"/>
      <c r="L447" s="47"/>
      <c r="M447" s="47"/>
      <c r="AM447" s="904"/>
    </row>
    <row r="448" spans="1:39" customFormat="1" ht="12.75">
      <c r="A448" s="640"/>
      <c r="F448" s="1"/>
      <c r="G448" s="1"/>
      <c r="H448" s="1"/>
      <c r="I448" s="1"/>
      <c r="L448" s="47"/>
      <c r="M448" s="47"/>
      <c r="AM448" s="904"/>
    </row>
    <row r="449" spans="1:39" customFormat="1" ht="12.75">
      <c r="A449" s="640"/>
      <c r="F449" s="1"/>
      <c r="G449" s="1"/>
      <c r="H449" s="1"/>
      <c r="I449" s="1"/>
      <c r="L449" s="47"/>
      <c r="M449" s="47"/>
      <c r="AM449" s="904"/>
    </row>
    <row r="450" spans="1:39" customFormat="1" ht="12.75">
      <c r="A450" s="640"/>
      <c r="F450" s="1"/>
      <c r="G450" s="1"/>
      <c r="H450" s="1"/>
      <c r="I450" s="1"/>
      <c r="L450" s="47"/>
      <c r="M450" s="47"/>
      <c r="AM450" s="904"/>
    </row>
    <row r="451" spans="1:39" customFormat="1" ht="12.75">
      <c r="A451" s="640"/>
      <c r="F451" s="1"/>
      <c r="G451" s="1"/>
      <c r="H451" s="1"/>
      <c r="I451" s="1"/>
      <c r="L451" s="47"/>
      <c r="M451" s="47"/>
      <c r="AM451" s="904"/>
    </row>
    <row r="452" spans="1:39" customFormat="1" ht="12.75">
      <c r="A452" s="640"/>
      <c r="F452" s="1"/>
      <c r="G452" s="1"/>
      <c r="H452" s="1"/>
      <c r="I452" s="1"/>
      <c r="L452" s="47"/>
      <c r="M452" s="47"/>
      <c r="AM452" s="904"/>
    </row>
    <row r="453" spans="1:39" customFormat="1" ht="12.75">
      <c r="A453" s="640"/>
      <c r="F453" s="1"/>
      <c r="G453" s="1"/>
      <c r="H453" s="1"/>
      <c r="I453" s="1"/>
      <c r="L453" s="47"/>
      <c r="M453" s="47"/>
      <c r="AM453" s="904"/>
    </row>
    <row r="454" spans="1:39" customFormat="1" ht="12.75">
      <c r="A454" s="640"/>
      <c r="F454" s="1"/>
      <c r="G454" s="1"/>
      <c r="H454" s="1"/>
      <c r="I454" s="1"/>
      <c r="L454" s="47"/>
      <c r="M454" s="47"/>
      <c r="AM454" s="904"/>
    </row>
    <row r="455" spans="1:39" customFormat="1" ht="12.75">
      <c r="A455" s="640"/>
      <c r="F455" s="1"/>
      <c r="G455" s="1"/>
      <c r="H455" s="1"/>
      <c r="I455" s="1"/>
      <c r="L455" s="47"/>
      <c r="M455" s="47"/>
      <c r="AM455" s="904"/>
    </row>
    <row r="456" spans="1:39" customFormat="1" ht="12.75">
      <c r="A456" s="640"/>
      <c r="F456" s="1"/>
      <c r="G456" s="1"/>
      <c r="H456" s="1"/>
      <c r="I456" s="1"/>
      <c r="L456" s="47"/>
      <c r="M456" s="47"/>
      <c r="AM456" s="904"/>
    </row>
    <row r="457" spans="1:39" customFormat="1" ht="12.75">
      <c r="A457" s="640"/>
      <c r="F457" s="1"/>
      <c r="G457" s="1"/>
      <c r="H457" s="1"/>
      <c r="I457" s="1"/>
      <c r="L457" s="47"/>
      <c r="M457" s="47"/>
      <c r="AM457" s="904"/>
    </row>
    <row r="458" spans="1:39" customFormat="1" ht="12.75">
      <c r="A458" s="640"/>
      <c r="F458" s="1"/>
      <c r="G458" s="1"/>
      <c r="H458" s="1"/>
      <c r="I458" s="1"/>
      <c r="L458" s="47"/>
      <c r="M458" s="47"/>
      <c r="AM458" s="904"/>
    </row>
    <row r="459" spans="1:39" customFormat="1" ht="12.75">
      <c r="A459" s="640"/>
      <c r="F459" s="1"/>
      <c r="G459" s="1"/>
      <c r="H459" s="1"/>
      <c r="I459" s="1"/>
      <c r="L459" s="47"/>
      <c r="M459" s="47"/>
      <c r="AM459" s="904"/>
    </row>
    <row r="460" spans="1:39" customFormat="1" ht="12.75">
      <c r="A460" s="640"/>
      <c r="F460" s="1"/>
      <c r="G460" s="1"/>
      <c r="H460" s="1"/>
      <c r="I460" s="1"/>
      <c r="L460" s="47"/>
      <c r="M460" s="47"/>
      <c r="AM460" s="904"/>
    </row>
    <row r="461" spans="1:39" customFormat="1" ht="12.75">
      <c r="A461" s="640"/>
      <c r="F461" s="1"/>
      <c r="G461" s="1"/>
      <c r="H461" s="1"/>
      <c r="I461" s="1"/>
      <c r="L461" s="47"/>
      <c r="M461" s="47"/>
      <c r="AM461" s="904"/>
    </row>
    <row r="462" spans="1:39" customFormat="1" ht="12.75">
      <c r="A462" s="640"/>
      <c r="F462" s="1"/>
      <c r="G462" s="1"/>
      <c r="H462" s="1"/>
      <c r="I462" s="1"/>
      <c r="L462" s="47"/>
      <c r="M462" s="47"/>
      <c r="AM462" s="904"/>
    </row>
    <row r="463" spans="1:39" customFormat="1" ht="12.75">
      <c r="A463" s="640"/>
      <c r="F463" s="1"/>
      <c r="G463" s="1"/>
      <c r="H463" s="1"/>
      <c r="I463" s="1"/>
      <c r="L463" s="47"/>
      <c r="M463" s="47"/>
      <c r="AM463" s="904"/>
    </row>
    <row r="464" spans="1:39" customFormat="1" ht="12.75">
      <c r="A464" s="640"/>
      <c r="F464" s="1"/>
      <c r="G464" s="1"/>
      <c r="H464" s="1"/>
      <c r="I464" s="1"/>
      <c r="L464" s="47"/>
      <c r="M464" s="47"/>
      <c r="AM464" s="904"/>
    </row>
    <row r="465" spans="1:39" customFormat="1" ht="12.75">
      <c r="A465" s="640"/>
      <c r="F465" s="1"/>
      <c r="G465" s="1"/>
      <c r="H465" s="1"/>
      <c r="I465" s="1"/>
      <c r="L465" s="47"/>
      <c r="M465" s="47"/>
      <c r="AM465" s="904"/>
    </row>
    <row r="466" spans="1:39" customFormat="1" ht="12.75">
      <c r="A466" s="640"/>
      <c r="F466" s="1"/>
      <c r="G466" s="1"/>
      <c r="H466" s="1"/>
      <c r="I466" s="1"/>
      <c r="L466" s="47"/>
      <c r="M466" s="47"/>
      <c r="AM466" s="904"/>
    </row>
    <row r="467" spans="1:39" customFormat="1" ht="12.75">
      <c r="A467" s="640"/>
      <c r="F467" s="1"/>
      <c r="G467" s="1"/>
      <c r="H467" s="1"/>
      <c r="I467" s="1"/>
      <c r="L467" s="47"/>
      <c r="M467" s="47"/>
      <c r="AM467" s="904"/>
    </row>
    <row r="468" spans="1:39" customFormat="1" ht="12.75">
      <c r="A468" s="640"/>
      <c r="F468" s="1"/>
      <c r="G468" s="1"/>
      <c r="H468" s="1"/>
      <c r="I468" s="1"/>
      <c r="L468" s="47"/>
      <c r="M468" s="47"/>
      <c r="AM468" s="904"/>
    </row>
    <row r="469" spans="1:39" customFormat="1" ht="12.75">
      <c r="A469" s="640"/>
      <c r="F469" s="1"/>
      <c r="G469" s="1"/>
      <c r="H469" s="1"/>
      <c r="I469" s="1"/>
      <c r="L469" s="47"/>
      <c r="M469" s="47"/>
      <c r="AM469" s="904"/>
    </row>
    <row r="470" spans="1:39" customFormat="1" ht="12.75">
      <c r="A470" s="640"/>
      <c r="F470" s="1"/>
      <c r="G470" s="1"/>
      <c r="H470" s="1"/>
      <c r="I470" s="1"/>
      <c r="L470" s="47"/>
      <c r="M470" s="47"/>
      <c r="AM470" s="904"/>
    </row>
    <row r="471" spans="1:39" customFormat="1" ht="12.75">
      <c r="A471" s="640"/>
      <c r="F471" s="1"/>
      <c r="G471" s="1"/>
      <c r="H471" s="1"/>
      <c r="I471" s="1"/>
      <c r="L471" s="47"/>
      <c r="M471" s="47"/>
      <c r="AM471" s="904"/>
    </row>
    <row r="472" spans="1:39" customFormat="1" ht="12.75">
      <c r="A472" s="640"/>
      <c r="F472" s="1"/>
      <c r="G472" s="1"/>
      <c r="H472" s="1"/>
      <c r="I472" s="1"/>
      <c r="L472" s="47"/>
      <c r="M472" s="47"/>
      <c r="AM472" s="904"/>
    </row>
    <row r="473" spans="1:39" customFormat="1" ht="12.75">
      <c r="A473" s="640"/>
      <c r="F473" s="1"/>
      <c r="G473" s="1"/>
      <c r="H473" s="1"/>
      <c r="I473" s="1"/>
      <c r="L473" s="47"/>
      <c r="M473" s="47"/>
      <c r="AM473" s="904"/>
    </row>
    <row r="474" spans="1:39" customFormat="1" ht="12.75">
      <c r="A474" s="640"/>
      <c r="F474" s="1"/>
      <c r="G474" s="1"/>
      <c r="H474" s="1"/>
      <c r="I474" s="1"/>
      <c r="L474" s="47"/>
      <c r="M474" s="47"/>
      <c r="AM474" s="904"/>
    </row>
    <row r="475" spans="1:39" customFormat="1" ht="12.75">
      <c r="A475" s="640"/>
      <c r="F475" s="1"/>
      <c r="G475" s="1"/>
      <c r="H475" s="1"/>
      <c r="I475" s="1"/>
      <c r="L475" s="47"/>
      <c r="M475" s="47"/>
      <c r="AM475" s="904"/>
    </row>
    <row r="476" spans="1:39" customFormat="1" ht="12.75">
      <c r="A476" s="640"/>
      <c r="F476" s="1"/>
      <c r="G476" s="1"/>
      <c r="H476" s="1"/>
      <c r="I476" s="1"/>
      <c r="L476" s="47"/>
      <c r="M476" s="47"/>
      <c r="AM476" s="904"/>
    </row>
    <row r="477" spans="1:39" customFormat="1" ht="12.75">
      <c r="A477" s="640"/>
      <c r="F477" s="1"/>
      <c r="G477" s="1"/>
      <c r="H477" s="1"/>
      <c r="I477" s="1"/>
      <c r="L477" s="47"/>
      <c r="M477" s="47"/>
      <c r="AM477" s="904"/>
    </row>
    <row r="478" spans="1:39" customFormat="1" ht="12.75">
      <c r="A478" s="640"/>
      <c r="F478" s="1"/>
      <c r="G478" s="1"/>
      <c r="H478" s="1"/>
      <c r="I478" s="1"/>
      <c r="L478" s="47"/>
      <c r="M478" s="47"/>
      <c r="AM478" s="904"/>
    </row>
    <row r="479" spans="1:39" customFormat="1" ht="12.75">
      <c r="A479" s="640"/>
      <c r="F479" s="1"/>
      <c r="G479" s="1"/>
      <c r="H479" s="1"/>
      <c r="I479" s="1"/>
      <c r="L479" s="47"/>
      <c r="M479" s="47"/>
      <c r="AM479" s="904"/>
    </row>
    <row r="480" spans="1:39" customFormat="1" ht="12.75">
      <c r="A480" s="640"/>
      <c r="F480" s="1"/>
      <c r="G480" s="1"/>
      <c r="H480" s="1"/>
      <c r="I480" s="1"/>
      <c r="L480" s="47"/>
      <c r="M480" s="47"/>
      <c r="AM480" s="904"/>
    </row>
    <row r="481" spans="1:39" customFormat="1" ht="12.75">
      <c r="A481" s="640"/>
      <c r="F481" s="1"/>
      <c r="G481" s="1"/>
      <c r="H481" s="1"/>
      <c r="I481" s="1"/>
      <c r="L481" s="47"/>
      <c r="M481" s="47"/>
      <c r="AM481" s="904"/>
    </row>
    <row r="482" spans="1:39" customFormat="1" ht="12.75">
      <c r="A482" s="640"/>
      <c r="F482" s="1"/>
      <c r="G482" s="1"/>
      <c r="H482" s="1"/>
      <c r="I482" s="1"/>
      <c r="L482" s="47"/>
      <c r="M482" s="47"/>
      <c r="AM482" s="904"/>
    </row>
    <row r="483" spans="1:39" customFormat="1" ht="12.75">
      <c r="A483" s="640"/>
      <c r="F483" s="1"/>
      <c r="G483" s="1"/>
      <c r="H483" s="1"/>
      <c r="I483" s="1"/>
      <c r="L483" s="47"/>
      <c r="M483" s="47"/>
      <c r="AM483" s="904"/>
    </row>
    <row r="484" spans="1:39" customFormat="1" ht="12.75">
      <c r="A484" s="640"/>
      <c r="F484" s="1"/>
      <c r="G484" s="1"/>
      <c r="H484" s="1"/>
      <c r="I484" s="1"/>
      <c r="L484" s="47"/>
      <c r="M484" s="47"/>
      <c r="AM484" s="904"/>
    </row>
    <row r="485" spans="1:39" customFormat="1" ht="12.75">
      <c r="A485" s="640"/>
      <c r="F485" s="1"/>
      <c r="G485" s="1"/>
      <c r="H485" s="1"/>
      <c r="I485" s="1"/>
      <c r="L485" s="47"/>
      <c r="M485" s="47"/>
      <c r="AM485" s="904"/>
    </row>
    <row r="486" spans="1:39" customFormat="1" ht="12.75">
      <c r="A486" s="640"/>
      <c r="F486" s="1"/>
      <c r="G486" s="1"/>
      <c r="H486" s="1"/>
      <c r="I486" s="1"/>
      <c r="L486" s="47"/>
      <c r="M486" s="47"/>
      <c r="AM486" s="904"/>
    </row>
    <row r="487" spans="1:39" customFormat="1" ht="12.75">
      <c r="A487" s="640"/>
      <c r="F487" s="1"/>
      <c r="G487" s="1"/>
      <c r="H487" s="1"/>
      <c r="I487" s="1"/>
      <c r="L487" s="47"/>
      <c r="M487" s="47"/>
      <c r="AM487" s="904"/>
    </row>
    <row r="488" spans="1:39" customFormat="1" ht="12.75">
      <c r="A488" s="640"/>
      <c r="F488" s="1"/>
      <c r="G488" s="1"/>
      <c r="H488" s="1"/>
      <c r="I488" s="1"/>
      <c r="L488" s="47"/>
      <c r="M488" s="47"/>
      <c r="AM488" s="904"/>
    </row>
    <row r="489" spans="1:39" customFormat="1" ht="12.75">
      <c r="A489" s="640"/>
      <c r="F489" s="1"/>
      <c r="G489" s="1"/>
      <c r="H489" s="1"/>
      <c r="I489" s="1"/>
      <c r="L489" s="47"/>
      <c r="M489" s="47"/>
      <c r="AM489" s="904"/>
    </row>
    <row r="490" spans="1:39" customFormat="1" ht="12.75">
      <c r="A490" s="640"/>
      <c r="F490" s="1"/>
      <c r="G490" s="1"/>
      <c r="H490" s="1"/>
      <c r="I490" s="1"/>
      <c r="L490" s="47"/>
      <c r="M490" s="47"/>
      <c r="AM490" s="904"/>
    </row>
    <row r="491" spans="1:39" customFormat="1" ht="12.75">
      <c r="A491" s="640"/>
      <c r="F491" s="1"/>
      <c r="G491" s="1"/>
      <c r="H491" s="1"/>
      <c r="I491" s="1"/>
      <c r="L491" s="47"/>
      <c r="M491" s="47"/>
      <c r="AM491" s="904"/>
    </row>
    <row r="492" spans="1:39" customFormat="1" ht="12.75">
      <c r="A492" s="640"/>
      <c r="F492" s="1"/>
      <c r="G492" s="1"/>
      <c r="H492" s="1"/>
      <c r="I492" s="1"/>
      <c r="L492" s="47"/>
      <c r="M492" s="47"/>
      <c r="AM492" s="904"/>
    </row>
    <row r="493" spans="1:39" customFormat="1" ht="12.75">
      <c r="A493" s="640"/>
      <c r="F493" s="1"/>
      <c r="G493" s="1"/>
      <c r="H493" s="1"/>
      <c r="I493" s="1"/>
      <c r="L493" s="47"/>
      <c r="M493" s="47"/>
      <c r="AM493" s="904"/>
    </row>
    <row r="494" spans="1:39" customFormat="1" ht="12.75">
      <c r="A494" s="640"/>
      <c r="F494" s="1"/>
      <c r="G494" s="1"/>
      <c r="H494" s="1"/>
      <c r="I494" s="1"/>
      <c r="L494" s="47"/>
      <c r="M494" s="47"/>
      <c r="AM494" s="904"/>
    </row>
    <row r="495" spans="1:39" customFormat="1" ht="12.75">
      <c r="A495" s="640"/>
      <c r="F495" s="1"/>
      <c r="G495" s="1"/>
      <c r="H495" s="1"/>
      <c r="I495" s="1"/>
      <c r="L495" s="47"/>
      <c r="M495" s="47"/>
      <c r="AM495" s="904"/>
    </row>
    <row r="496" spans="1:39" customFormat="1" ht="12.75">
      <c r="A496" s="640"/>
      <c r="F496" s="1"/>
      <c r="G496" s="1"/>
      <c r="H496" s="1"/>
      <c r="I496" s="1"/>
      <c r="L496" s="47"/>
      <c r="M496" s="47"/>
      <c r="AM496" s="904"/>
    </row>
    <row r="497" spans="1:39" customFormat="1" ht="12.75">
      <c r="A497" s="640"/>
      <c r="F497" s="1"/>
      <c r="G497" s="1"/>
      <c r="H497" s="1"/>
      <c r="I497" s="1"/>
      <c r="L497" s="47"/>
      <c r="M497" s="47"/>
      <c r="AM497" s="904"/>
    </row>
    <row r="498" spans="1:39" customFormat="1" ht="12.75">
      <c r="A498" s="640"/>
      <c r="F498" s="1"/>
      <c r="G498" s="1"/>
      <c r="H498" s="1"/>
      <c r="I498" s="1"/>
      <c r="L498" s="47"/>
      <c r="M498" s="47"/>
      <c r="AM498" s="904"/>
    </row>
    <row r="499" spans="1:39" customFormat="1" ht="12.75">
      <c r="A499" s="640"/>
      <c r="F499" s="1"/>
      <c r="G499" s="1"/>
      <c r="H499" s="1"/>
      <c r="I499" s="1"/>
      <c r="L499" s="47"/>
      <c r="M499" s="47"/>
      <c r="AM499" s="904"/>
    </row>
    <row r="500" spans="1:39" customFormat="1" ht="12.75">
      <c r="A500" s="640"/>
      <c r="F500" s="1"/>
      <c r="G500" s="1"/>
      <c r="H500" s="1"/>
      <c r="I500" s="1"/>
      <c r="L500" s="47"/>
      <c r="M500" s="47"/>
      <c r="AM500" s="904"/>
    </row>
    <row r="501" spans="1:39" customFormat="1" ht="12.75">
      <c r="A501" s="640"/>
      <c r="F501" s="1"/>
      <c r="G501" s="1"/>
      <c r="H501" s="1"/>
      <c r="I501" s="1"/>
      <c r="L501" s="47"/>
      <c r="M501" s="47"/>
      <c r="AM501" s="904"/>
    </row>
    <row r="502" spans="1:39" customFormat="1" ht="12.75">
      <c r="A502" s="640"/>
      <c r="F502" s="1"/>
      <c r="G502" s="1"/>
      <c r="H502" s="1"/>
      <c r="I502" s="1"/>
      <c r="L502" s="47"/>
      <c r="M502" s="47"/>
      <c r="AM502" s="904"/>
    </row>
    <row r="503" spans="1:39" customFormat="1" ht="12.75">
      <c r="A503" s="640"/>
      <c r="F503" s="1"/>
      <c r="G503" s="1"/>
      <c r="H503" s="1"/>
      <c r="I503" s="1"/>
      <c r="L503" s="47"/>
      <c r="M503" s="47"/>
      <c r="AM503" s="904"/>
    </row>
    <row r="504" spans="1:39" customFormat="1" ht="12.75">
      <c r="A504" s="640"/>
      <c r="F504" s="1"/>
      <c r="G504" s="1"/>
      <c r="H504" s="1"/>
      <c r="I504" s="1"/>
      <c r="L504" s="47"/>
      <c r="M504" s="47"/>
      <c r="AM504" s="904"/>
    </row>
    <row r="505" spans="1:39" customFormat="1" ht="12.75">
      <c r="A505" s="640"/>
      <c r="F505" s="1"/>
      <c r="G505" s="1"/>
      <c r="H505" s="1"/>
      <c r="I505" s="1"/>
      <c r="L505" s="47"/>
      <c r="M505" s="47"/>
      <c r="AM505" s="904"/>
    </row>
    <row r="506" spans="1:39" customFormat="1" ht="12.75">
      <c r="A506" s="640"/>
      <c r="F506" s="1"/>
      <c r="G506" s="1"/>
      <c r="H506" s="1"/>
      <c r="I506" s="1"/>
      <c r="L506" s="47"/>
      <c r="M506" s="47"/>
      <c r="AM506" s="904"/>
    </row>
    <row r="507" spans="1:39" customFormat="1" ht="12.75">
      <c r="A507" s="640"/>
      <c r="F507" s="1"/>
      <c r="G507" s="1"/>
      <c r="H507" s="1"/>
      <c r="I507" s="1"/>
      <c r="L507" s="47"/>
      <c r="M507" s="47"/>
      <c r="AM507" s="904"/>
    </row>
    <row r="508" spans="1:39" customFormat="1" ht="12.75">
      <c r="A508" s="640"/>
      <c r="F508" s="1"/>
      <c r="G508" s="1"/>
      <c r="H508" s="1"/>
      <c r="I508" s="1"/>
      <c r="L508" s="47"/>
      <c r="M508" s="47"/>
      <c r="AM508" s="904"/>
    </row>
    <row r="509" spans="1:39" customFormat="1" ht="12.75">
      <c r="A509" s="640"/>
      <c r="F509" s="1"/>
      <c r="G509" s="1"/>
      <c r="H509" s="1"/>
      <c r="I509" s="1"/>
      <c r="L509" s="47"/>
      <c r="M509" s="47"/>
      <c r="AM509" s="904"/>
    </row>
    <row r="510" spans="1:39" customFormat="1" ht="12.75">
      <c r="A510" s="640"/>
      <c r="F510" s="1"/>
      <c r="G510" s="1"/>
      <c r="H510" s="1"/>
      <c r="I510" s="1"/>
      <c r="L510" s="47"/>
      <c r="M510" s="47"/>
      <c r="AM510" s="904"/>
    </row>
    <row r="511" spans="1:39" customFormat="1" ht="12.75">
      <c r="A511" s="640"/>
      <c r="F511" s="1"/>
      <c r="G511" s="1"/>
      <c r="H511" s="1"/>
      <c r="I511" s="1"/>
      <c r="L511" s="47"/>
      <c r="M511" s="47"/>
      <c r="AM511" s="904"/>
    </row>
    <row r="512" spans="1:39" customFormat="1" ht="12.75">
      <c r="A512" s="640"/>
      <c r="F512" s="1"/>
      <c r="G512" s="1"/>
      <c r="H512" s="1"/>
      <c r="I512" s="1"/>
      <c r="L512" s="47"/>
      <c r="M512" s="47"/>
      <c r="AM512" s="904"/>
    </row>
    <row r="513" spans="1:39" customFormat="1" ht="12.75">
      <c r="A513" s="640"/>
      <c r="F513" s="1"/>
      <c r="G513" s="1"/>
      <c r="H513" s="1"/>
      <c r="I513" s="1"/>
      <c r="L513" s="47"/>
      <c r="M513" s="47"/>
      <c r="AM513" s="904"/>
    </row>
    <row r="514" spans="1:39" customFormat="1" ht="12.75">
      <c r="A514" s="640"/>
      <c r="F514" s="1"/>
      <c r="G514" s="1"/>
      <c r="H514" s="1"/>
      <c r="I514" s="1"/>
      <c r="L514" s="47"/>
      <c r="M514" s="47"/>
      <c r="AM514" s="904"/>
    </row>
    <row r="515" spans="1:39" customFormat="1" ht="12.75">
      <c r="A515" s="640"/>
      <c r="F515" s="1"/>
      <c r="G515" s="1"/>
      <c r="H515" s="1"/>
      <c r="I515" s="1"/>
      <c r="L515" s="47"/>
      <c r="M515" s="47"/>
      <c r="AM515" s="904"/>
    </row>
    <row r="516" spans="1:39" customFormat="1" ht="12.75">
      <c r="A516" s="640"/>
      <c r="F516" s="1"/>
      <c r="G516" s="1"/>
      <c r="H516" s="1"/>
      <c r="I516" s="1"/>
      <c r="L516" s="47"/>
      <c r="M516" s="47"/>
      <c r="AM516" s="904"/>
    </row>
    <row r="517" spans="1:39" customFormat="1" ht="12.75">
      <c r="A517" s="640"/>
      <c r="F517" s="1"/>
      <c r="G517" s="1"/>
      <c r="H517" s="1"/>
      <c r="I517" s="1"/>
      <c r="L517" s="47"/>
      <c r="M517" s="47"/>
      <c r="AM517" s="904"/>
    </row>
    <row r="518" spans="1:39" customFormat="1" ht="12.75">
      <c r="A518" s="640"/>
      <c r="F518" s="1"/>
      <c r="G518" s="1"/>
      <c r="H518" s="1"/>
      <c r="I518" s="1"/>
      <c r="L518" s="47"/>
      <c r="M518" s="47"/>
      <c r="AM518" s="904"/>
    </row>
    <row r="519" spans="1:39" customFormat="1" ht="12.75">
      <c r="A519" s="640"/>
      <c r="F519" s="1"/>
      <c r="G519" s="1"/>
      <c r="H519" s="1"/>
      <c r="I519" s="1"/>
      <c r="L519" s="47"/>
      <c r="M519" s="47"/>
      <c r="AM519" s="904"/>
    </row>
    <row r="520" spans="1:39" customFormat="1" ht="12.75">
      <c r="A520" s="640"/>
      <c r="F520" s="1"/>
      <c r="G520" s="1"/>
      <c r="H520" s="1"/>
      <c r="I520" s="1"/>
      <c r="L520" s="47"/>
      <c r="M520" s="47"/>
      <c r="AM520" s="904"/>
    </row>
    <row r="521" spans="1:39" customFormat="1" ht="12.75">
      <c r="A521" s="640"/>
      <c r="F521" s="1"/>
      <c r="G521" s="1"/>
      <c r="H521" s="1"/>
      <c r="I521" s="1"/>
      <c r="L521" s="47"/>
      <c r="M521" s="47"/>
      <c r="AM521" s="904"/>
    </row>
    <row r="522" spans="1:39" customFormat="1" ht="12.75">
      <c r="A522" s="640"/>
      <c r="F522" s="1"/>
      <c r="G522" s="1"/>
      <c r="H522" s="1"/>
      <c r="I522" s="1"/>
      <c r="L522" s="47"/>
      <c r="M522" s="47"/>
      <c r="AM522" s="904"/>
    </row>
    <row r="523" spans="1:39" customFormat="1" ht="12.75">
      <c r="A523" s="640"/>
      <c r="F523" s="1"/>
      <c r="G523" s="1"/>
      <c r="H523" s="1"/>
      <c r="I523" s="1"/>
      <c r="L523" s="47"/>
      <c r="M523" s="47"/>
      <c r="AM523" s="904"/>
    </row>
    <row r="524" spans="1:39" customFormat="1" ht="12.75">
      <c r="A524" s="640"/>
      <c r="F524" s="1"/>
      <c r="G524" s="1"/>
      <c r="H524" s="1"/>
      <c r="I524" s="1"/>
      <c r="L524" s="47"/>
      <c r="M524" s="47"/>
      <c r="AM524" s="904"/>
    </row>
    <row r="525" spans="1:39" customFormat="1" ht="12.75">
      <c r="A525" s="640"/>
      <c r="F525" s="1"/>
      <c r="G525" s="1"/>
      <c r="H525" s="1"/>
      <c r="I525" s="1"/>
      <c r="L525" s="47"/>
      <c r="M525" s="47"/>
      <c r="AM525" s="904"/>
    </row>
    <row r="526" spans="1:39" customFormat="1" ht="12.75">
      <c r="A526" s="640"/>
      <c r="F526" s="1"/>
      <c r="G526" s="1"/>
      <c r="H526" s="1"/>
      <c r="I526" s="1"/>
      <c r="L526" s="47"/>
      <c r="M526" s="47"/>
      <c r="AM526" s="904"/>
    </row>
    <row r="527" spans="1:39" customFormat="1" ht="12.75">
      <c r="A527" s="640"/>
      <c r="F527" s="1"/>
      <c r="G527" s="1"/>
      <c r="H527" s="1"/>
      <c r="I527" s="1"/>
      <c r="L527" s="47"/>
      <c r="M527" s="47"/>
      <c r="AM527" s="904"/>
    </row>
    <row r="528" spans="1:39" customFormat="1" ht="12.75">
      <c r="A528" s="640"/>
      <c r="F528" s="1"/>
      <c r="G528" s="1"/>
      <c r="H528" s="1"/>
      <c r="I528" s="1"/>
      <c r="L528" s="47"/>
      <c r="M528" s="47"/>
      <c r="AM528" s="904"/>
    </row>
    <row r="529" spans="1:39" customFormat="1" ht="12.75">
      <c r="A529" s="640"/>
      <c r="F529" s="1"/>
      <c r="G529" s="1"/>
      <c r="H529" s="1"/>
      <c r="I529" s="1"/>
      <c r="L529" s="47"/>
      <c r="M529" s="47"/>
      <c r="AM529" s="904"/>
    </row>
    <row r="530" spans="1:39" customFormat="1" ht="12.75">
      <c r="A530" s="640"/>
      <c r="F530" s="1"/>
      <c r="G530" s="1"/>
      <c r="H530" s="1"/>
      <c r="I530" s="1"/>
      <c r="L530" s="47"/>
      <c r="M530" s="47"/>
      <c r="AM530" s="904"/>
    </row>
    <row r="531" spans="1:39" customFormat="1" ht="12.75">
      <c r="A531" s="640"/>
      <c r="F531" s="1"/>
      <c r="G531" s="1"/>
      <c r="H531" s="1"/>
      <c r="I531" s="1"/>
      <c r="L531" s="47"/>
      <c r="M531" s="47"/>
      <c r="AM531" s="904"/>
    </row>
    <row r="532" spans="1:39" customFormat="1" ht="12.75">
      <c r="A532" s="640"/>
      <c r="F532" s="1"/>
      <c r="G532" s="1"/>
      <c r="H532" s="1"/>
      <c r="I532" s="1"/>
      <c r="L532" s="47"/>
      <c r="M532" s="47"/>
      <c r="AM532" s="904"/>
    </row>
    <row r="533" spans="1:39" customFormat="1" ht="12.75">
      <c r="A533" s="640"/>
      <c r="F533" s="1"/>
      <c r="G533" s="1"/>
      <c r="H533" s="1"/>
      <c r="I533" s="1"/>
      <c r="L533" s="47"/>
      <c r="M533" s="47"/>
      <c r="AM533" s="904"/>
    </row>
    <row r="534" spans="1:39" customFormat="1" ht="12.75">
      <c r="A534" s="640"/>
      <c r="F534" s="1"/>
      <c r="G534" s="1"/>
      <c r="H534" s="1"/>
      <c r="I534" s="1"/>
      <c r="L534" s="47"/>
      <c r="M534" s="47"/>
      <c r="AM534" s="904"/>
    </row>
    <row r="535" spans="1:39" customFormat="1" ht="12.75">
      <c r="A535" s="640"/>
      <c r="F535" s="1"/>
      <c r="G535" s="1"/>
      <c r="H535" s="1"/>
      <c r="I535" s="1"/>
      <c r="L535" s="47"/>
      <c r="M535" s="47"/>
      <c r="AM535" s="904"/>
    </row>
    <row r="536" spans="1:39" customFormat="1" ht="12.75">
      <c r="A536" s="640"/>
      <c r="F536" s="1"/>
      <c r="G536" s="1"/>
      <c r="H536" s="1"/>
      <c r="I536" s="1"/>
      <c r="L536" s="47"/>
      <c r="M536" s="47"/>
      <c r="AM536" s="904"/>
    </row>
    <row r="537" spans="1:39" customFormat="1" ht="12.75">
      <c r="A537" s="640"/>
      <c r="F537" s="1"/>
      <c r="G537" s="1"/>
      <c r="H537" s="1"/>
      <c r="I537" s="1"/>
      <c r="L537" s="47"/>
      <c r="M537" s="47"/>
      <c r="AM537" s="904"/>
    </row>
    <row r="538" spans="1:39" customFormat="1" ht="12.75">
      <c r="A538" s="640"/>
      <c r="F538" s="1"/>
      <c r="G538" s="1"/>
      <c r="H538" s="1"/>
      <c r="I538" s="1"/>
      <c r="L538" s="47"/>
      <c r="M538" s="47"/>
      <c r="AM538" s="904"/>
    </row>
    <row r="539" spans="1:39" customFormat="1" ht="12.75">
      <c r="A539" s="640"/>
      <c r="F539" s="1"/>
      <c r="G539" s="1"/>
      <c r="H539" s="1"/>
      <c r="I539" s="1"/>
      <c r="L539" s="47"/>
      <c r="M539" s="47"/>
      <c r="AM539" s="904"/>
    </row>
    <row r="540" spans="1:39" customFormat="1" ht="12.75">
      <c r="A540" s="640"/>
      <c r="F540" s="1"/>
      <c r="G540" s="1"/>
      <c r="H540" s="1"/>
      <c r="I540" s="1"/>
      <c r="L540" s="47"/>
      <c r="M540" s="47"/>
      <c r="AM540" s="904"/>
    </row>
    <row r="541" spans="1:39" customFormat="1" ht="12.75">
      <c r="A541" s="640"/>
      <c r="F541" s="1"/>
      <c r="G541" s="1"/>
      <c r="H541" s="1"/>
      <c r="I541" s="1"/>
      <c r="L541" s="47"/>
      <c r="M541" s="47"/>
      <c r="AM541" s="904"/>
    </row>
    <row r="542" spans="1:39" customFormat="1" ht="12.75">
      <c r="A542" s="640"/>
      <c r="F542" s="1"/>
      <c r="G542" s="1"/>
      <c r="H542" s="1"/>
      <c r="I542" s="1"/>
      <c r="L542" s="47"/>
      <c r="M542" s="47"/>
      <c r="AM542" s="904"/>
    </row>
    <row r="543" spans="1:39" customFormat="1" ht="12.75">
      <c r="A543" s="640"/>
      <c r="F543" s="1"/>
      <c r="G543" s="1"/>
      <c r="H543" s="1"/>
      <c r="I543" s="1"/>
      <c r="L543" s="47"/>
      <c r="M543" s="47"/>
      <c r="AM543" s="904"/>
    </row>
    <row r="544" spans="1:39" customFormat="1" ht="12.75">
      <c r="A544" s="640"/>
      <c r="F544" s="1"/>
      <c r="G544" s="1"/>
      <c r="H544" s="1"/>
      <c r="I544" s="1"/>
      <c r="L544" s="47"/>
      <c r="M544" s="47"/>
      <c r="AM544" s="904"/>
    </row>
    <row r="545" spans="1:39" customFormat="1" ht="12.75">
      <c r="A545" s="640"/>
      <c r="F545" s="1"/>
      <c r="G545" s="1"/>
      <c r="H545" s="1"/>
      <c r="I545" s="1"/>
      <c r="L545" s="47"/>
      <c r="M545" s="47"/>
      <c r="AM545" s="904"/>
    </row>
    <row r="546" spans="1:39" customFormat="1" ht="12.75">
      <c r="A546" s="640"/>
      <c r="F546" s="1"/>
      <c r="G546" s="1"/>
      <c r="H546" s="1"/>
      <c r="I546" s="1"/>
      <c r="L546" s="47"/>
      <c r="M546" s="47"/>
      <c r="AM546" s="904"/>
    </row>
    <row r="547" spans="1:39" customFormat="1" ht="12.75">
      <c r="A547" s="640"/>
      <c r="F547" s="1"/>
      <c r="G547" s="1"/>
      <c r="H547" s="1"/>
      <c r="I547" s="1"/>
      <c r="L547" s="47"/>
      <c r="M547" s="47"/>
      <c r="AM547" s="904"/>
    </row>
    <row r="548" spans="1:39" customFormat="1" ht="12.75">
      <c r="A548" s="640"/>
      <c r="F548" s="1"/>
      <c r="G548" s="1"/>
      <c r="H548" s="1"/>
      <c r="I548" s="1"/>
      <c r="L548" s="47"/>
      <c r="M548" s="47"/>
      <c r="AM548" s="904"/>
    </row>
    <row r="549" spans="1:39" customFormat="1" ht="12.75">
      <c r="A549" s="640"/>
      <c r="F549" s="1"/>
      <c r="G549" s="1"/>
      <c r="H549" s="1"/>
      <c r="I549" s="1"/>
      <c r="L549" s="47"/>
      <c r="M549" s="47"/>
      <c r="AM549" s="904"/>
    </row>
    <row r="550" spans="1:39" customFormat="1" ht="12.75">
      <c r="A550" s="640"/>
      <c r="F550" s="1"/>
      <c r="G550" s="1"/>
      <c r="H550" s="1"/>
      <c r="I550" s="1"/>
      <c r="L550" s="47"/>
      <c r="M550" s="47"/>
      <c r="AM550" s="904"/>
    </row>
    <row r="551" spans="1:39" customFormat="1" ht="12.75">
      <c r="A551" s="640"/>
      <c r="F551" s="1"/>
      <c r="G551" s="1"/>
      <c r="H551" s="1"/>
      <c r="I551" s="1"/>
      <c r="L551" s="47"/>
      <c r="M551" s="47"/>
      <c r="AM551" s="904"/>
    </row>
    <row r="552" spans="1:39" customFormat="1" ht="12.75">
      <c r="A552" s="640"/>
      <c r="F552" s="1"/>
      <c r="G552" s="1"/>
      <c r="H552" s="1"/>
      <c r="I552" s="1"/>
      <c r="L552" s="47"/>
      <c r="M552" s="47"/>
      <c r="AM552" s="904"/>
    </row>
    <row r="553" spans="1:39" customFormat="1" ht="12.75">
      <c r="A553" s="640"/>
      <c r="F553" s="1"/>
      <c r="G553" s="1"/>
      <c r="H553" s="1"/>
      <c r="I553" s="1"/>
      <c r="L553" s="47"/>
      <c r="M553" s="47"/>
      <c r="AM553" s="904"/>
    </row>
    <row r="554" spans="1:39" customFormat="1" ht="12.75">
      <c r="A554" s="640"/>
      <c r="F554" s="1"/>
      <c r="G554" s="1"/>
      <c r="H554" s="1"/>
      <c r="I554" s="1"/>
      <c r="L554" s="47"/>
      <c r="M554" s="47"/>
      <c r="AM554" s="904"/>
    </row>
    <row r="555" spans="1:39" customFormat="1" ht="12.75">
      <c r="A555" s="640"/>
      <c r="F555" s="1"/>
      <c r="G555" s="1"/>
      <c r="H555" s="1"/>
      <c r="I555" s="1"/>
      <c r="L555" s="47"/>
      <c r="M555" s="47"/>
      <c r="AM555" s="904"/>
    </row>
    <row r="556" spans="1:39" customFormat="1" ht="12.75">
      <c r="A556" s="640"/>
      <c r="F556" s="1"/>
      <c r="G556" s="1"/>
      <c r="H556" s="1"/>
      <c r="I556" s="1"/>
      <c r="L556" s="47"/>
      <c r="M556" s="47"/>
      <c r="AM556" s="904"/>
    </row>
    <row r="557" spans="1:39" customFormat="1" ht="12.75">
      <c r="A557" s="640"/>
      <c r="F557" s="1"/>
      <c r="G557" s="1"/>
      <c r="H557" s="1"/>
      <c r="I557" s="1"/>
      <c r="L557" s="47"/>
      <c r="M557" s="47"/>
      <c r="AM557" s="904"/>
    </row>
    <row r="558" spans="1:39" customFormat="1" ht="12.75">
      <c r="A558" s="640"/>
      <c r="F558" s="1"/>
      <c r="G558" s="1"/>
      <c r="H558" s="1"/>
      <c r="I558" s="1"/>
      <c r="L558" s="47"/>
      <c r="M558" s="47"/>
      <c r="AM558" s="904"/>
    </row>
    <row r="559" spans="1:39" customFormat="1" ht="12.75">
      <c r="A559" s="640"/>
      <c r="F559" s="1"/>
      <c r="G559" s="1"/>
      <c r="H559" s="1"/>
      <c r="I559" s="1"/>
      <c r="L559" s="47"/>
      <c r="M559" s="47"/>
      <c r="AM559" s="904"/>
    </row>
    <row r="560" spans="1:39" customFormat="1" ht="12.75">
      <c r="A560" s="640"/>
      <c r="F560" s="1"/>
      <c r="G560" s="1"/>
      <c r="H560" s="1"/>
      <c r="I560" s="1"/>
      <c r="L560" s="47"/>
      <c r="M560" s="47"/>
      <c r="AM560" s="904"/>
    </row>
    <row r="561" spans="1:39" customFormat="1" ht="12.75">
      <c r="A561" s="640"/>
      <c r="F561" s="1"/>
      <c r="G561" s="1"/>
      <c r="H561" s="1"/>
      <c r="I561" s="1"/>
      <c r="L561" s="47"/>
      <c r="M561" s="47"/>
      <c r="AM561" s="904"/>
    </row>
    <row r="562" spans="1:39" customFormat="1" ht="12.75">
      <c r="A562" s="640"/>
      <c r="F562" s="1"/>
      <c r="G562" s="1"/>
      <c r="H562" s="1"/>
      <c r="I562" s="1"/>
      <c r="L562" s="47"/>
      <c r="M562" s="47"/>
      <c r="AM562" s="904"/>
    </row>
    <row r="563" spans="1:39" customFormat="1" ht="12.75">
      <c r="A563" s="640"/>
      <c r="F563" s="1"/>
      <c r="G563" s="1"/>
      <c r="H563" s="1"/>
      <c r="I563" s="1"/>
      <c r="L563" s="47"/>
      <c r="M563" s="47"/>
      <c r="AM563" s="904"/>
    </row>
    <row r="564" spans="1:39" customFormat="1" ht="12.75">
      <c r="A564" s="640"/>
      <c r="F564" s="1"/>
      <c r="G564" s="1"/>
      <c r="H564" s="1"/>
      <c r="I564" s="1"/>
      <c r="L564" s="47"/>
      <c r="M564" s="47"/>
      <c r="AM564" s="904"/>
    </row>
    <row r="565" spans="1:39" customFormat="1" ht="12.75">
      <c r="A565" s="640"/>
      <c r="F565" s="1"/>
      <c r="G565" s="1"/>
      <c r="H565" s="1"/>
      <c r="I565" s="1"/>
      <c r="L565" s="47"/>
      <c r="M565" s="47"/>
      <c r="AM565" s="904"/>
    </row>
    <row r="566" spans="1:39" customFormat="1" ht="12.75">
      <c r="A566" s="640"/>
      <c r="F566" s="1"/>
      <c r="G566" s="1"/>
      <c r="H566" s="1"/>
      <c r="I566" s="1"/>
      <c r="L566" s="47"/>
      <c r="M566" s="47"/>
      <c r="AM566" s="904"/>
    </row>
    <row r="567" spans="1:39" customFormat="1" ht="12.75">
      <c r="A567" s="640"/>
      <c r="F567" s="1"/>
      <c r="G567" s="1"/>
      <c r="H567" s="1"/>
      <c r="I567" s="1"/>
      <c r="L567" s="47"/>
      <c r="M567" s="47"/>
      <c r="AM567" s="904"/>
    </row>
    <row r="568" spans="1:39" customFormat="1" ht="12.75">
      <c r="A568" s="640"/>
      <c r="F568" s="1"/>
      <c r="G568" s="1"/>
      <c r="H568" s="1"/>
      <c r="I568" s="1"/>
      <c r="L568" s="47"/>
      <c r="M568" s="47"/>
      <c r="AM568" s="904"/>
    </row>
    <row r="569" spans="1:39" customFormat="1" ht="12.75">
      <c r="A569" s="640"/>
      <c r="F569" s="1"/>
      <c r="G569" s="1"/>
      <c r="H569" s="1"/>
      <c r="I569" s="1"/>
      <c r="L569" s="47"/>
      <c r="M569" s="47"/>
      <c r="AM569" s="904"/>
    </row>
    <row r="570" spans="1:39" customFormat="1" ht="12.75">
      <c r="A570" s="640"/>
      <c r="F570" s="1"/>
      <c r="G570" s="1"/>
      <c r="H570" s="1"/>
      <c r="I570" s="1"/>
      <c r="L570" s="47"/>
      <c r="M570" s="47"/>
      <c r="AM570" s="904"/>
    </row>
    <row r="571" spans="1:39" customFormat="1" ht="12.75">
      <c r="A571" s="640"/>
      <c r="F571" s="1"/>
      <c r="G571" s="1"/>
      <c r="H571" s="1"/>
      <c r="I571" s="1"/>
      <c r="L571" s="47"/>
      <c r="M571" s="47"/>
      <c r="AM571" s="904"/>
    </row>
    <row r="572" spans="1:39" customFormat="1" ht="12.75">
      <c r="A572" s="640"/>
      <c r="F572" s="1"/>
      <c r="G572" s="1"/>
      <c r="H572" s="1"/>
      <c r="I572" s="1"/>
      <c r="L572" s="47"/>
      <c r="M572" s="47"/>
      <c r="AM572" s="904"/>
    </row>
    <row r="573" spans="1:39" customFormat="1" ht="12.75">
      <c r="A573" s="640"/>
      <c r="F573" s="1"/>
      <c r="G573" s="1"/>
      <c r="H573" s="1"/>
      <c r="I573" s="1"/>
      <c r="L573" s="47"/>
      <c r="M573" s="47"/>
      <c r="AM573" s="904"/>
    </row>
    <row r="574" spans="1:39" customFormat="1" ht="12.75">
      <c r="A574" s="640"/>
      <c r="F574" s="1"/>
      <c r="G574" s="1"/>
      <c r="H574" s="1"/>
      <c r="I574" s="1"/>
      <c r="L574" s="47"/>
      <c r="M574" s="47"/>
      <c r="AM574" s="904"/>
    </row>
    <row r="575" spans="1:39" customFormat="1" ht="12.75">
      <c r="A575" s="640"/>
      <c r="F575" s="1"/>
      <c r="G575" s="1"/>
      <c r="H575" s="1"/>
      <c r="I575" s="1"/>
      <c r="L575" s="47"/>
      <c r="M575" s="47"/>
      <c r="AM575" s="904"/>
    </row>
    <row r="576" spans="1:39" customFormat="1" ht="12.75">
      <c r="A576" s="640"/>
      <c r="F576" s="1"/>
      <c r="G576" s="1"/>
      <c r="H576" s="1"/>
      <c r="I576" s="1"/>
      <c r="L576" s="47"/>
      <c r="M576" s="47"/>
      <c r="AM576" s="904"/>
    </row>
    <row r="577" spans="1:39" customFormat="1" ht="12.75">
      <c r="A577" s="640"/>
      <c r="F577" s="1"/>
      <c r="G577" s="1"/>
      <c r="H577" s="1"/>
      <c r="I577" s="1"/>
      <c r="L577" s="47"/>
      <c r="M577" s="47"/>
      <c r="AM577" s="904"/>
    </row>
    <row r="578" spans="1:39" customFormat="1" ht="12.75">
      <c r="A578" s="640"/>
      <c r="F578" s="1"/>
      <c r="G578" s="1"/>
      <c r="H578" s="1"/>
      <c r="I578" s="1"/>
      <c r="L578" s="47"/>
      <c r="M578" s="47"/>
      <c r="AM578" s="904"/>
    </row>
    <row r="579" spans="1:39" customFormat="1" ht="12.75">
      <c r="A579" s="640"/>
      <c r="F579" s="1"/>
      <c r="G579" s="1"/>
      <c r="H579" s="1"/>
      <c r="I579" s="1"/>
      <c r="L579" s="47"/>
      <c r="M579" s="47"/>
      <c r="AM579" s="904"/>
    </row>
    <row r="580" spans="1:39" customFormat="1" ht="12.75">
      <c r="A580" s="640"/>
      <c r="F580" s="1"/>
      <c r="G580" s="1"/>
      <c r="H580" s="1"/>
      <c r="I580" s="1"/>
      <c r="L580" s="47"/>
      <c r="M580" s="47"/>
      <c r="AM580" s="904"/>
    </row>
    <row r="581" spans="1:39" customFormat="1" ht="12.75">
      <c r="A581" s="640"/>
      <c r="F581" s="1"/>
      <c r="G581" s="1"/>
      <c r="H581" s="1"/>
      <c r="I581" s="1"/>
      <c r="L581" s="47"/>
      <c r="M581" s="47"/>
      <c r="AM581" s="904"/>
    </row>
    <row r="582" spans="1:39" customFormat="1" ht="12.75">
      <c r="A582" s="640"/>
      <c r="F582" s="1"/>
      <c r="G582" s="1"/>
      <c r="H582" s="1"/>
      <c r="I582" s="1"/>
      <c r="L582" s="47"/>
      <c r="M582" s="47"/>
      <c r="AM582" s="904"/>
    </row>
    <row r="583" spans="1:39" customFormat="1" ht="12.75">
      <c r="A583" s="640"/>
      <c r="F583" s="1"/>
      <c r="G583" s="1"/>
      <c r="H583" s="1"/>
      <c r="I583" s="1"/>
      <c r="L583" s="47"/>
      <c r="M583" s="47"/>
      <c r="AM583" s="904"/>
    </row>
    <row r="584" spans="1:39" customFormat="1" ht="12.75">
      <c r="A584" s="640"/>
      <c r="F584" s="1"/>
      <c r="G584" s="1"/>
      <c r="H584" s="1"/>
      <c r="I584" s="1"/>
      <c r="L584" s="47"/>
      <c r="M584" s="47"/>
      <c r="AM584" s="904"/>
    </row>
    <row r="585" spans="1:39" customFormat="1" ht="12.75">
      <c r="A585" s="640"/>
      <c r="F585" s="1"/>
      <c r="G585" s="1"/>
      <c r="H585" s="1"/>
      <c r="I585" s="1"/>
      <c r="L585" s="47"/>
      <c r="M585" s="47"/>
      <c r="AM585" s="904"/>
    </row>
    <row r="586" spans="1:39" customFormat="1" ht="12.75">
      <c r="A586" s="640"/>
      <c r="F586" s="1"/>
      <c r="G586" s="1"/>
      <c r="H586" s="1"/>
      <c r="I586" s="1"/>
      <c r="L586" s="47"/>
      <c r="M586" s="47"/>
      <c r="AM586" s="904"/>
    </row>
    <row r="587" spans="1:39" customFormat="1" ht="12.75">
      <c r="A587" s="640"/>
      <c r="F587" s="1"/>
      <c r="G587" s="1"/>
      <c r="H587" s="1"/>
      <c r="I587" s="1"/>
      <c r="L587" s="47"/>
      <c r="M587" s="47"/>
      <c r="AM587" s="904"/>
    </row>
    <row r="588" spans="1:39" customFormat="1" ht="12.75">
      <c r="A588" s="640"/>
      <c r="F588" s="1"/>
      <c r="G588" s="1"/>
      <c r="H588" s="1"/>
      <c r="I588" s="1"/>
      <c r="L588" s="47"/>
      <c r="M588" s="47"/>
      <c r="AM588" s="904"/>
    </row>
    <row r="589" spans="1:39" customFormat="1" ht="12.75">
      <c r="A589" s="640"/>
      <c r="F589" s="1"/>
      <c r="G589" s="1"/>
      <c r="H589" s="1"/>
      <c r="I589" s="1"/>
      <c r="L589" s="47"/>
      <c r="M589" s="47"/>
      <c r="AM589" s="904"/>
    </row>
    <row r="590" spans="1:39" customFormat="1" ht="12.75">
      <c r="A590" s="640"/>
      <c r="F590" s="1"/>
      <c r="G590" s="1"/>
      <c r="H590" s="1"/>
      <c r="I590" s="1"/>
      <c r="L590" s="47"/>
      <c r="M590" s="47"/>
      <c r="AM590" s="904"/>
    </row>
    <row r="591" spans="1:39" customFormat="1" ht="12.75">
      <c r="A591" s="640"/>
      <c r="F591" s="1"/>
      <c r="G591" s="1"/>
      <c r="H591" s="1"/>
      <c r="I591" s="1"/>
      <c r="L591" s="47"/>
      <c r="M591" s="47"/>
      <c r="AM591" s="904"/>
    </row>
    <row r="592" spans="1:39" customFormat="1" ht="12.75">
      <c r="A592" s="640"/>
      <c r="F592" s="1"/>
      <c r="G592" s="1"/>
      <c r="H592" s="1"/>
      <c r="I592" s="1"/>
      <c r="L592" s="47"/>
      <c r="M592" s="47"/>
      <c r="AM592" s="904"/>
    </row>
    <row r="593" spans="1:39" customFormat="1" ht="12.75">
      <c r="A593" s="640"/>
      <c r="F593" s="1"/>
      <c r="G593" s="1"/>
      <c r="H593" s="1"/>
      <c r="I593" s="1"/>
      <c r="L593" s="47"/>
      <c r="M593" s="47"/>
      <c r="AM593" s="904"/>
    </row>
    <row r="594" spans="1:39" customFormat="1" ht="12.75">
      <c r="A594" s="640"/>
      <c r="F594" s="1"/>
      <c r="G594" s="1"/>
      <c r="H594" s="1"/>
      <c r="I594" s="1"/>
      <c r="L594" s="47"/>
      <c r="M594" s="47"/>
      <c r="AM594" s="904"/>
    </row>
    <row r="595" spans="1:39" customFormat="1" ht="12.75">
      <c r="A595" s="640"/>
      <c r="F595" s="1"/>
      <c r="G595" s="1"/>
      <c r="H595" s="1"/>
      <c r="I595" s="1"/>
      <c r="L595" s="47"/>
      <c r="M595" s="47"/>
      <c r="AM595" s="904"/>
    </row>
    <row r="596" spans="1:39" customFormat="1" ht="12.75">
      <c r="A596" s="640"/>
      <c r="F596" s="1"/>
      <c r="G596" s="1"/>
      <c r="H596" s="1"/>
      <c r="I596" s="1"/>
      <c r="L596" s="47"/>
      <c r="M596" s="47"/>
      <c r="AM596" s="904"/>
    </row>
    <row r="597" spans="1:39" customFormat="1" ht="12.75">
      <c r="A597" s="640"/>
      <c r="F597" s="1"/>
      <c r="G597" s="1"/>
      <c r="H597" s="1"/>
      <c r="I597" s="1"/>
      <c r="L597" s="47"/>
      <c r="M597" s="47"/>
      <c r="AM597" s="904"/>
    </row>
    <row r="598" spans="1:39" customFormat="1" ht="12.75">
      <c r="A598" s="640"/>
      <c r="F598" s="1"/>
      <c r="G598" s="1"/>
      <c r="H598" s="1"/>
      <c r="I598" s="1"/>
      <c r="L598" s="47"/>
      <c r="M598" s="47"/>
      <c r="AM598" s="904"/>
    </row>
    <row r="599" spans="1:39" customFormat="1" ht="12.75">
      <c r="A599" s="640"/>
      <c r="F599" s="1"/>
      <c r="G599" s="1"/>
      <c r="H599" s="1"/>
      <c r="I599" s="1"/>
      <c r="L599" s="47"/>
      <c r="M599" s="47"/>
      <c r="AM599" s="904"/>
    </row>
    <row r="600" spans="1:39" customFormat="1" ht="12.75">
      <c r="A600" s="640"/>
      <c r="F600" s="1"/>
      <c r="G600" s="1"/>
      <c r="H600" s="1"/>
      <c r="I600" s="1"/>
      <c r="L600" s="47"/>
      <c r="M600" s="47"/>
      <c r="AM600" s="904"/>
    </row>
    <row r="601" spans="1:39" customFormat="1" ht="12.75">
      <c r="A601" s="640"/>
      <c r="F601" s="1"/>
      <c r="G601" s="1"/>
      <c r="H601" s="1"/>
      <c r="I601" s="1"/>
      <c r="L601" s="47"/>
      <c r="M601" s="47"/>
      <c r="AM601" s="904"/>
    </row>
    <row r="602" spans="1:39" customFormat="1" ht="12.75">
      <c r="A602" s="640"/>
      <c r="F602" s="1"/>
      <c r="G602" s="1"/>
      <c r="H602" s="1"/>
      <c r="I602" s="1"/>
      <c r="L602" s="47"/>
      <c r="M602" s="47"/>
      <c r="AM602" s="904"/>
    </row>
    <row r="603" spans="1:39" customFormat="1" ht="12.75">
      <c r="A603" s="640"/>
      <c r="F603" s="1"/>
      <c r="G603" s="1"/>
      <c r="H603" s="1"/>
      <c r="I603" s="1"/>
      <c r="L603" s="47"/>
      <c r="M603" s="47"/>
      <c r="AM603" s="904"/>
    </row>
    <row r="604" spans="1:39" customFormat="1" ht="12.75">
      <c r="A604" s="640"/>
      <c r="F604" s="1"/>
      <c r="G604" s="1"/>
      <c r="H604" s="1"/>
      <c r="I604" s="1"/>
      <c r="L604" s="47"/>
      <c r="M604" s="47"/>
      <c r="AM604" s="904"/>
    </row>
    <row r="605" spans="1:39" customFormat="1" ht="12.75">
      <c r="A605" s="640"/>
      <c r="F605" s="1"/>
      <c r="G605" s="1"/>
      <c r="H605" s="1"/>
      <c r="I605" s="1"/>
      <c r="L605" s="47"/>
      <c r="M605" s="47"/>
      <c r="AM605" s="904"/>
    </row>
    <row r="606" spans="1:39" customFormat="1" ht="12.75">
      <c r="A606" s="640"/>
      <c r="F606" s="1"/>
      <c r="G606" s="1"/>
      <c r="H606" s="1"/>
      <c r="I606" s="1"/>
      <c r="L606" s="47"/>
      <c r="M606" s="47"/>
      <c r="AM606" s="904"/>
    </row>
    <row r="607" spans="1:39" customFormat="1" ht="12.75">
      <c r="A607" s="640"/>
      <c r="F607" s="1"/>
      <c r="G607" s="1"/>
      <c r="H607" s="1"/>
      <c r="I607" s="1"/>
      <c r="L607" s="47"/>
      <c r="M607" s="47"/>
      <c r="AM607" s="904"/>
    </row>
    <row r="608" spans="1:39" customFormat="1" ht="12.75">
      <c r="A608" s="640"/>
      <c r="F608" s="1"/>
      <c r="G608" s="1"/>
      <c r="H608" s="1"/>
      <c r="I608" s="1"/>
      <c r="L608" s="47"/>
      <c r="M608" s="47"/>
      <c r="AM608" s="904"/>
    </row>
    <row r="609" spans="1:39" customFormat="1" ht="12.75">
      <c r="A609" s="640"/>
      <c r="F609" s="1"/>
      <c r="G609" s="1"/>
      <c r="H609" s="1"/>
      <c r="I609" s="1"/>
      <c r="L609" s="47"/>
      <c r="M609" s="47"/>
      <c r="AM609" s="904"/>
    </row>
    <row r="610" spans="1:39" customFormat="1" ht="12.75">
      <c r="A610" s="640"/>
      <c r="F610" s="1"/>
      <c r="G610" s="1"/>
      <c r="H610" s="1"/>
      <c r="I610" s="1"/>
      <c r="L610" s="47"/>
      <c r="M610" s="47"/>
      <c r="AM610" s="904"/>
    </row>
    <row r="611" spans="1:39" customFormat="1" ht="12.75">
      <c r="A611" s="640"/>
      <c r="F611" s="1"/>
      <c r="G611" s="1"/>
      <c r="H611" s="1"/>
      <c r="I611" s="1"/>
      <c r="L611" s="47"/>
      <c r="M611" s="47"/>
      <c r="AM611" s="904"/>
    </row>
    <row r="612" spans="1:39" customFormat="1" ht="12.75">
      <c r="A612" s="640"/>
      <c r="F612" s="1"/>
      <c r="G612" s="1"/>
      <c r="H612" s="1"/>
      <c r="I612" s="1"/>
      <c r="L612" s="47"/>
      <c r="M612" s="47"/>
      <c r="AM612" s="904"/>
    </row>
    <row r="613" spans="1:39" customFormat="1" ht="12.75">
      <c r="A613" s="640"/>
      <c r="F613" s="1"/>
      <c r="G613" s="1"/>
      <c r="H613" s="1"/>
      <c r="I613" s="1"/>
      <c r="L613" s="47"/>
      <c r="M613" s="47"/>
      <c r="AM613" s="904"/>
    </row>
    <row r="614" spans="1:39" customFormat="1" ht="12.75">
      <c r="A614" s="640"/>
      <c r="F614" s="1"/>
      <c r="G614" s="1"/>
      <c r="H614" s="1"/>
      <c r="I614" s="1"/>
      <c r="L614" s="47"/>
      <c r="M614" s="47"/>
      <c r="AM614" s="904"/>
    </row>
    <row r="615" spans="1:39" customFormat="1" ht="12.75">
      <c r="A615" s="640"/>
      <c r="F615" s="1"/>
      <c r="G615" s="1"/>
      <c r="H615" s="1"/>
      <c r="I615" s="1"/>
      <c r="L615" s="47"/>
      <c r="M615" s="47"/>
      <c r="AM615" s="904"/>
    </row>
    <row r="616" spans="1:39" customFormat="1" ht="12.75">
      <c r="A616" s="640"/>
      <c r="F616" s="1"/>
      <c r="G616" s="1"/>
      <c r="H616" s="1"/>
      <c r="I616" s="1"/>
      <c r="L616" s="47"/>
      <c r="M616" s="47"/>
      <c r="AM616" s="904"/>
    </row>
    <row r="617" spans="1:39" customFormat="1" ht="12.75">
      <c r="A617" s="640"/>
      <c r="F617" s="1"/>
      <c r="G617" s="1"/>
      <c r="H617" s="1"/>
      <c r="I617" s="1"/>
      <c r="L617" s="47"/>
      <c r="M617" s="47"/>
      <c r="AM617" s="904"/>
    </row>
    <row r="618" spans="1:39" customFormat="1" ht="12.75">
      <c r="A618" s="640"/>
      <c r="F618" s="1"/>
      <c r="G618" s="1"/>
      <c r="H618" s="1"/>
      <c r="I618" s="1"/>
      <c r="L618" s="47"/>
      <c r="M618" s="47"/>
      <c r="AM618" s="904"/>
    </row>
    <row r="619" spans="1:39" customFormat="1" ht="12.75">
      <c r="A619" s="640"/>
      <c r="F619" s="1"/>
      <c r="G619" s="1"/>
      <c r="H619" s="1"/>
      <c r="I619" s="1"/>
      <c r="L619" s="47"/>
      <c r="M619" s="47"/>
      <c r="AM619" s="904"/>
    </row>
    <row r="620" spans="1:39" customFormat="1" ht="12.75">
      <c r="A620" s="640"/>
      <c r="F620" s="1"/>
      <c r="G620" s="1"/>
      <c r="H620" s="1"/>
      <c r="I620" s="1"/>
      <c r="L620" s="47"/>
      <c r="M620" s="47"/>
      <c r="AM620" s="904"/>
    </row>
    <row r="621" spans="1:39" customFormat="1" ht="12.75">
      <c r="A621" s="640"/>
      <c r="F621" s="1"/>
      <c r="G621" s="1"/>
      <c r="H621" s="1"/>
      <c r="I621" s="1"/>
      <c r="L621" s="47"/>
      <c r="M621" s="47"/>
      <c r="AM621" s="904"/>
    </row>
    <row r="622" spans="1:39" customFormat="1" ht="12.75">
      <c r="A622" s="640"/>
      <c r="F622" s="1"/>
      <c r="G622" s="1"/>
      <c r="H622" s="1"/>
      <c r="I622" s="1"/>
      <c r="L622" s="47"/>
      <c r="M622" s="47"/>
      <c r="AM622" s="904"/>
    </row>
    <row r="623" spans="1:39" customFormat="1" ht="12.75">
      <c r="A623" s="640"/>
      <c r="F623" s="1"/>
      <c r="G623" s="1"/>
      <c r="H623" s="1"/>
      <c r="I623" s="1"/>
      <c r="L623" s="47"/>
      <c r="M623" s="47"/>
      <c r="AM623" s="904"/>
    </row>
    <row r="624" spans="1:39" customFormat="1" ht="12.75">
      <c r="A624" s="640"/>
      <c r="F624" s="1"/>
      <c r="G624" s="1"/>
      <c r="H624" s="1"/>
      <c r="I624" s="1"/>
      <c r="L624" s="47"/>
      <c r="M624" s="47"/>
      <c r="AM624" s="904"/>
    </row>
    <row r="625" spans="1:39" customFormat="1" ht="12.75">
      <c r="A625" s="640"/>
      <c r="F625" s="1"/>
      <c r="G625" s="1"/>
      <c r="H625" s="1"/>
      <c r="I625" s="1"/>
      <c r="L625" s="47"/>
      <c r="M625" s="47"/>
      <c r="AM625" s="904"/>
    </row>
    <row r="626" spans="1:39" customFormat="1" ht="12.75">
      <c r="A626" s="640"/>
      <c r="F626" s="1"/>
      <c r="G626" s="1"/>
      <c r="H626" s="1"/>
      <c r="I626" s="1"/>
      <c r="L626" s="47"/>
      <c r="M626" s="47"/>
      <c r="AM626" s="904"/>
    </row>
    <row r="627" spans="1:39" customFormat="1" ht="12.75">
      <c r="A627" s="640"/>
      <c r="F627" s="1"/>
      <c r="G627" s="1"/>
      <c r="H627" s="1"/>
      <c r="I627" s="1"/>
      <c r="L627" s="47"/>
      <c r="M627" s="47"/>
      <c r="AM627" s="904"/>
    </row>
    <row r="628" spans="1:39" customFormat="1" ht="12.75">
      <c r="A628" s="640"/>
      <c r="F628" s="1"/>
      <c r="G628" s="1"/>
      <c r="H628" s="1"/>
      <c r="I628" s="1"/>
      <c r="L628" s="47"/>
      <c r="M628" s="47"/>
      <c r="AM628" s="904"/>
    </row>
    <row r="629" spans="1:39" customFormat="1" ht="12.75">
      <c r="A629" s="640"/>
      <c r="F629" s="1"/>
      <c r="G629" s="1"/>
      <c r="H629" s="1"/>
      <c r="I629" s="1"/>
      <c r="L629" s="47"/>
      <c r="M629" s="47"/>
      <c r="AM629" s="904"/>
    </row>
    <row r="630" spans="1:39" customFormat="1" ht="12.75">
      <c r="A630" s="640"/>
      <c r="F630" s="1"/>
      <c r="G630" s="1"/>
      <c r="H630" s="1"/>
      <c r="I630" s="1"/>
      <c r="L630" s="47"/>
      <c r="M630" s="47"/>
      <c r="AM630" s="904"/>
    </row>
    <row r="631" spans="1:39" customFormat="1" ht="12.75">
      <c r="A631" s="640"/>
      <c r="F631" s="1"/>
      <c r="G631" s="1"/>
      <c r="H631" s="1"/>
      <c r="I631" s="1"/>
      <c r="L631" s="47"/>
      <c r="M631" s="47"/>
      <c r="AM631" s="904"/>
    </row>
    <row r="632" spans="1:39" customFormat="1" ht="12.75">
      <c r="A632" s="640"/>
      <c r="F632" s="1"/>
      <c r="G632" s="1"/>
      <c r="H632" s="1"/>
      <c r="I632" s="1"/>
      <c r="L632" s="47"/>
      <c r="M632" s="47"/>
      <c r="AM632" s="904"/>
    </row>
    <row r="633" spans="1:39" customFormat="1" ht="12.75">
      <c r="A633" s="640"/>
      <c r="F633" s="1"/>
      <c r="G633" s="1"/>
      <c r="H633" s="1"/>
      <c r="I633" s="1"/>
      <c r="L633" s="47"/>
      <c r="M633" s="47"/>
      <c r="AM633" s="904"/>
    </row>
    <row r="634" spans="1:39" customFormat="1" ht="12.75">
      <c r="A634" s="640"/>
      <c r="F634" s="1"/>
      <c r="G634" s="1"/>
      <c r="H634" s="1"/>
      <c r="I634" s="1"/>
      <c r="L634" s="47"/>
      <c r="M634" s="47"/>
      <c r="AM634" s="904"/>
    </row>
    <row r="635" spans="1:39" customFormat="1" ht="12.75">
      <c r="A635" s="640"/>
      <c r="F635" s="1"/>
      <c r="G635" s="1"/>
      <c r="H635" s="1"/>
      <c r="I635" s="1"/>
      <c r="L635" s="47"/>
      <c r="M635" s="47"/>
      <c r="AM635" s="904"/>
    </row>
    <row r="636" spans="1:39" customFormat="1" ht="12.75">
      <c r="A636" s="640"/>
      <c r="F636" s="1"/>
      <c r="G636" s="1"/>
      <c r="H636" s="1"/>
      <c r="I636" s="1"/>
      <c r="L636" s="47"/>
      <c r="M636" s="47"/>
      <c r="AM636" s="904"/>
    </row>
    <row r="637" spans="1:39" customFormat="1" ht="12.75">
      <c r="A637" s="640"/>
      <c r="F637" s="1"/>
      <c r="G637" s="1"/>
      <c r="H637" s="1"/>
      <c r="I637" s="1"/>
      <c r="L637" s="47"/>
      <c r="M637" s="47"/>
      <c r="AM637" s="904"/>
    </row>
    <row r="638" spans="1:39" customFormat="1" ht="12.75">
      <c r="A638" s="640"/>
      <c r="F638" s="1"/>
      <c r="G638" s="1"/>
      <c r="H638" s="1"/>
      <c r="I638" s="1"/>
      <c r="L638" s="47"/>
      <c r="M638" s="47"/>
      <c r="AM638" s="904"/>
    </row>
    <row r="639" spans="1:39" customFormat="1" ht="12.75">
      <c r="A639" s="640"/>
      <c r="F639" s="1"/>
      <c r="G639" s="1"/>
      <c r="H639" s="1"/>
      <c r="I639" s="1"/>
      <c r="L639" s="47"/>
      <c r="M639" s="47"/>
      <c r="AM639" s="904"/>
    </row>
    <row r="640" spans="1:39" customFormat="1" ht="12.75">
      <c r="A640" s="640"/>
      <c r="F640" s="1"/>
      <c r="G640" s="1"/>
      <c r="H640" s="1"/>
      <c r="I640" s="1"/>
      <c r="L640" s="47"/>
      <c r="M640" s="47"/>
      <c r="AM640" s="904"/>
    </row>
    <row r="641" spans="1:39" customFormat="1" ht="12.75">
      <c r="A641" s="640"/>
      <c r="F641" s="1"/>
      <c r="G641" s="1"/>
      <c r="H641" s="1"/>
      <c r="I641" s="1"/>
      <c r="L641" s="47"/>
      <c r="M641" s="47"/>
      <c r="AM641" s="904"/>
    </row>
    <row r="642" spans="1:39" customFormat="1" ht="12.75">
      <c r="A642" s="640"/>
      <c r="F642" s="1"/>
      <c r="G642" s="1"/>
      <c r="H642" s="1"/>
      <c r="I642" s="1"/>
      <c r="L642" s="47"/>
      <c r="M642" s="47"/>
      <c r="AM642" s="904"/>
    </row>
    <row r="643" spans="1:39" customFormat="1" ht="12.75">
      <c r="A643" s="640"/>
      <c r="F643" s="1"/>
      <c r="G643" s="1"/>
      <c r="H643" s="1"/>
      <c r="I643" s="1"/>
      <c r="L643" s="47"/>
      <c r="M643" s="47"/>
      <c r="AM643" s="904"/>
    </row>
    <row r="644" spans="1:39" customFormat="1" ht="12.75">
      <c r="A644" s="640"/>
      <c r="F644" s="1"/>
      <c r="G644" s="1"/>
      <c r="H644" s="1"/>
      <c r="I644" s="1"/>
      <c r="L644" s="47"/>
      <c r="M644" s="47"/>
      <c r="AM644" s="904"/>
    </row>
    <row r="645" spans="1:39" customFormat="1" ht="12.75">
      <c r="A645" s="640"/>
      <c r="F645" s="1"/>
      <c r="G645" s="1"/>
      <c r="H645" s="1"/>
      <c r="I645" s="1"/>
      <c r="L645" s="47"/>
      <c r="M645" s="47"/>
      <c r="AM645" s="904"/>
    </row>
    <row r="646" spans="1:39" customFormat="1" ht="12.75">
      <c r="A646" s="640"/>
      <c r="F646" s="1"/>
      <c r="G646" s="1"/>
      <c r="H646" s="1"/>
      <c r="I646" s="1"/>
      <c r="L646" s="47"/>
      <c r="M646" s="47"/>
      <c r="AM646" s="904"/>
    </row>
    <row r="647" spans="1:39" customFormat="1" ht="12.75">
      <c r="A647" s="640"/>
      <c r="F647" s="1"/>
      <c r="G647" s="1"/>
      <c r="H647" s="1"/>
      <c r="I647" s="1"/>
      <c r="L647" s="47"/>
      <c r="M647" s="47"/>
      <c r="AM647" s="904"/>
    </row>
    <row r="648" spans="1:39" customFormat="1" ht="12.75">
      <c r="A648" s="640"/>
      <c r="F648" s="1"/>
      <c r="G648" s="1"/>
      <c r="H648" s="1"/>
      <c r="I648" s="1"/>
      <c r="L648" s="47"/>
      <c r="M648" s="47"/>
      <c r="AM648" s="904"/>
    </row>
    <row r="649" spans="1:39" customFormat="1" ht="12.75">
      <c r="A649" s="640"/>
      <c r="F649" s="1"/>
      <c r="G649" s="1"/>
      <c r="H649" s="1"/>
      <c r="I649" s="1"/>
      <c r="L649" s="47"/>
      <c r="M649" s="47"/>
      <c r="AM649" s="904"/>
    </row>
    <row r="650" spans="1:39" customFormat="1" ht="12.75">
      <c r="A650" s="640"/>
      <c r="F650" s="1"/>
      <c r="G650" s="1"/>
      <c r="H650" s="1"/>
      <c r="I650" s="1"/>
      <c r="L650" s="47"/>
      <c r="M650" s="47"/>
      <c r="AM650" s="904"/>
    </row>
    <row r="651" spans="1:39" customFormat="1" ht="12.75">
      <c r="A651" s="640"/>
      <c r="F651" s="1"/>
      <c r="G651" s="1"/>
      <c r="H651" s="1"/>
      <c r="I651" s="1"/>
      <c r="L651" s="47"/>
      <c r="M651" s="47"/>
      <c r="AM651" s="904"/>
    </row>
    <row r="652" spans="1:39" customFormat="1" ht="12.75">
      <c r="A652" s="640"/>
      <c r="F652" s="1"/>
      <c r="G652" s="1"/>
      <c r="H652" s="1"/>
      <c r="I652" s="1"/>
      <c r="L652" s="47"/>
      <c r="M652" s="47"/>
      <c r="AM652" s="904"/>
    </row>
    <row r="653" spans="1:39" customFormat="1" ht="12.75">
      <c r="A653" s="640"/>
      <c r="F653" s="1"/>
      <c r="G653" s="1"/>
      <c r="H653" s="1"/>
      <c r="I653" s="1"/>
      <c r="L653" s="47"/>
      <c r="M653" s="47"/>
      <c r="AM653" s="904"/>
    </row>
    <row r="654" spans="1:39" customFormat="1" ht="12.75">
      <c r="A654" s="640"/>
      <c r="F654" s="1"/>
      <c r="G654" s="1"/>
      <c r="H654" s="1"/>
      <c r="I654" s="1"/>
      <c r="L654" s="47"/>
      <c r="M654" s="47"/>
      <c r="AM654" s="904"/>
    </row>
    <row r="655" spans="1:39" customFormat="1" ht="12.75">
      <c r="A655" s="640"/>
      <c r="F655" s="1"/>
      <c r="G655" s="1"/>
      <c r="H655" s="1"/>
      <c r="I655" s="1"/>
      <c r="L655" s="47"/>
      <c r="M655" s="47"/>
      <c r="AM655" s="904"/>
    </row>
    <row r="656" spans="1:39" customFormat="1" ht="12.75">
      <c r="A656" s="640"/>
      <c r="F656" s="1"/>
      <c r="G656" s="1"/>
      <c r="H656" s="1"/>
      <c r="I656" s="1"/>
      <c r="L656" s="47"/>
      <c r="M656" s="47"/>
      <c r="AM656" s="904"/>
    </row>
    <row r="657" spans="1:39" customFormat="1" ht="12.75">
      <c r="A657" s="640"/>
      <c r="F657" s="1"/>
      <c r="G657" s="1"/>
      <c r="H657" s="1"/>
      <c r="I657" s="1"/>
      <c r="L657" s="47"/>
      <c r="M657" s="47"/>
      <c r="AM657" s="904"/>
    </row>
    <row r="658" spans="1:39" customFormat="1" ht="12.75">
      <c r="A658" s="640"/>
      <c r="F658" s="1"/>
      <c r="G658" s="1"/>
      <c r="H658" s="1"/>
      <c r="I658" s="1"/>
      <c r="L658" s="47"/>
      <c r="M658" s="47"/>
      <c r="AM658" s="904"/>
    </row>
    <row r="659" spans="1:39" customFormat="1" ht="12.75">
      <c r="A659" s="640"/>
      <c r="F659" s="1"/>
      <c r="G659" s="1"/>
      <c r="H659" s="1"/>
      <c r="I659" s="1"/>
      <c r="L659" s="47"/>
      <c r="M659" s="47"/>
      <c r="AM659" s="904"/>
    </row>
    <row r="660" spans="1:39" customFormat="1" ht="12.75">
      <c r="A660" s="640"/>
      <c r="F660" s="1"/>
      <c r="G660" s="1"/>
      <c r="H660" s="1"/>
      <c r="I660" s="1"/>
      <c r="L660" s="47"/>
      <c r="M660" s="47"/>
      <c r="AM660" s="904"/>
    </row>
    <row r="661" spans="1:39" customFormat="1" ht="12.75">
      <c r="A661" s="640"/>
      <c r="F661" s="1"/>
      <c r="G661" s="1"/>
      <c r="H661" s="1"/>
      <c r="I661" s="1"/>
      <c r="L661" s="47"/>
      <c r="M661" s="47"/>
      <c r="AM661" s="904"/>
    </row>
    <row r="662" spans="1:39" customFormat="1" ht="12.75">
      <c r="A662" s="640"/>
      <c r="F662" s="1"/>
      <c r="G662" s="1"/>
      <c r="H662" s="1"/>
      <c r="I662" s="1"/>
      <c r="L662" s="47"/>
      <c r="M662" s="47"/>
      <c r="AM662" s="904"/>
    </row>
    <row r="663" spans="1:39" customFormat="1" ht="12.75">
      <c r="A663" s="640"/>
      <c r="F663" s="1"/>
      <c r="G663" s="1"/>
      <c r="H663" s="1"/>
      <c r="I663" s="1"/>
      <c r="L663" s="47"/>
      <c r="M663" s="47"/>
      <c r="AM663" s="904"/>
    </row>
    <row r="664" spans="1:39" customFormat="1" ht="12.75">
      <c r="A664" s="640"/>
      <c r="F664" s="1"/>
      <c r="G664" s="1"/>
      <c r="H664" s="1"/>
      <c r="I664" s="1"/>
      <c r="L664" s="47"/>
      <c r="M664" s="47"/>
      <c r="AM664" s="904"/>
    </row>
    <row r="665" spans="1:39" customFormat="1" ht="12.75">
      <c r="A665" s="640"/>
      <c r="F665" s="1"/>
      <c r="G665" s="1"/>
      <c r="H665" s="1"/>
      <c r="I665" s="1"/>
      <c r="L665" s="47"/>
      <c r="M665" s="47"/>
      <c r="AM665" s="904"/>
    </row>
    <row r="666" spans="1:39" customFormat="1" ht="12.75">
      <c r="A666" s="640"/>
      <c r="F666" s="1"/>
      <c r="G666" s="1"/>
      <c r="H666" s="1"/>
      <c r="I666" s="1"/>
      <c r="L666" s="47"/>
      <c r="M666" s="47"/>
      <c r="AM666" s="904"/>
    </row>
    <row r="667" spans="1:39" customFormat="1" ht="12.75">
      <c r="A667" s="640"/>
      <c r="F667" s="1"/>
      <c r="G667" s="1"/>
      <c r="H667" s="1"/>
      <c r="I667" s="1"/>
      <c r="L667" s="47"/>
      <c r="M667" s="47"/>
      <c r="AM667" s="904"/>
    </row>
    <row r="668" spans="1:39" customFormat="1" ht="12.75">
      <c r="A668" s="640"/>
      <c r="F668" s="1"/>
      <c r="G668" s="1"/>
      <c r="H668" s="1"/>
      <c r="I668" s="1"/>
      <c r="L668" s="47"/>
      <c r="M668" s="47"/>
      <c r="AM668" s="904"/>
    </row>
    <row r="669" spans="1:39" customFormat="1" ht="12.75">
      <c r="A669" s="640"/>
      <c r="F669" s="1"/>
      <c r="G669" s="1"/>
      <c r="H669" s="1"/>
      <c r="I669" s="1"/>
      <c r="L669" s="47"/>
      <c r="M669" s="47"/>
      <c r="AM669" s="904"/>
    </row>
    <row r="670" spans="1:39" customFormat="1" ht="12.75">
      <c r="A670" s="640"/>
      <c r="F670" s="1"/>
      <c r="G670" s="1"/>
      <c r="H670" s="1"/>
      <c r="I670" s="1"/>
      <c r="L670" s="47"/>
      <c r="M670" s="47"/>
      <c r="AM670" s="904"/>
    </row>
    <row r="671" spans="1:39" customFormat="1" ht="12.75">
      <c r="A671" s="640"/>
      <c r="F671" s="1"/>
      <c r="G671" s="1"/>
      <c r="H671" s="1"/>
      <c r="I671" s="1"/>
      <c r="L671" s="47"/>
      <c r="M671" s="47"/>
      <c r="AM671" s="904"/>
    </row>
    <row r="672" spans="1:39" customFormat="1" ht="12.75">
      <c r="A672" s="640"/>
      <c r="F672" s="1"/>
      <c r="G672" s="1"/>
      <c r="H672" s="1"/>
      <c r="I672" s="1"/>
      <c r="L672" s="47"/>
      <c r="M672" s="47"/>
      <c r="AM672" s="904"/>
    </row>
    <row r="673" spans="1:39" customFormat="1" ht="12.75">
      <c r="A673" s="640"/>
      <c r="F673" s="1"/>
      <c r="G673" s="1"/>
      <c r="H673" s="1"/>
      <c r="I673" s="1"/>
      <c r="L673" s="47"/>
      <c r="M673" s="47"/>
      <c r="AM673" s="904"/>
    </row>
    <row r="674" spans="1:39" customFormat="1" ht="12.75">
      <c r="A674" s="640"/>
      <c r="F674" s="1"/>
      <c r="G674" s="1"/>
      <c r="H674" s="1"/>
      <c r="I674" s="1"/>
      <c r="L674" s="47"/>
      <c r="M674" s="47"/>
      <c r="AM674" s="904"/>
    </row>
    <row r="675" spans="1:39" customFormat="1" ht="12.75">
      <c r="A675" s="640"/>
      <c r="F675" s="1"/>
      <c r="G675" s="1"/>
      <c r="H675" s="1"/>
      <c r="I675" s="1"/>
      <c r="L675" s="47"/>
      <c r="M675" s="47"/>
      <c r="AM675" s="904"/>
    </row>
    <row r="676" spans="1:39" customFormat="1" ht="12.75">
      <c r="A676" s="640"/>
      <c r="F676" s="1"/>
      <c r="G676" s="1"/>
      <c r="H676" s="1"/>
      <c r="I676" s="1"/>
      <c r="L676" s="47"/>
      <c r="M676" s="47"/>
      <c r="AM676" s="904"/>
    </row>
    <row r="677" spans="1:39" customFormat="1" ht="12.75">
      <c r="A677" s="640"/>
      <c r="F677" s="1"/>
      <c r="G677" s="1"/>
      <c r="H677" s="1"/>
      <c r="I677" s="1"/>
      <c r="L677" s="47"/>
      <c r="M677" s="47"/>
      <c r="AM677" s="904"/>
    </row>
    <row r="678" spans="1:39" customFormat="1" ht="12.75">
      <c r="A678" s="640"/>
      <c r="F678" s="1"/>
      <c r="G678" s="1"/>
      <c r="H678" s="1"/>
      <c r="I678" s="1"/>
      <c r="L678" s="47"/>
      <c r="M678" s="47"/>
      <c r="AM678" s="904"/>
    </row>
    <row r="679" spans="1:39" customFormat="1" ht="12.75">
      <c r="A679" s="640"/>
      <c r="F679" s="1"/>
      <c r="G679" s="1"/>
      <c r="H679" s="1"/>
      <c r="I679" s="1"/>
      <c r="L679" s="47"/>
      <c r="M679" s="47"/>
      <c r="AM679" s="904"/>
    </row>
    <row r="680" spans="1:39" customFormat="1" ht="12.75">
      <c r="A680" s="640"/>
      <c r="F680" s="1"/>
      <c r="G680" s="1"/>
      <c r="H680" s="1"/>
      <c r="I680" s="1"/>
      <c r="L680" s="47"/>
      <c r="M680" s="47"/>
      <c r="AM680" s="904"/>
    </row>
    <row r="681" spans="1:39" customFormat="1" ht="12.75">
      <c r="A681" s="640"/>
      <c r="F681" s="1"/>
      <c r="G681" s="1"/>
      <c r="H681" s="1"/>
      <c r="I681" s="1"/>
      <c r="L681" s="47"/>
      <c r="M681" s="47"/>
      <c r="AM681" s="904"/>
    </row>
    <row r="682" spans="1:39" customFormat="1" ht="12.75">
      <c r="A682" s="640"/>
      <c r="F682" s="1"/>
      <c r="G682" s="1"/>
      <c r="H682" s="1"/>
      <c r="I682" s="1"/>
      <c r="L682" s="47"/>
      <c r="M682" s="47"/>
      <c r="AM682" s="904"/>
    </row>
    <row r="683" spans="1:39" customFormat="1" ht="12.75">
      <c r="A683" s="640"/>
      <c r="F683" s="1"/>
      <c r="G683" s="1"/>
      <c r="H683" s="1"/>
      <c r="I683" s="1"/>
      <c r="L683" s="47"/>
      <c r="M683" s="47"/>
      <c r="AM683" s="904"/>
    </row>
    <row r="684" spans="1:39" customFormat="1" ht="12.75">
      <c r="A684" s="640"/>
      <c r="F684" s="1"/>
      <c r="G684" s="1"/>
      <c r="H684" s="1"/>
      <c r="I684" s="1"/>
      <c r="L684" s="47"/>
      <c r="M684" s="47"/>
      <c r="AM684" s="904"/>
    </row>
    <row r="685" spans="1:39" customFormat="1" ht="12.75">
      <c r="A685" s="640"/>
      <c r="F685" s="1"/>
      <c r="G685" s="1"/>
      <c r="H685" s="1"/>
      <c r="I685" s="1"/>
      <c r="L685" s="47"/>
      <c r="M685" s="47"/>
      <c r="AM685" s="904"/>
    </row>
    <row r="686" spans="1:39" customFormat="1" ht="12.75">
      <c r="A686" s="640"/>
      <c r="F686" s="1"/>
      <c r="G686" s="1"/>
      <c r="H686" s="1"/>
      <c r="I686" s="1"/>
      <c r="L686" s="47"/>
      <c r="M686" s="47"/>
      <c r="AM686" s="904"/>
    </row>
    <row r="687" spans="1:39" customFormat="1" ht="12.75">
      <c r="A687" s="640"/>
      <c r="F687" s="1"/>
      <c r="G687" s="1"/>
      <c r="H687" s="1"/>
      <c r="I687" s="1"/>
      <c r="L687" s="47"/>
      <c r="M687" s="47"/>
      <c r="AM687" s="904"/>
    </row>
    <row r="688" spans="1:39" customFormat="1" ht="12.75">
      <c r="A688" s="640"/>
      <c r="F688" s="1"/>
      <c r="G688" s="1"/>
      <c r="H688" s="1"/>
      <c r="I688" s="1"/>
      <c r="L688" s="47"/>
      <c r="M688" s="47"/>
      <c r="AM688" s="904"/>
    </row>
    <row r="689" spans="1:39" customFormat="1" ht="12.75">
      <c r="A689" s="640"/>
      <c r="F689" s="1"/>
      <c r="G689" s="1"/>
      <c r="H689" s="1"/>
      <c r="I689" s="1"/>
      <c r="L689" s="47"/>
      <c r="M689" s="47"/>
      <c r="AM689" s="904"/>
    </row>
    <row r="690" spans="1:39" customFormat="1" ht="12.75">
      <c r="A690" s="640"/>
      <c r="F690" s="1"/>
      <c r="G690" s="1"/>
      <c r="H690" s="1"/>
      <c r="I690" s="1"/>
      <c r="L690" s="47"/>
      <c r="M690" s="47"/>
      <c r="AM690" s="904"/>
    </row>
    <row r="691" spans="1:39" customFormat="1" ht="12.75">
      <c r="A691" s="640"/>
      <c r="F691" s="1"/>
      <c r="G691" s="1"/>
      <c r="H691" s="1"/>
      <c r="I691" s="1"/>
      <c r="L691" s="47"/>
      <c r="M691" s="47"/>
      <c r="AM691" s="904"/>
    </row>
    <row r="692" spans="1:39" customFormat="1" ht="12.75">
      <c r="A692" s="640"/>
      <c r="F692" s="1"/>
      <c r="G692" s="1"/>
      <c r="H692" s="1"/>
      <c r="I692" s="1"/>
      <c r="L692" s="47"/>
      <c r="M692" s="47"/>
      <c r="AM692" s="904"/>
    </row>
    <row r="693" spans="1:39" customFormat="1" ht="12.75">
      <c r="A693" s="640"/>
      <c r="F693" s="1"/>
      <c r="G693" s="1"/>
      <c r="H693" s="1"/>
      <c r="I693" s="1"/>
      <c r="L693" s="47"/>
      <c r="M693" s="47"/>
      <c r="AM693" s="904"/>
    </row>
    <row r="694" spans="1:39" customFormat="1" ht="12.75">
      <c r="A694" s="640"/>
      <c r="F694" s="1"/>
      <c r="G694" s="1"/>
      <c r="H694" s="1"/>
      <c r="I694" s="1"/>
      <c r="L694" s="47"/>
      <c r="M694" s="47"/>
      <c r="AM694" s="904"/>
    </row>
    <row r="695" spans="1:39" customFormat="1" ht="12.75">
      <c r="A695" s="640"/>
      <c r="F695" s="1"/>
      <c r="G695" s="1"/>
      <c r="H695" s="1"/>
      <c r="I695" s="1"/>
      <c r="L695" s="47"/>
      <c r="M695" s="47"/>
      <c r="AM695" s="904"/>
    </row>
    <row r="696" spans="1:39" customFormat="1" ht="12.75">
      <c r="A696" s="640"/>
      <c r="F696" s="1"/>
      <c r="G696" s="1"/>
      <c r="H696" s="1"/>
      <c r="I696" s="1"/>
      <c r="L696" s="47"/>
      <c r="M696" s="47"/>
      <c r="AM696" s="904"/>
    </row>
    <row r="697" spans="1:39" customFormat="1" ht="12.75">
      <c r="A697" s="640"/>
      <c r="F697" s="1"/>
      <c r="G697" s="1"/>
      <c r="H697" s="1"/>
      <c r="I697" s="1"/>
      <c r="L697" s="47"/>
      <c r="M697" s="47"/>
      <c r="AM697" s="904"/>
    </row>
    <row r="698" spans="1:39" customFormat="1" ht="12.75">
      <c r="A698" s="640"/>
      <c r="F698" s="1"/>
      <c r="G698" s="1"/>
      <c r="H698" s="1"/>
      <c r="I698" s="1"/>
      <c r="L698" s="47"/>
      <c r="M698" s="47"/>
      <c r="AM698" s="904"/>
    </row>
    <row r="699" spans="1:39" customFormat="1" ht="12.75">
      <c r="A699" s="640"/>
      <c r="F699" s="1"/>
      <c r="G699" s="1"/>
      <c r="H699" s="1"/>
      <c r="I699" s="1"/>
      <c r="L699" s="47"/>
      <c r="M699" s="47"/>
      <c r="AM699" s="904"/>
    </row>
    <row r="700" spans="1:39" customFormat="1" ht="12.75">
      <c r="A700" s="640"/>
      <c r="F700" s="1"/>
      <c r="G700" s="1"/>
      <c r="H700" s="1"/>
      <c r="I700" s="1"/>
      <c r="L700" s="47"/>
      <c r="M700" s="47"/>
      <c r="AM700" s="904"/>
    </row>
    <row r="701" spans="1:39" customFormat="1" ht="12.75">
      <c r="A701" s="640"/>
      <c r="F701" s="1"/>
      <c r="G701" s="1"/>
      <c r="H701" s="1"/>
      <c r="I701" s="1"/>
      <c r="L701" s="47"/>
      <c r="M701" s="47"/>
      <c r="AM701" s="904"/>
    </row>
    <row r="702" spans="1:39" customFormat="1" ht="12.75">
      <c r="A702" s="640"/>
      <c r="F702" s="1"/>
      <c r="G702" s="1"/>
      <c r="H702" s="1"/>
      <c r="I702" s="1"/>
      <c r="L702" s="47"/>
      <c r="M702" s="47"/>
      <c r="AM702" s="904"/>
    </row>
    <row r="703" spans="1:39" customFormat="1" ht="12.75">
      <c r="A703" s="640"/>
      <c r="F703" s="1"/>
      <c r="G703" s="1"/>
      <c r="H703" s="1"/>
      <c r="I703" s="1"/>
      <c r="L703" s="47"/>
      <c r="M703" s="47"/>
      <c r="AM703" s="904"/>
    </row>
    <row r="704" spans="1:39" customFormat="1" ht="12.75">
      <c r="A704" s="640"/>
      <c r="F704" s="1"/>
      <c r="G704" s="1"/>
      <c r="H704" s="1"/>
      <c r="I704" s="1"/>
      <c r="L704" s="47"/>
      <c r="M704" s="47"/>
      <c r="AM704" s="904"/>
    </row>
    <row r="705" spans="1:39" customFormat="1" ht="12.75">
      <c r="A705" s="640"/>
      <c r="F705" s="1"/>
      <c r="G705" s="1"/>
      <c r="H705" s="1"/>
      <c r="I705" s="1"/>
      <c r="L705" s="47"/>
      <c r="M705" s="47"/>
      <c r="AM705" s="904"/>
    </row>
    <row r="706" spans="1:39" customFormat="1" ht="12.75">
      <c r="A706" s="640"/>
      <c r="F706" s="1"/>
      <c r="G706" s="1"/>
      <c r="H706" s="1"/>
      <c r="I706" s="1"/>
      <c r="L706" s="47"/>
      <c r="M706" s="47"/>
      <c r="AM706" s="904"/>
    </row>
    <row r="707" spans="1:39" customFormat="1" ht="12.75">
      <c r="A707" s="640"/>
      <c r="F707" s="1"/>
      <c r="G707" s="1"/>
      <c r="H707" s="1"/>
      <c r="I707" s="1"/>
      <c r="L707" s="47"/>
      <c r="M707" s="47"/>
      <c r="AM707" s="904"/>
    </row>
    <row r="708" spans="1:39" customFormat="1" ht="12.75">
      <c r="A708" s="640"/>
      <c r="F708" s="1"/>
      <c r="G708" s="1"/>
      <c r="H708" s="1"/>
      <c r="I708" s="1"/>
      <c r="L708" s="47"/>
      <c r="M708" s="47"/>
      <c r="AM708" s="904"/>
    </row>
    <row r="709" spans="1:39" customFormat="1" ht="12.75">
      <c r="A709" s="640"/>
      <c r="F709" s="1"/>
      <c r="G709" s="1"/>
      <c r="H709" s="1"/>
      <c r="I709" s="1"/>
      <c r="L709" s="47"/>
      <c r="M709" s="47"/>
      <c r="AM709" s="904"/>
    </row>
    <row r="710" spans="1:39" customFormat="1" ht="12.75">
      <c r="A710" s="640"/>
      <c r="F710" s="1"/>
      <c r="G710" s="1"/>
      <c r="H710" s="1"/>
      <c r="I710" s="1"/>
      <c r="L710" s="47"/>
      <c r="M710" s="47"/>
      <c r="AM710" s="904"/>
    </row>
    <row r="711" spans="1:39" customFormat="1" ht="12.75">
      <c r="A711" s="640"/>
      <c r="F711" s="1"/>
      <c r="G711" s="1"/>
      <c r="H711" s="1"/>
      <c r="I711" s="1"/>
      <c r="L711" s="47"/>
      <c r="M711" s="47"/>
      <c r="AM711" s="904"/>
    </row>
    <row r="712" spans="1:39" customFormat="1" ht="12.75">
      <c r="A712" s="640"/>
      <c r="F712" s="1"/>
      <c r="G712" s="1"/>
      <c r="H712" s="1"/>
      <c r="I712" s="1"/>
      <c r="L712" s="47"/>
      <c r="M712" s="47"/>
      <c r="AM712" s="904"/>
    </row>
    <row r="713" spans="1:39" customFormat="1" ht="12.75">
      <c r="A713" s="640"/>
      <c r="F713" s="1"/>
      <c r="G713" s="1"/>
      <c r="H713" s="1"/>
      <c r="I713" s="1"/>
      <c r="L713" s="47"/>
      <c r="M713" s="47"/>
      <c r="AM713" s="904"/>
    </row>
    <row r="714" spans="1:39" customFormat="1" ht="12.75">
      <c r="A714" s="640"/>
      <c r="F714" s="1"/>
      <c r="G714" s="1"/>
      <c r="H714" s="1"/>
      <c r="I714" s="1"/>
      <c r="L714" s="47"/>
      <c r="M714" s="47"/>
      <c r="AM714" s="904"/>
    </row>
    <row r="715" spans="1:39" customFormat="1" ht="12.75">
      <c r="A715" s="640"/>
      <c r="F715" s="1"/>
      <c r="G715" s="1"/>
      <c r="H715" s="1"/>
      <c r="I715" s="1"/>
      <c r="L715" s="47"/>
      <c r="M715" s="47"/>
      <c r="AM715" s="904"/>
    </row>
    <row r="716" spans="1:39" customFormat="1" ht="12.75">
      <c r="A716" s="640"/>
      <c r="F716" s="1"/>
      <c r="G716" s="1"/>
      <c r="H716" s="1"/>
      <c r="I716" s="1"/>
      <c r="L716" s="47"/>
      <c r="M716" s="47"/>
      <c r="AM716" s="904"/>
    </row>
    <row r="717" spans="1:39" customFormat="1" ht="12.75">
      <c r="A717" s="640"/>
      <c r="F717" s="1"/>
      <c r="G717" s="1"/>
      <c r="H717" s="1"/>
      <c r="I717" s="1"/>
      <c r="L717" s="47"/>
      <c r="M717" s="47"/>
      <c r="AM717" s="904"/>
    </row>
    <row r="718" spans="1:39" customFormat="1" ht="12.75">
      <c r="A718" s="640"/>
      <c r="F718" s="1"/>
      <c r="G718" s="1"/>
      <c r="H718" s="1"/>
      <c r="I718" s="1"/>
      <c r="L718" s="47"/>
      <c r="M718" s="47"/>
      <c r="AM718" s="904"/>
    </row>
    <row r="719" spans="1:39" customFormat="1" ht="12.75">
      <c r="A719" s="640"/>
      <c r="F719" s="1"/>
      <c r="G719" s="1"/>
      <c r="H719" s="1"/>
      <c r="I719" s="1"/>
      <c r="L719" s="47"/>
      <c r="M719" s="47"/>
      <c r="AM719" s="904"/>
    </row>
    <row r="720" spans="1:39" customFormat="1" ht="12.75">
      <c r="A720" s="640"/>
      <c r="F720" s="1"/>
      <c r="G720" s="1"/>
      <c r="H720" s="1"/>
      <c r="I720" s="1"/>
      <c r="L720" s="47"/>
      <c r="M720" s="47"/>
      <c r="AM720" s="904"/>
    </row>
    <row r="721" spans="1:39" customFormat="1" ht="12.75">
      <c r="A721" s="640"/>
      <c r="F721" s="1"/>
      <c r="G721" s="1"/>
      <c r="H721" s="1"/>
      <c r="I721" s="1"/>
      <c r="L721" s="47"/>
      <c r="M721" s="47"/>
      <c r="AM721" s="904"/>
    </row>
    <row r="722" spans="1:39" customFormat="1" ht="12.75">
      <c r="A722" s="640"/>
      <c r="F722" s="1"/>
      <c r="G722" s="1"/>
      <c r="H722" s="1"/>
      <c r="I722" s="1"/>
      <c r="L722" s="47"/>
      <c r="M722" s="47"/>
      <c r="AM722" s="904"/>
    </row>
    <row r="723" spans="1:39" customFormat="1" ht="12.75">
      <c r="A723" s="640"/>
      <c r="F723" s="1"/>
      <c r="G723" s="1"/>
      <c r="H723" s="1"/>
      <c r="I723" s="1"/>
      <c r="L723" s="47"/>
      <c r="M723" s="47"/>
      <c r="AM723" s="904"/>
    </row>
    <row r="724" spans="1:39" customFormat="1" ht="12.75">
      <c r="A724" s="640"/>
      <c r="F724" s="1"/>
      <c r="G724" s="1"/>
      <c r="H724" s="1"/>
      <c r="I724" s="1"/>
      <c r="L724" s="47"/>
      <c r="M724" s="47"/>
      <c r="AM724" s="904"/>
    </row>
    <row r="725" spans="1:39" customFormat="1" ht="12.75">
      <c r="A725" s="640"/>
      <c r="F725" s="1"/>
      <c r="G725" s="1"/>
      <c r="H725" s="1"/>
      <c r="I725" s="1"/>
      <c r="L725" s="47"/>
      <c r="M725" s="47"/>
      <c r="AM725" s="904"/>
    </row>
    <row r="726" spans="1:39" customFormat="1" ht="12.75">
      <c r="A726" s="640"/>
      <c r="F726" s="1"/>
      <c r="G726" s="1"/>
      <c r="H726" s="1"/>
      <c r="I726" s="1"/>
      <c r="L726" s="47"/>
      <c r="M726" s="47"/>
      <c r="AM726" s="904"/>
    </row>
    <row r="727" spans="1:39" customFormat="1" ht="12.75">
      <c r="A727" s="640"/>
      <c r="F727" s="1"/>
      <c r="G727" s="1"/>
      <c r="H727" s="1"/>
      <c r="I727" s="1"/>
      <c r="L727" s="47"/>
      <c r="M727" s="47"/>
      <c r="AM727" s="904"/>
    </row>
    <row r="728" spans="1:39" customFormat="1" ht="12.75">
      <c r="A728" s="640"/>
      <c r="F728" s="1"/>
      <c r="G728" s="1"/>
      <c r="H728" s="1"/>
      <c r="I728" s="1"/>
      <c r="L728" s="47"/>
      <c r="M728" s="47"/>
      <c r="AM728" s="904"/>
    </row>
    <row r="729" spans="1:39" customFormat="1" ht="12.75">
      <c r="A729" s="640"/>
      <c r="F729" s="1"/>
      <c r="G729" s="1"/>
      <c r="H729" s="1"/>
      <c r="I729" s="1"/>
      <c r="L729" s="47"/>
      <c r="M729" s="47"/>
      <c r="AM729" s="904"/>
    </row>
    <row r="730" spans="1:39" customFormat="1" ht="12.75">
      <c r="A730" s="640"/>
      <c r="F730" s="1"/>
      <c r="G730" s="1"/>
      <c r="H730" s="1"/>
      <c r="I730" s="1"/>
      <c r="L730" s="47"/>
      <c r="M730" s="47"/>
      <c r="AM730" s="904"/>
    </row>
    <row r="731" spans="1:39" customFormat="1" ht="12.75">
      <c r="A731" s="640"/>
      <c r="F731" s="1"/>
      <c r="G731" s="1"/>
      <c r="H731" s="1"/>
      <c r="I731" s="1"/>
      <c r="L731" s="47"/>
      <c r="M731" s="47"/>
      <c r="AM731" s="904"/>
    </row>
    <row r="732" spans="1:39" customFormat="1" ht="12.75">
      <c r="A732" s="640"/>
      <c r="F732" s="1"/>
      <c r="G732" s="1"/>
      <c r="H732" s="1"/>
      <c r="I732" s="1"/>
      <c r="L732" s="47"/>
      <c r="M732" s="47"/>
      <c r="AM732" s="904"/>
    </row>
    <row r="733" spans="1:39" customFormat="1" ht="12.75">
      <c r="A733" s="640"/>
      <c r="F733" s="1"/>
      <c r="G733" s="1"/>
      <c r="H733" s="1"/>
      <c r="I733" s="1"/>
      <c r="L733" s="47"/>
      <c r="M733" s="47"/>
      <c r="AM733" s="904"/>
    </row>
    <row r="734" spans="1:39" customFormat="1" ht="12.75">
      <c r="A734" s="640"/>
      <c r="F734" s="1"/>
      <c r="G734" s="1"/>
      <c r="H734" s="1"/>
      <c r="I734" s="1"/>
      <c r="L734" s="47"/>
      <c r="M734" s="47"/>
      <c r="AM734" s="904"/>
    </row>
    <row r="735" spans="1:39" customFormat="1" ht="12.75">
      <c r="A735" s="640"/>
      <c r="F735" s="1"/>
      <c r="G735" s="1"/>
      <c r="H735" s="1"/>
      <c r="I735" s="1"/>
      <c r="L735" s="47"/>
      <c r="M735" s="47"/>
      <c r="AM735" s="904"/>
    </row>
    <row r="736" spans="1:39" customFormat="1" ht="12.75">
      <c r="A736" s="640"/>
      <c r="F736" s="1"/>
      <c r="G736" s="1"/>
      <c r="H736" s="1"/>
      <c r="I736" s="1"/>
      <c r="L736" s="47"/>
      <c r="M736" s="47"/>
      <c r="AM736" s="904"/>
    </row>
    <row r="737" spans="1:39" customFormat="1" ht="12.75">
      <c r="A737" s="640"/>
      <c r="F737" s="1"/>
      <c r="G737" s="1"/>
      <c r="H737" s="1"/>
      <c r="I737" s="1"/>
      <c r="L737" s="47"/>
      <c r="M737" s="47"/>
      <c r="AM737" s="904"/>
    </row>
    <row r="738" spans="1:39" customFormat="1" ht="12.75">
      <c r="A738" s="640"/>
      <c r="F738" s="1"/>
      <c r="G738" s="1"/>
      <c r="H738" s="1"/>
      <c r="I738" s="1"/>
      <c r="L738" s="47"/>
      <c r="M738" s="47"/>
      <c r="AM738" s="904"/>
    </row>
    <row r="739" spans="1:39" customFormat="1" ht="12.75">
      <c r="A739" s="640"/>
      <c r="F739" s="1"/>
      <c r="G739" s="1"/>
      <c r="H739" s="1"/>
      <c r="I739" s="1"/>
      <c r="L739" s="47"/>
      <c r="M739" s="47"/>
      <c r="AM739" s="904"/>
    </row>
    <row r="740" spans="1:39" customFormat="1" ht="12.75">
      <c r="A740" s="640"/>
      <c r="F740" s="1"/>
      <c r="G740" s="1"/>
      <c r="H740" s="1"/>
      <c r="I740" s="1"/>
      <c r="L740" s="47"/>
      <c r="M740" s="47"/>
      <c r="AM740" s="904"/>
    </row>
    <row r="741" spans="1:39" customFormat="1" ht="12.75">
      <c r="A741" s="640"/>
      <c r="F741" s="1"/>
      <c r="G741" s="1"/>
      <c r="H741" s="1"/>
      <c r="I741" s="1"/>
      <c r="L741" s="47"/>
      <c r="M741" s="47"/>
      <c r="AM741" s="904"/>
    </row>
    <row r="742" spans="1:39" customFormat="1" ht="12.75">
      <c r="A742" s="640"/>
      <c r="F742" s="1"/>
      <c r="G742" s="1"/>
      <c r="H742" s="1"/>
      <c r="I742" s="1"/>
      <c r="L742" s="47"/>
      <c r="M742" s="47"/>
      <c r="AM742" s="904"/>
    </row>
    <row r="743" spans="1:39" customFormat="1" ht="12.75">
      <c r="A743" s="640"/>
      <c r="F743" s="1"/>
      <c r="G743" s="1"/>
      <c r="H743" s="1"/>
      <c r="I743" s="1"/>
      <c r="L743" s="47"/>
      <c r="M743" s="47"/>
      <c r="AM743" s="904"/>
    </row>
    <row r="744" spans="1:39" customFormat="1" ht="12.75">
      <c r="A744" s="640"/>
      <c r="F744" s="1"/>
      <c r="G744" s="1"/>
      <c r="H744" s="1"/>
      <c r="I744" s="1"/>
      <c r="L744" s="47"/>
      <c r="M744" s="47"/>
      <c r="AM744" s="904"/>
    </row>
    <row r="745" spans="1:39" customFormat="1" ht="12.75">
      <c r="A745" s="640"/>
      <c r="F745" s="1"/>
      <c r="G745" s="1"/>
      <c r="H745" s="1"/>
      <c r="I745" s="1"/>
      <c r="L745" s="47"/>
      <c r="M745" s="47"/>
      <c r="AM745" s="904"/>
    </row>
    <row r="746" spans="1:39" customFormat="1" ht="12.75">
      <c r="A746" s="640"/>
      <c r="F746" s="1"/>
      <c r="G746" s="1"/>
      <c r="H746" s="1"/>
      <c r="I746" s="1"/>
      <c r="L746" s="47"/>
      <c r="M746" s="47"/>
      <c r="AM746" s="904"/>
    </row>
    <row r="747" spans="1:39" customFormat="1" ht="12.75">
      <c r="A747" s="640"/>
      <c r="F747" s="1"/>
      <c r="G747" s="1"/>
      <c r="H747" s="1"/>
      <c r="I747" s="1"/>
      <c r="L747" s="47"/>
      <c r="M747" s="47"/>
      <c r="AM747" s="904"/>
    </row>
    <row r="748" spans="1:39" customFormat="1" ht="12.75">
      <c r="A748" s="640"/>
      <c r="F748" s="1"/>
      <c r="G748" s="1"/>
      <c r="H748" s="1"/>
      <c r="I748" s="1"/>
      <c r="L748" s="47"/>
      <c r="M748" s="47"/>
      <c r="AM748" s="904"/>
    </row>
    <row r="749" spans="1:39" customFormat="1" ht="12.75">
      <c r="A749" s="640"/>
      <c r="F749" s="1"/>
      <c r="G749" s="1"/>
      <c r="H749" s="1"/>
      <c r="I749" s="1"/>
      <c r="L749" s="47"/>
      <c r="M749" s="47"/>
      <c r="AM749" s="904"/>
    </row>
    <row r="750" spans="1:39" customFormat="1" ht="12.75">
      <c r="A750" s="640"/>
      <c r="F750" s="1"/>
      <c r="G750" s="1"/>
      <c r="H750" s="1"/>
      <c r="I750" s="1"/>
      <c r="L750" s="47"/>
      <c r="M750" s="47"/>
      <c r="AM750" s="904"/>
    </row>
    <row r="751" spans="1:39" customFormat="1" ht="12.75">
      <c r="A751" s="640"/>
      <c r="F751" s="1"/>
      <c r="G751" s="1"/>
      <c r="H751" s="1"/>
      <c r="I751" s="1"/>
      <c r="L751" s="47"/>
      <c r="M751" s="47"/>
      <c r="AM751" s="904"/>
    </row>
    <row r="752" spans="1:39" customFormat="1" ht="12.75">
      <c r="A752" s="640"/>
      <c r="F752" s="1"/>
      <c r="G752" s="1"/>
      <c r="H752" s="1"/>
      <c r="I752" s="1"/>
      <c r="L752" s="47"/>
      <c r="M752" s="47"/>
      <c r="AM752" s="904"/>
    </row>
    <row r="753" spans="1:39" customFormat="1" ht="12.75">
      <c r="A753" s="640"/>
      <c r="F753" s="1"/>
      <c r="G753" s="1"/>
      <c r="H753" s="1"/>
      <c r="I753" s="1"/>
      <c r="L753" s="47"/>
      <c r="M753" s="47"/>
      <c r="AM753" s="904"/>
    </row>
    <row r="754" spans="1:39" customFormat="1" ht="12.75">
      <c r="A754" s="640"/>
      <c r="F754" s="1"/>
      <c r="G754" s="1"/>
      <c r="H754" s="1"/>
      <c r="I754" s="1"/>
      <c r="L754" s="47"/>
      <c r="M754" s="47"/>
      <c r="AM754" s="904"/>
    </row>
    <row r="755" spans="1:39" customFormat="1" ht="12.75">
      <c r="A755" s="640"/>
      <c r="F755" s="1"/>
      <c r="G755" s="1"/>
      <c r="H755" s="1"/>
      <c r="I755" s="1"/>
      <c r="L755" s="47"/>
      <c r="M755" s="47"/>
      <c r="AM755" s="904"/>
    </row>
    <row r="756" spans="1:39" customFormat="1" ht="12.75">
      <c r="A756" s="640"/>
      <c r="F756" s="1"/>
      <c r="G756" s="1"/>
      <c r="H756" s="1"/>
      <c r="I756" s="1"/>
      <c r="L756" s="47"/>
      <c r="M756" s="47"/>
      <c r="AM756" s="904"/>
    </row>
    <row r="757" spans="1:39" customFormat="1" ht="12.75">
      <c r="A757" s="640"/>
      <c r="F757" s="1"/>
      <c r="G757" s="1"/>
      <c r="H757" s="1"/>
      <c r="I757" s="1"/>
      <c r="L757" s="47"/>
      <c r="M757" s="47"/>
      <c r="AM757" s="904"/>
    </row>
    <row r="758" spans="1:39" customFormat="1" ht="12.75">
      <c r="A758" s="640"/>
      <c r="F758" s="1"/>
      <c r="G758" s="1"/>
      <c r="H758" s="1"/>
      <c r="I758" s="1"/>
      <c r="L758" s="47"/>
      <c r="M758" s="47"/>
      <c r="AM758" s="904"/>
    </row>
    <row r="759" spans="1:39" customFormat="1" ht="12.75">
      <c r="A759" s="640"/>
      <c r="F759" s="1"/>
      <c r="G759" s="1"/>
      <c r="H759" s="1"/>
      <c r="I759" s="1"/>
      <c r="L759" s="47"/>
      <c r="M759" s="47"/>
      <c r="AM759" s="904"/>
    </row>
    <row r="760" spans="1:39" customFormat="1" ht="12.75">
      <c r="A760" s="640"/>
      <c r="F760" s="1"/>
      <c r="G760" s="1"/>
      <c r="H760" s="1"/>
      <c r="I760" s="1"/>
      <c r="L760" s="47"/>
      <c r="M760" s="47"/>
      <c r="AM760" s="904"/>
    </row>
    <row r="761" spans="1:39" customFormat="1" ht="12.75">
      <c r="A761" s="640"/>
      <c r="F761" s="1"/>
      <c r="G761" s="1"/>
      <c r="H761" s="1"/>
      <c r="I761" s="1"/>
      <c r="L761" s="47"/>
      <c r="M761" s="47"/>
      <c r="AM761" s="904"/>
    </row>
    <row r="762" spans="1:39" customFormat="1" ht="12.75">
      <c r="A762" s="640"/>
      <c r="F762" s="1"/>
      <c r="G762" s="1"/>
      <c r="H762" s="1"/>
      <c r="I762" s="1"/>
      <c r="L762" s="47"/>
      <c r="M762" s="47"/>
      <c r="AM762" s="904"/>
    </row>
    <row r="763" spans="1:39" customFormat="1" ht="12.75">
      <c r="A763" s="640"/>
      <c r="F763" s="1"/>
      <c r="G763" s="1"/>
      <c r="H763" s="1"/>
      <c r="I763" s="1"/>
      <c r="L763" s="47"/>
      <c r="M763" s="47"/>
      <c r="AM763" s="904"/>
    </row>
    <row r="764" spans="1:39" customFormat="1" ht="12.75">
      <c r="A764" s="640"/>
      <c r="F764" s="1"/>
      <c r="G764" s="1"/>
      <c r="H764" s="1"/>
      <c r="I764" s="1"/>
      <c r="L764" s="47"/>
      <c r="M764" s="47"/>
      <c r="AM764" s="904"/>
    </row>
    <row r="765" spans="1:39" customFormat="1" ht="12.75">
      <c r="A765" s="640"/>
      <c r="F765" s="1"/>
      <c r="G765" s="1"/>
      <c r="H765" s="1"/>
      <c r="I765" s="1"/>
      <c r="L765" s="47"/>
      <c r="M765" s="47"/>
      <c r="AM765" s="904"/>
    </row>
    <row r="766" spans="1:39" customFormat="1" ht="12.75">
      <c r="A766" s="640"/>
      <c r="F766" s="1"/>
      <c r="G766" s="1"/>
      <c r="H766" s="1"/>
      <c r="I766" s="1"/>
      <c r="L766" s="47"/>
      <c r="M766" s="47"/>
      <c r="AM766" s="904"/>
    </row>
    <row r="767" spans="1:39" customFormat="1" ht="12.75">
      <c r="A767" s="640"/>
      <c r="F767" s="1"/>
      <c r="G767" s="1"/>
      <c r="H767" s="1"/>
      <c r="I767" s="1"/>
      <c r="L767" s="47"/>
      <c r="M767" s="47"/>
      <c r="AM767" s="904"/>
    </row>
    <row r="768" spans="1:39" customFormat="1" ht="12.75">
      <c r="A768" s="640"/>
      <c r="F768" s="1"/>
      <c r="G768" s="1"/>
      <c r="H768" s="1"/>
      <c r="I768" s="1"/>
      <c r="L768" s="47"/>
      <c r="M768" s="47"/>
      <c r="AM768" s="904"/>
    </row>
    <row r="769" spans="1:39" customFormat="1" ht="12.75">
      <c r="A769" s="640"/>
      <c r="F769" s="1"/>
      <c r="G769" s="1"/>
      <c r="H769" s="1"/>
      <c r="I769" s="1"/>
      <c r="L769" s="47"/>
      <c r="M769" s="47"/>
      <c r="AM769" s="904"/>
    </row>
    <row r="770" spans="1:39" customFormat="1" ht="12.75">
      <c r="A770" s="640"/>
      <c r="F770" s="1"/>
      <c r="G770" s="1"/>
      <c r="H770" s="1"/>
      <c r="I770" s="1"/>
      <c r="L770" s="47"/>
      <c r="M770" s="47"/>
      <c r="AM770" s="904"/>
    </row>
    <row r="771" spans="1:39" customFormat="1" ht="12.75">
      <c r="A771" s="640"/>
      <c r="F771" s="1"/>
      <c r="G771" s="1"/>
      <c r="H771" s="1"/>
      <c r="I771" s="1"/>
      <c r="L771" s="47"/>
      <c r="M771" s="47"/>
      <c r="AM771" s="904"/>
    </row>
    <row r="772" spans="1:39" customFormat="1" ht="12.75">
      <c r="A772" s="640"/>
      <c r="F772" s="1"/>
      <c r="G772" s="1"/>
      <c r="H772" s="1"/>
      <c r="I772" s="1"/>
      <c r="L772" s="47"/>
      <c r="M772" s="47"/>
      <c r="AM772" s="904"/>
    </row>
    <row r="773" spans="1:39" customFormat="1" ht="12.75">
      <c r="A773" s="640"/>
      <c r="F773" s="1"/>
      <c r="G773" s="1"/>
      <c r="H773" s="1"/>
      <c r="I773" s="1"/>
      <c r="L773" s="47"/>
      <c r="M773" s="47"/>
      <c r="AM773" s="904"/>
    </row>
    <row r="774" spans="1:39" customFormat="1" ht="12.75">
      <c r="A774" s="640"/>
      <c r="F774" s="1"/>
      <c r="G774" s="1"/>
      <c r="H774" s="1"/>
      <c r="I774" s="1"/>
      <c r="L774" s="47"/>
      <c r="M774" s="47"/>
      <c r="AM774" s="904"/>
    </row>
    <row r="775" spans="1:39" customFormat="1" ht="12.75">
      <c r="A775" s="640"/>
      <c r="F775" s="1"/>
      <c r="G775" s="1"/>
      <c r="H775" s="1"/>
      <c r="I775" s="1"/>
      <c r="L775" s="47"/>
      <c r="M775" s="47"/>
      <c r="AM775" s="904"/>
    </row>
    <row r="776" spans="1:39" customFormat="1" ht="12.75">
      <c r="A776" s="640"/>
      <c r="F776" s="1"/>
      <c r="G776" s="1"/>
      <c r="H776" s="1"/>
      <c r="I776" s="1"/>
      <c r="L776" s="47"/>
      <c r="M776" s="47"/>
      <c r="AM776" s="904"/>
    </row>
    <row r="777" spans="1:39" customFormat="1" ht="12.75">
      <c r="A777" s="640"/>
      <c r="F777" s="1"/>
      <c r="G777" s="1"/>
      <c r="H777" s="1"/>
      <c r="I777" s="1"/>
      <c r="L777" s="47"/>
      <c r="M777" s="47"/>
      <c r="AM777" s="904"/>
    </row>
    <row r="778" spans="1:39" customFormat="1" ht="12.75">
      <c r="A778" s="640"/>
      <c r="F778" s="1"/>
      <c r="G778" s="1"/>
      <c r="H778" s="1"/>
      <c r="I778" s="1"/>
      <c r="L778" s="47"/>
      <c r="M778" s="47"/>
      <c r="AM778" s="904"/>
    </row>
    <row r="779" spans="1:39" customFormat="1" ht="12.75">
      <c r="A779" s="640"/>
      <c r="F779" s="1"/>
      <c r="G779" s="1"/>
      <c r="H779" s="1"/>
      <c r="I779" s="1"/>
      <c r="L779" s="47"/>
      <c r="M779" s="47"/>
      <c r="AM779" s="904"/>
    </row>
    <row r="780" spans="1:39" customFormat="1" ht="12.75">
      <c r="A780" s="640"/>
      <c r="F780" s="1"/>
      <c r="G780" s="1"/>
      <c r="H780" s="1"/>
      <c r="I780" s="1"/>
      <c r="L780" s="47"/>
      <c r="M780" s="47"/>
      <c r="AM780" s="904"/>
    </row>
    <row r="781" spans="1:39" customFormat="1" ht="12.75">
      <c r="A781" s="640"/>
      <c r="F781" s="1"/>
      <c r="G781" s="1"/>
      <c r="H781" s="1"/>
      <c r="I781" s="1"/>
      <c r="L781" s="47"/>
      <c r="M781" s="47"/>
      <c r="AM781" s="904"/>
    </row>
    <row r="782" spans="1:39" customFormat="1" ht="12.75">
      <c r="A782" s="640"/>
      <c r="F782" s="1"/>
      <c r="G782" s="1"/>
      <c r="H782" s="1"/>
      <c r="I782" s="1"/>
      <c r="L782" s="47"/>
      <c r="M782" s="47"/>
      <c r="AM782" s="904"/>
    </row>
    <row r="783" spans="1:39" customFormat="1" ht="12.75">
      <c r="A783" s="640"/>
      <c r="F783" s="1"/>
      <c r="G783" s="1"/>
      <c r="H783" s="1"/>
      <c r="I783" s="1"/>
      <c r="L783" s="47"/>
      <c r="M783" s="47"/>
      <c r="AM783" s="904"/>
    </row>
    <row r="784" spans="1:39" customFormat="1" ht="12.75">
      <c r="A784" s="640"/>
      <c r="F784" s="1"/>
      <c r="G784" s="1"/>
      <c r="H784" s="1"/>
      <c r="I784" s="1"/>
      <c r="L784" s="47"/>
      <c r="M784" s="47"/>
      <c r="AM784" s="904"/>
    </row>
    <row r="785" spans="1:39" customFormat="1" ht="12.75">
      <c r="A785" s="640"/>
      <c r="F785" s="1"/>
      <c r="G785" s="1"/>
      <c r="H785" s="1"/>
      <c r="I785" s="1"/>
      <c r="L785" s="47"/>
      <c r="M785" s="47"/>
      <c r="AM785" s="904"/>
    </row>
    <row r="786" spans="1:39" customFormat="1" ht="12.75">
      <c r="A786" s="640"/>
      <c r="F786" s="1"/>
      <c r="G786" s="1"/>
      <c r="H786" s="1"/>
      <c r="I786" s="1"/>
      <c r="L786" s="47"/>
      <c r="M786" s="47"/>
      <c r="AM786" s="904"/>
    </row>
    <row r="787" spans="1:39" customFormat="1" ht="12.75">
      <c r="A787" s="640"/>
      <c r="F787" s="1"/>
      <c r="G787" s="1"/>
      <c r="H787" s="1"/>
      <c r="I787" s="1"/>
      <c r="L787" s="47"/>
      <c r="M787" s="47"/>
      <c r="AM787" s="904"/>
    </row>
    <row r="788" spans="1:39" customFormat="1" ht="12.75">
      <c r="A788" s="640"/>
      <c r="F788" s="1"/>
      <c r="G788" s="1"/>
      <c r="H788" s="1"/>
      <c r="I788" s="1"/>
      <c r="L788" s="47"/>
      <c r="M788" s="47"/>
      <c r="AM788" s="904"/>
    </row>
    <row r="789" spans="1:39" customFormat="1" ht="12.75">
      <c r="A789" s="640"/>
      <c r="F789" s="1"/>
      <c r="G789" s="1"/>
      <c r="H789" s="1"/>
      <c r="I789" s="1"/>
      <c r="L789" s="47"/>
      <c r="M789" s="47"/>
      <c r="AM789" s="904"/>
    </row>
    <row r="790" spans="1:39" customFormat="1" ht="12.75">
      <c r="A790" s="640"/>
      <c r="F790" s="1"/>
      <c r="G790" s="1"/>
      <c r="H790" s="1"/>
      <c r="I790" s="1"/>
      <c r="L790" s="47"/>
      <c r="M790" s="47"/>
      <c r="AM790" s="904"/>
    </row>
    <row r="791" spans="1:39" customFormat="1" ht="12.75">
      <c r="A791" s="640"/>
      <c r="F791" s="1"/>
      <c r="G791" s="1"/>
      <c r="H791" s="1"/>
      <c r="I791" s="1"/>
      <c r="L791" s="47"/>
      <c r="M791" s="47"/>
      <c r="AM791" s="904"/>
    </row>
    <row r="792" spans="1:39" customFormat="1" ht="12.75">
      <c r="A792" s="640"/>
      <c r="F792" s="1"/>
      <c r="G792" s="1"/>
      <c r="H792" s="1"/>
      <c r="I792" s="1"/>
      <c r="L792" s="47"/>
      <c r="M792" s="47"/>
      <c r="AM792" s="904"/>
    </row>
    <row r="793" spans="1:39" customFormat="1" ht="12.75">
      <c r="A793" s="640"/>
      <c r="F793" s="1"/>
      <c r="G793" s="1"/>
      <c r="H793" s="1"/>
      <c r="I793" s="1"/>
      <c r="L793" s="47"/>
      <c r="M793" s="47"/>
      <c r="AM793" s="904"/>
    </row>
    <row r="794" spans="1:39" customFormat="1" ht="12.75">
      <c r="A794" s="640"/>
      <c r="F794" s="1"/>
      <c r="G794" s="1"/>
      <c r="H794" s="1"/>
      <c r="I794" s="1"/>
      <c r="L794" s="47"/>
      <c r="M794" s="47"/>
      <c r="AM794" s="904"/>
    </row>
    <row r="795" spans="1:39" customFormat="1" ht="12.75">
      <c r="A795" s="640"/>
      <c r="F795" s="1"/>
      <c r="G795" s="1"/>
      <c r="H795" s="1"/>
      <c r="I795" s="1"/>
      <c r="L795" s="47"/>
      <c r="M795" s="47"/>
      <c r="AM795" s="904"/>
    </row>
    <row r="796" spans="1:39" customFormat="1" ht="12.75">
      <c r="A796" s="640"/>
      <c r="F796" s="1"/>
      <c r="G796" s="1"/>
      <c r="H796" s="1"/>
      <c r="I796" s="1"/>
      <c r="L796" s="47"/>
      <c r="M796" s="47"/>
      <c r="AM796" s="904"/>
    </row>
    <row r="797" spans="1:39" customFormat="1" ht="12.75">
      <c r="A797" s="640"/>
      <c r="F797" s="1"/>
      <c r="G797" s="1"/>
      <c r="H797" s="1"/>
      <c r="I797" s="1"/>
      <c r="L797" s="47"/>
      <c r="M797" s="47"/>
      <c r="AM797" s="904"/>
    </row>
    <row r="798" spans="1:39" customFormat="1" ht="12.75">
      <c r="A798" s="640"/>
      <c r="F798" s="1"/>
      <c r="G798" s="1"/>
      <c r="H798" s="1"/>
      <c r="I798" s="1"/>
      <c r="L798" s="47"/>
      <c r="M798" s="47"/>
      <c r="AM798" s="904"/>
    </row>
    <row r="799" spans="1:39" customFormat="1" ht="12.75">
      <c r="A799" s="640"/>
      <c r="F799" s="1"/>
      <c r="G799" s="1"/>
      <c r="H799" s="1"/>
      <c r="I799" s="1"/>
      <c r="L799" s="47"/>
      <c r="M799" s="47"/>
      <c r="AM799" s="904"/>
    </row>
    <row r="800" spans="1:39" customFormat="1" ht="12.75">
      <c r="A800" s="640"/>
      <c r="F800" s="1"/>
      <c r="G800" s="1"/>
      <c r="H800" s="1"/>
      <c r="I800" s="1"/>
      <c r="L800" s="47"/>
      <c r="M800" s="47"/>
      <c r="AM800" s="904"/>
    </row>
    <row r="801" spans="1:39" customFormat="1" ht="12.75">
      <c r="A801" s="640"/>
      <c r="F801" s="1"/>
      <c r="G801" s="1"/>
      <c r="H801" s="1"/>
      <c r="I801" s="1"/>
      <c r="L801" s="47"/>
      <c r="M801" s="47"/>
      <c r="AM801" s="904"/>
    </row>
    <row r="802" spans="1:39" customFormat="1" ht="12.75">
      <c r="A802" s="640"/>
      <c r="F802" s="1"/>
      <c r="G802" s="1"/>
      <c r="H802" s="1"/>
      <c r="I802" s="1"/>
      <c r="L802" s="47"/>
      <c r="M802" s="47"/>
      <c r="AM802" s="904"/>
    </row>
    <row r="803" spans="1:39" customFormat="1" ht="12.75">
      <c r="A803" s="640"/>
      <c r="F803" s="1"/>
      <c r="G803" s="1"/>
      <c r="H803" s="1"/>
      <c r="I803" s="1"/>
      <c r="L803" s="47"/>
      <c r="M803" s="47"/>
      <c r="AM803" s="904"/>
    </row>
    <row r="804" spans="1:39" customFormat="1" ht="12.75">
      <c r="A804" s="640"/>
      <c r="F804" s="1"/>
      <c r="G804" s="1"/>
      <c r="H804" s="1"/>
      <c r="I804" s="1"/>
      <c r="L804" s="47"/>
      <c r="M804" s="47"/>
      <c r="AM804" s="904"/>
    </row>
    <row r="805" spans="1:39" customFormat="1" ht="12.75">
      <c r="A805" s="640"/>
      <c r="F805" s="1"/>
      <c r="G805" s="1"/>
      <c r="H805" s="1"/>
      <c r="I805" s="1"/>
      <c r="L805" s="47"/>
      <c r="M805" s="47"/>
      <c r="AM805" s="904"/>
    </row>
    <row r="806" spans="1:39" customFormat="1" ht="12.75">
      <c r="A806" s="640"/>
      <c r="F806" s="1"/>
      <c r="G806" s="1"/>
      <c r="H806" s="1"/>
      <c r="I806" s="1"/>
      <c r="L806" s="47"/>
      <c r="M806" s="47"/>
      <c r="AM806" s="904"/>
    </row>
    <row r="807" spans="1:39" customFormat="1" ht="12.75">
      <c r="A807" s="640"/>
      <c r="F807" s="1"/>
      <c r="G807" s="1"/>
      <c r="H807" s="1"/>
      <c r="I807" s="1"/>
      <c r="L807" s="47"/>
      <c r="M807" s="47"/>
      <c r="AM807" s="904"/>
    </row>
    <row r="808" spans="1:39" customFormat="1" ht="12.75">
      <c r="A808" s="640"/>
      <c r="F808" s="1"/>
      <c r="G808" s="1"/>
      <c r="H808" s="1"/>
      <c r="I808" s="1"/>
      <c r="L808" s="47"/>
      <c r="M808" s="47"/>
      <c r="AM808" s="904"/>
    </row>
    <row r="809" spans="1:39" customFormat="1" ht="12.75">
      <c r="A809" s="640"/>
      <c r="F809" s="1"/>
      <c r="G809" s="1"/>
      <c r="H809" s="1"/>
      <c r="I809" s="1"/>
      <c r="L809" s="47"/>
      <c r="M809" s="47"/>
      <c r="AM809" s="904"/>
    </row>
    <row r="810" spans="1:39" customFormat="1" ht="12.75">
      <c r="A810" s="640"/>
      <c r="F810" s="1"/>
      <c r="G810" s="1"/>
      <c r="H810" s="1"/>
      <c r="I810" s="1"/>
      <c r="L810" s="47"/>
      <c r="M810" s="47"/>
      <c r="AM810" s="904"/>
    </row>
    <row r="811" spans="1:39" customFormat="1" ht="12.75">
      <c r="A811" s="640"/>
      <c r="F811" s="1"/>
      <c r="G811" s="1"/>
      <c r="H811" s="1"/>
      <c r="I811" s="1"/>
      <c r="L811" s="47"/>
      <c r="M811" s="47"/>
      <c r="AM811" s="904"/>
    </row>
    <row r="812" spans="1:39" customFormat="1" ht="12.75">
      <c r="A812" s="640"/>
      <c r="F812" s="1"/>
      <c r="G812" s="1"/>
      <c r="H812" s="1"/>
      <c r="I812" s="1"/>
      <c r="L812" s="47"/>
      <c r="M812" s="47"/>
      <c r="AM812" s="904"/>
    </row>
    <row r="813" spans="1:39" customFormat="1" ht="12.75">
      <c r="A813" s="640"/>
      <c r="F813" s="1"/>
      <c r="G813" s="1"/>
      <c r="H813" s="1"/>
      <c r="I813" s="1"/>
      <c r="L813" s="47"/>
      <c r="M813" s="47"/>
      <c r="AM813" s="904"/>
    </row>
    <row r="814" spans="1:39" customFormat="1" ht="12.75">
      <c r="A814" s="640"/>
      <c r="F814" s="1"/>
      <c r="G814" s="1"/>
      <c r="H814" s="1"/>
      <c r="I814" s="1"/>
      <c r="L814" s="47"/>
      <c r="M814" s="47"/>
      <c r="AM814" s="904"/>
    </row>
    <row r="815" spans="1:39" customFormat="1" ht="12.75">
      <c r="A815" s="640"/>
      <c r="F815" s="1"/>
      <c r="G815" s="1"/>
      <c r="H815" s="1"/>
      <c r="I815" s="1"/>
      <c r="L815" s="47"/>
      <c r="M815" s="47"/>
      <c r="AM815" s="904"/>
    </row>
    <row r="816" spans="1:39" customFormat="1" ht="12.75">
      <c r="A816" s="640"/>
      <c r="F816" s="1"/>
      <c r="G816" s="1"/>
      <c r="H816" s="1"/>
      <c r="I816" s="1"/>
      <c r="L816" s="47"/>
      <c r="M816" s="47"/>
      <c r="AM816" s="904"/>
    </row>
    <row r="817" spans="1:39" customFormat="1" ht="12.75">
      <c r="A817" s="640"/>
      <c r="F817" s="1"/>
      <c r="G817" s="1"/>
      <c r="H817" s="1"/>
      <c r="I817" s="1"/>
      <c r="L817" s="47"/>
      <c r="M817" s="47"/>
      <c r="AM817" s="904"/>
    </row>
    <row r="818" spans="1:39" customFormat="1" ht="12.75">
      <c r="A818" s="640"/>
      <c r="F818" s="1"/>
      <c r="G818" s="1"/>
      <c r="H818" s="1"/>
      <c r="I818" s="1"/>
      <c r="L818" s="47"/>
      <c r="M818" s="47"/>
      <c r="AM818" s="904"/>
    </row>
    <row r="819" spans="1:39" customFormat="1" ht="12.75">
      <c r="A819" s="640"/>
      <c r="F819" s="1"/>
      <c r="G819" s="1"/>
      <c r="H819" s="1"/>
      <c r="I819" s="1"/>
      <c r="L819" s="47"/>
      <c r="M819" s="47"/>
      <c r="AM819" s="904"/>
    </row>
    <row r="820" spans="1:39" customFormat="1" ht="12.75">
      <c r="A820" s="640"/>
      <c r="F820" s="1"/>
      <c r="G820" s="1"/>
      <c r="H820" s="1"/>
      <c r="I820" s="1"/>
      <c r="L820" s="47"/>
      <c r="M820" s="47"/>
      <c r="AM820" s="904"/>
    </row>
    <row r="821" spans="1:39" customFormat="1" ht="12.75">
      <c r="A821" s="640"/>
      <c r="F821" s="1"/>
      <c r="G821" s="1"/>
      <c r="H821" s="1"/>
      <c r="I821" s="1"/>
      <c r="L821" s="47"/>
      <c r="M821" s="47"/>
      <c r="AM821" s="904"/>
    </row>
    <row r="822" spans="1:39" customFormat="1" ht="12.75">
      <c r="A822" s="640"/>
      <c r="F822" s="1"/>
      <c r="G822" s="1"/>
      <c r="H822" s="1"/>
      <c r="I822" s="1"/>
      <c r="L822" s="47"/>
      <c r="M822" s="47"/>
      <c r="AM822" s="904"/>
    </row>
    <row r="823" spans="1:39" customFormat="1" ht="12.75">
      <c r="A823" s="640"/>
      <c r="F823" s="1"/>
      <c r="G823" s="1"/>
      <c r="H823" s="1"/>
      <c r="I823" s="1"/>
      <c r="L823" s="47"/>
      <c r="M823" s="47"/>
      <c r="AM823" s="904"/>
    </row>
    <row r="824" spans="1:39" customFormat="1" ht="12.75">
      <c r="A824" s="640"/>
      <c r="F824" s="1"/>
      <c r="G824" s="1"/>
      <c r="H824" s="1"/>
      <c r="I824" s="1"/>
      <c r="L824" s="47"/>
      <c r="M824" s="47"/>
      <c r="AM824" s="904"/>
    </row>
    <row r="825" spans="1:39" customFormat="1" ht="12.75">
      <c r="A825" s="640"/>
      <c r="F825" s="1"/>
      <c r="G825" s="1"/>
      <c r="H825" s="1"/>
      <c r="I825" s="1"/>
      <c r="L825" s="47"/>
      <c r="M825" s="47"/>
      <c r="AM825" s="904"/>
    </row>
    <row r="826" spans="1:39" customFormat="1" ht="12.75">
      <c r="A826" s="640"/>
      <c r="F826" s="1"/>
      <c r="G826" s="1"/>
      <c r="H826" s="1"/>
      <c r="I826" s="1"/>
      <c r="L826" s="47"/>
      <c r="M826" s="47"/>
      <c r="AM826" s="904"/>
    </row>
    <row r="827" spans="1:39" customFormat="1" ht="12.75">
      <c r="A827" s="640"/>
      <c r="F827" s="1"/>
      <c r="G827" s="1"/>
      <c r="H827" s="1"/>
      <c r="I827" s="1"/>
      <c r="L827" s="47"/>
      <c r="M827" s="47"/>
      <c r="AM827" s="904"/>
    </row>
    <row r="828" spans="1:39" customFormat="1" ht="12.75">
      <c r="A828" s="640"/>
      <c r="F828" s="1"/>
      <c r="G828" s="1"/>
      <c r="H828" s="1"/>
      <c r="I828" s="1"/>
      <c r="L828" s="47"/>
      <c r="M828" s="47"/>
      <c r="AM828" s="904"/>
    </row>
    <row r="829" spans="1:39" customFormat="1" ht="12.75">
      <c r="A829" s="640"/>
      <c r="F829" s="1"/>
      <c r="G829" s="1"/>
      <c r="H829" s="1"/>
      <c r="I829" s="1"/>
      <c r="L829" s="47"/>
      <c r="M829" s="47"/>
      <c r="AM829" s="904"/>
    </row>
    <row r="830" spans="1:39" customFormat="1" ht="12.75">
      <c r="A830" s="640"/>
      <c r="F830" s="1"/>
      <c r="G830" s="1"/>
      <c r="H830" s="1"/>
      <c r="I830" s="1"/>
      <c r="L830" s="47"/>
      <c r="M830" s="47"/>
      <c r="AM830" s="904"/>
    </row>
    <row r="831" spans="1:39" customFormat="1" ht="12.75">
      <c r="A831" s="640"/>
      <c r="F831" s="1"/>
      <c r="G831" s="1"/>
      <c r="H831" s="1"/>
      <c r="I831" s="1"/>
      <c r="L831" s="47"/>
      <c r="M831" s="47"/>
      <c r="AM831" s="904"/>
    </row>
    <row r="832" spans="1:39" customFormat="1" ht="12.75">
      <c r="A832" s="640"/>
      <c r="F832" s="1"/>
      <c r="G832" s="1"/>
      <c r="H832" s="1"/>
      <c r="I832" s="1"/>
      <c r="L832" s="47"/>
      <c r="M832" s="47"/>
      <c r="AM832" s="904"/>
    </row>
    <row r="833" spans="1:39" customFormat="1" ht="12.75">
      <c r="A833" s="640"/>
      <c r="F833" s="1"/>
      <c r="G833" s="1"/>
      <c r="H833" s="1"/>
      <c r="I833" s="1"/>
      <c r="L833" s="47"/>
      <c r="M833" s="47"/>
      <c r="AM833" s="904"/>
    </row>
    <row r="834" spans="1:39" customFormat="1" ht="12.75">
      <c r="A834" s="640"/>
      <c r="F834" s="1"/>
      <c r="G834" s="1"/>
      <c r="H834" s="1"/>
      <c r="I834" s="1"/>
      <c r="L834" s="47"/>
      <c r="M834" s="47"/>
      <c r="AM834" s="904"/>
    </row>
    <row r="835" spans="1:39" customFormat="1" ht="12.75">
      <c r="A835" s="640"/>
      <c r="F835" s="1"/>
      <c r="G835" s="1"/>
      <c r="H835" s="1"/>
      <c r="I835" s="1"/>
      <c r="L835" s="47"/>
      <c r="M835" s="47"/>
      <c r="AM835" s="904"/>
    </row>
  </sheetData>
  <sheetProtection password="D81C" sheet="1" objects="1" scenarios="1"/>
  <mergeCells count="81">
    <mergeCell ref="B50:C50"/>
    <mergeCell ref="I44:K44"/>
    <mergeCell ref="I43:K43"/>
    <mergeCell ref="I42:K42"/>
    <mergeCell ref="B48:C48"/>
    <mergeCell ref="B49:C49"/>
    <mergeCell ref="I46:K46"/>
    <mergeCell ref="I45:K45"/>
    <mergeCell ref="B86:C86"/>
    <mergeCell ref="I102:K102"/>
    <mergeCell ref="B90:C90"/>
    <mergeCell ref="D90:E90"/>
    <mergeCell ref="B54:K54"/>
    <mergeCell ref="B104:C104"/>
    <mergeCell ref="I97:K97"/>
    <mergeCell ref="I99:K99"/>
    <mergeCell ref="G93:H93"/>
    <mergeCell ref="I93:K93"/>
    <mergeCell ref="B93:F93"/>
    <mergeCell ref="B99:E99"/>
    <mergeCell ref="B97:D97"/>
    <mergeCell ref="J96:K96"/>
    <mergeCell ref="J94:K94"/>
    <mergeCell ref="J95:K95"/>
    <mergeCell ref="B106:C106"/>
    <mergeCell ref="B107:C107"/>
    <mergeCell ref="B108:C108"/>
    <mergeCell ref="B70:C70"/>
    <mergeCell ref="B73:C73"/>
    <mergeCell ref="B105:C105"/>
    <mergeCell ref="B103:C103"/>
    <mergeCell ref="B87:C87"/>
    <mergeCell ref="B74:C74"/>
    <mergeCell ref="B79:C79"/>
    <mergeCell ref="B75:C75"/>
    <mergeCell ref="B77:C77"/>
    <mergeCell ref="B80:C80"/>
    <mergeCell ref="B85:C85"/>
    <mergeCell ref="B81:C81"/>
    <mergeCell ref="B83:D83"/>
    <mergeCell ref="G2:K2"/>
    <mergeCell ref="E3:F3"/>
    <mergeCell ref="G3:K3"/>
    <mergeCell ref="G4:K4"/>
    <mergeCell ref="C7:F7"/>
    <mergeCell ref="J7:K7"/>
    <mergeCell ref="I41:K41"/>
    <mergeCell ref="B23:C24"/>
    <mergeCell ref="D24:F24"/>
    <mergeCell ref="G24:I24"/>
    <mergeCell ref="D32:F32"/>
    <mergeCell ref="D30:F31"/>
    <mergeCell ref="U4:W11"/>
    <mergeCell ref="C12:F12"/>
    <mergeCell ref="J12:K12"/>
    <mergeCell ref="I39:K39"/>
    <mergeCell ref="D20:F20"/>
    <mergeCell ref="C13:H13"/>
    <mergeCell ref="J13:K13"/>
    <mergeCell ref="D14:F14"/>
    <mergeCell ref="G14:K14"/>
    <mergeCell ref="B18:C18"/>
    <mergeCell ref="I15:K15"/>
    <mergeCell ref="C8:H8"/>
    <mergeCell ref="J8:K8"/>
    <mergeCell ref="E52:F52"/>
    <mergeCell ref="AC4:AH11"/>
    <mergeCell ref="J108:K108"/>
    <mergeCell ref="D103:H103"/>
    <mergeCell ref="D105:H105"/>
    <mergeCell ref="D107:H107"/>
    <mergeCell ref="D108:H108"/>
    <mergeCell ref="D106:G106"/>
    <mergeCell ref="J107:K107"/>
    <mergeCell ref="J105:K105"/>
    <mergeCell ref="D104:G104"/>
    <mergeCell ref="J103:K103"/>
    <mergeCell ref="G36:K37"/>
    <mergeCell ref="G33:K33"/>
    <mergeCell ref="D36:F36"/>
    <mergeCell ref="D34:F34"/>
  </mergeCells>
  <conditionalFormatting sqref="J104">
    <cfRule type="expression" dxfId="128" priority="321" stopIfTrue="1">
      <formula>$B$104=""</formula>
    </cfRule>
  </conditionalFormatting>
  <conditionalFormatting sqref="I105">
    <cfRule type="expression" dxfId="127" priority="339" stopIfTrue="1">
      <formula>$B$105&lt;&gt;""</formula>
    </cfRule>
  </conditionalFormatting>
  <conditionalFormatting sqref="I106">
    <cfRule type="expression" dxfId="126" priority="340" stopIfTrue="1">
      <formula>$B$106&lt;&gt;""</formula>
    </cfRule>
  </conditionalFormatting>
  <conditionalFormatting sqref="I107">
    <cfRule type="expression" dxfId="125" priority="341" stopIfTrue="1">
      <formula>$B$107&lt;&gt;""</formula>
    </cfRule>
  </conditionalFormatting>
  <conditionalFormatting sqref="I108">
    <cfRule type="expression" dxfId="124" priority="342" stopIfTrue="1">
      <formula>OR($B$108&lt;&gt;"",$B$108=0)</formula>
    </cfRule>
  </conditionalFormatting>
  <conditionalFormatting sqref="I110">
    <cfRule type="expression" dxfId="123" priority="343" stopIfTrue="1">
      <formula>$B$110&lt;&gt;""</formula>
    </cfRule>
  </conditionalFormatting>
  <conditionalFormatting sqref="F73:F80">
    <cfRule type="expression" dxfId="122" priority="213">
      <formula>wohnen1</formula>
    </cfRule>
  </conditionalFormatting>
  <conditionalFormatting sqref="B85:C85">
    <cfRule type="expression" dxfId="121" priority="142">
      <formula>Zweckumbau=FALSE</formula>
    </cfRule>
  </conditionalFormatting>
  <conditionalFormatting sqref="I97">
    <cfRule type="cellIs" dxfId="120" priority="122" stopIfTrue="1" operator="equal">
      <formula>$N$13</formula>
    </cfRule>
    <cfRule type="cellIs" dxfId="119" priority="123" stopIfTrue="1" operator="equal">
      <formula>$N$14</formula>
    </cfRule>
  </conditionalFormatting>
  <conditionalFormatting sqref="I104">
    <cfRule type="expression" dxfId="118" priority="120" stopIfTrue="1">
      <formula>$B$104&lt;&gt;""</formula>
    </cfRule>
  </conditionalFormatting>
  <conditionalFormatting sqref="I103">
    <cfRule type="expression" dxfId="117" priority="119" stopIfTrue="1">
      <formula>$B$103&lt;&gt;""</formula>
    </cfRule>
  </conditionalFormatting>
  <conditionalFormatting sqref="K104">
    <cfRule type="expression" dxfId="116" priority="116">
      <formula>$B$104=""</formula>
    </cfRule>
  </conditionalFormatting>
  <conditionalFormatting sqref="K106">
    <cfRule type="cellIs" dxfId="115" priority="112" stopIfTrue="1" operator="equal">
      <formula>$Q$13</formula>
    </cfRule>
    <cfRule type="cellIs" dxfId="114" priority="113" stopIfTrue="1" operator="equal">
      <formula>$R$13</formula>
    </cfRule>
  </conditionalFormatting>
  <conditionalFormatting sqref="J105">
    <cfRule type="cellIs" dxfId="113" priority="104" stopIfTrue="1" operator="equal">
      <formula>$Q$13</formula>
    </cfRule>
    <cfRule type="cellIs" dxfId="112" priority="105" stopIfTrue="1" operator="equal">
      <formula>$R$13</formula>
    </cfRule>
  </conditionalFormatting>
  <conditionalFormatting sqref="I111">
    <cfRule type="expression" dxfId="111" priority="103" stopIfTrue="1">
      <formula>OR($B$111&lt;&gt;"",$B$111=0)</formula>
    </cfRule>
  </conditionalFormatting>
  <conditionalFormatting sqref="I109">
    <cfRule type="expression" dxfId="110" priority="102" stopIfTrue="1">
      <formula>$B$109&lt;&gt;""</formula>
    </cfRule>
  </conditionalFormatting>
  <conditionalFormatting sqref="J111">
    <cfRule type="cellIs" dxfId="109" priority="100" stopIfTrue="1" operator="equal">
      <formula>$Q$13</formula>
    </cfRule>
    <cfRule type="cellIs" dxfId="108" priority="101" stopIfTrue="1" operator="equal">
      <formula>$R$13</formula>
    </cfRule>
  </conditionalFormatting>
  <conditionalFormatting sqref="J109">
    <cfRule type="cellIs" dxfId="107" priority="89" stopIfTrue="1" operator="equal">
      <formula>$Q$13</formula>
    </cfRule>
    <cfRule type="cellIs" dxfId="106" priority="90" stopIfTrue="1" operator="equal">
      <formula>$R$13</formula>
    </cfRule>
  </conditionalFormatting>
  <conditionalFormatting sqref="I99">
    <cfRule type="cellIs" dxfId="105" priority="81" stopIfTrue="1" operator="equal">
      <formula>$N$13</formula>
    </cfRule>
    <cfRule type="cellIs" dxfId="104" priority="82" stopIfTrue="1" operator="equal">
      <formula>$N$14</formula>
    </cfRule>
  </conditionalFormatting>
  <conditionalFormatting sqref="B97 E97:K97">
    <cfRule type="expression" dxfId="103" priority="79">
      <formula>OR(minergie=TRUE,minergiep=TRUE,MUKEN=warh)</formula>
    </cfRule>
  </conditionalFormatting>
  <conditionalFormatting sqref="B98:K98">
    <cfRule type="expression" dxfId="102" priority="78" stopIfTrue="1">
      <formula>minergiea=FALSE</formula>
    </cfRule>
  </conditionalFormatting>
  <conditionalFormatting sqref="J90:K90 D90">
    <cfRule type="cellIs" dxfId="101" priority="77" operator="equal">
      <formula>$Q$13</formula>
    </cfRule>
  </conditionalFormatting>
  <conditionalFormatting sqref="C101:E101">
    <cfRule type="expression" dxfId="100" priority="75">
      <formula>minergiea=FALSE</formula>
    </cfRule>
  </conditionalFormatting>
  <conditionalFormatting sqref="D90">
    <cfRule type="cellIs" dxfId="99" priority="518" operator="equal">
      <formula>$R$13</formula>
    </cfRule>
  </conditionalFormatting>
  <conditionalFormatting sqref="F81">
    <cfRule type="expression" dxfId="98" priority="73">
      <formula>wohnen1</formula>
    </cfRule>
  </conditionalFormatting>
  <conditionalFormatting sqref="A99:K99">
    <cfRule type="expression" dxfId="97" priority="69">
      <formula>minergiea=FALSE</formula>
    </cfRule>
  </conditionalFormatting>
  <conditionalFormatting sqref="F85">
    <cfRule type="expression" dxfId="96" priority="571">
      <formula>$O$84</formula>
    </cfRule>
  </conditionalFormatting>
  <conditionalFormatting sqref="G85">
    <cfRule type="expression" dxfId="95" priority="572">
      <formula>$P$84</formula>
    </cfRule>
  </conditionalFormatting>
  <conditionalFormatting sqref="H85">
    <cfRule type="expression" dxfId="94" priority="573">
      <formula>$Q$84</formula>
    </cfRule>
  </conditionalFormatting>
  <conditionalFormatting sqref="I85">
    <cfRule type="expression" dxfId="93" priority="574">
      <formula>$R$84</formula>
    </cfRule>
  </conditionalFormatting>
  <conditionalFormatting sqref="F86:F87">
    <cfRule type="expression" dxfId="92" priority="575">
      <formula>$O$92</formula>
    </cfRule>
  </conditionalFormatting>
  <conditionalFormatting sqref="G86:G87">
    <cfRule type="expression" dxfId="91" priority="576">
      <formula>$P$92</formula>
    </cfRule>
  </conditionalFormatting>
  <conditionalFormatting sqref="H86:H87">
    <cfRule type="expression" dxfId="90" priority="577">
      <formula>$Q$92</formula>
    </cfRule>
  </conditionalFormatting>
  <conditionalFormatting sqref="I86:I87">
    <cfRule type="expression" dxfId="89" priority="578">
      <formula>$R$92</formula>
    </cfRule>
  </conditionalFormatting>
  <conditionalFormatting sqref="F88:F89">
    <cfRule type="expression" dxfId="88" priority="579">
      <formula>$O$85</formula>
    </cfRule>
    <cfRule type="expression" dxfId="87" priority="580" stopIfTrue="1">
      <formula>OR($O$82,$O$84,$O$86)</formula>
    </cfRule>
  </conditionalFormatting>
  <conditionalFormatting sqref="G88:G89">
    <cfRule type="expression" dxfId="86" priority="581">
      <formula>$P$85</formula>
    </cfRule>
    <cfRule type="expression" dxfId="85" priority="582" stopIfTrue="1">
      <formula>OR($P$82,$P$84,$P$86)</formula>
    </cfRule>
  </conditionalFormatting>
  <conditionalFormatting sqref="H88:H89">
    <cfRule type="expression" dxfId="84" priority="583">
      <formula>$Q$85</formula>
    </cfRule>
    <cfRule type="expression" dxfId="83" priority="584" stopIfTrue="1">
      <formula>OR($Q$82,$Q$84,$Q$86)</formula>
    </cfRule>
  </conditionalFormatting>
  <conditionalFormatting sqref="I88:I89">
    <cfRule type="expression" dxfId="82" priority="585">
      <formula>$R$85</formula>
    </cfRule>
    <cfRule type="expression" dxfId="81" priority="586" stopIfTrue="1">
      <formula>OR($R$82,$R$84,$R$86)</formula>
    </cfRule>
  </conditionalFormatting>
  <conditionalFormatting sqref="J103">
    <cfRule type="cellIs" dxfId="80" priority="49" stopIfTrue="1" operator="equal">
      <formula>$Q$13</formula>
    </cfRule>
    <cfRule type="cellIs" dxfId="79" priority="50" stopIfTrue="1" operator="equal">
      <formula>$R$13</formula>
    </cfRule>
  </conditionalFormatting>
  <conditionalFormatting sqref="I96:K96">
    <cfRule type="expression" dxfId="78" priority="48">
      <formula>OR($H$96=0,$H$96="")</formula>
    </cfRule>
  </conditionalFormatting>
  <conditionalFormatting sqref="J96">
    <cfRule type="expression" dxfId="77" priority="47">
      <formula>OR($H$96=0,$H$96="")</formula>
    </cfRule>
  </conditionalFormatting>
  <conditionalFormatting sqref="I13:K13">
    <cfRule type="expression" dxfId="76" priority="42">
      <formula>MUKEN=FALSE</formula>
    </cfRule>
  </conditionalFormatting>
  <conditionalFormatting sqref="F35">
    <cfRule type="expression" dxfId="75" priority="12">
      <formula>OR($D$30=$AN$24,$D$30=$AN$27)</formula>
    </cfRule>
  </conditionalFormatting>
  <conditionalFormatting sqref="F33">
    <cfRule type="expression" dxfId="74" priority="10">
      <formula>OR($D$30=$AN$24,$D$30=$AN$27,$D$30=$AN$26)</formula>
    </cfRule>
  </conditionalFormatting>
  <conditionalFormatting sqref="F25:F28">
    <cfRule type="expression" dxfId="73" priority="605">
      <formula>$F$19=$AT$20</formula>
    </cfRule>
    <cfRule type="expression" dxfId="72" priority="2">
      <formula>$F$19=$AT$21</formula>
    </cfRule>
  </conditionalFormatting>
  <conditionalFormatting sqref="D32">
    <cfRule type="expression" dxfId="71" priority="7">
      <formula>OR($AR$23=2,$AR$23=5)</formula>
    </cfRule>
  </conditionalFormatting>
  <conditionalFormatting sqref="F29">
    <cfRule type="expression" dxfId="70" priority="613">
      <formula>$F$19=$AT$21</formula>
    </cfRule>
  </conditionalFormatting>
  <conditionalFormatting sqref="I25:I28">
    <cfRule type="expression" dxfId="69" priority="614">
      <formula>$F$17&gt;=1</formula>
    </cfRule>
  </conditionalFormatting>
  <conditionalFormatting sqref="I39">
    <cfRule type="expression" dxfId="68" priority="615">
      <formula>$AP$58=FALSE</formula>
    </cfRule>
    <cfRule type="expression" dxfId="67" priority="616">
      <formula>$AP$58</formula>
    </cfRule>
  </conditionalFormatting>
  <conditionalFormatting sqref="I42">
    <cfRule type="expression" dxfId="66" priority="617">
      <formula>AND($C$42&gt;0,$C$40=$AK$42)</formula>
    </cfRule>
  </conditionalFormatting>
  <conditionalFormatting sqref="I43">
    <cfRule type="expression" dxfId="65" priority="618">
      <formula>AND($C$43&gt;0,$C$40=$AK$42)</formula>
    </cfRule>
  </conditionalFormatting>
  <conditionalFormatting sqref="I44">
    <cfRule type="expression" dxfId="64" priority="619">
      <formula>AND($C$44&gt;0,$C$40=$AK$42)</formula>
    </cfRule>
  </conditionalFormatting>
  <conditionalFormatting sqref="I45">
    <cfRule type="expression" dxfId="63" priority="620">
      <formula>AND($C$45&gt;0,$C$40=$AK$42)</formula>
    </cfRule>
  </conditionalFormatting>
  <conditionalFormatting sqref="I46">
    <cfRule type="expression" dxfId="62" priority="621">
      <formula>AND($C$46&gt;0,$C$40=$AK$42)</formula>
    </cfRule>
  </conditionalFormatting>
  <conditionalFormatting sqref="C42:C46">
    <cfRule type="expression" dxfId="61" priority="622">
      <formula>$C$40=$AK$42</formula>
    </cfRule>
  </conditionalFormatting>
  <conditionalFormatting sqref="C52">
    <cfRule type="expression" dxfId="60" priority="623">
      <formula>$C$40=$AK$43</formula>
    </cfRule>
  </conditionalFormatting>
  <conditionalFormatting sqref="K48:K50">
    <cfRule type="expression" dxfId="59" priority="624">
      <formula>$C$40=$AK$42</formula>
    </cfRule>
    <cfRule type="expression" dxfId="58" priority="1">
      <formula>$C$40=$AK$43</formula>
    </cfRule>
  </conditionalFormatting>
  <conditionalFormatting sqref="G25:I28">
    <cfRule type="expression" dxfId="57" priority="5">
      <formula>$F$17&gt;=1</formula>
    </cfRule>
  </conditionalFormatting>
  <dataValidations count="16">
    <dataValidation type="list" allowBlank="1" showInputMessage="1" showErrorMessage="1" sqref="I82">
      <formula1>Kleinanlagen4</formula1>
    </dataValidation>
    <dataValidation type="list" allowBlank="1" showInputMessage="1" showErrorMessage="1" sqref="H82">
      <formula1>Kleinanlagen3</formula1>
    </dataValidation>
    <dataValidation type="list" allowBlank="1" showInputMessage="1" showErrorMessage="1" sqref="G82">
      <formula1>Kleinanlagen2</formula1>
    </dataValidation>
    <dataValidation type="list" allowBlank="1" showInputMessage="1" showErrorMessage="1" sqref="F82">
      <formula1>Kleinanlagen1</formula1>
    </dataValidation>
    <dataValidation type="list" allowBlank="1" showInputMessage="1" showErrorMessage="1" sqref="S35">
      <formula1>#REF!</formula1>
    </dataValidation>
    <dataValidation type="list" allowBlank="1" showInputMessage="1" showErrorMessage="1" sqref="F85:I87 I103:I111 F73:F81">
      <formula1>$N$13:$N$14</formula1>
    </dataValidation>
    <dataValidation type="list" allowBlank="1" showInputMessage="1" showErrorMessage="1" sqref="K48:K50 I25:I28">
      <formula1>$AK$13:$AK$14</formula1>
    </dataValidation>
    <dataValidation type="list" allowBlank="1" showInputMessage="1" showErrorMessage="1" sqref="D30">
      <formula1>$AN$24:$AN$28</formula1>
    </dataValidation>
    <dataValidation type="list" allowBlank="1" showInputMessage="1" showErrorMessage="1" sqref="F25:F28">
      <formula1>$AK$13:$AK$15</formula1>
    </dataValidation>
    <dataValidation type="list" allowBlank="1" showInputMessage="1" showErrorMessage="1" sqref="D34">
      <formula1>$AT$24:$AT$25</formula1>
    </dataValidation>
    <dataValidation type="list" allowBlank="1" showInputMessage="1" showErrorMessage="1" sqref="F19">
      <formula1>$AT$20:$AT$21</formula1>
    </dataValidation>
    <dataValidation type="list" allowBlank="1" showInputMessage="1" showErrorMessage="1" sqref="C40">
      <formula1>$AK$42:$AK$43</formula1>
    </dataValidation>
    <dataValidation type="list" allowBlank="1" showInputMessage="1" showErrorMessage="1" sqref="F29">
      <formula1>$AN$38:$AN$45</formula1>
    </dataValidation>
    <dataValidation type="list" allowBlank="1" showInputMessage="1" showErrorMessage="1" sqref="F18">
      <formula1>$AK$30:$AK$31</formula1>
    </dataValidation>
    <dataValidation type="list" allowBlank="1" showInputMessage="1" showErrorMessage="1" sqref="D20:F20">
      <formula1>IF($F$19=$AT$20,$AK$17:$AK$21,$AK$24:$AK$26)</formula1>
    </dataValidation>
    <dataValidation type="list" allowBlank="1" showInputMessage="1" showErrorMessage="1" sqref="D36:F36">
      <formula1>$AQ$38:$AQ$39</formula1>
    </dataValidation>
  </dataValidations>
  <pageMargins left="0.39370078740157483" right="0.31496062992125984" top="0.35433070866141736" bottom="0.23622047244094491" header="0.35433070866141736" footer="0.23622047244094491"/>
  <pageSetup paperSize="9" scale="90" fitToHeight="0" orientation="portrait" horizontalDpi="4294967295" verticalDpi="4294967295"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8" operator="containsText" id="{507BBE76-CD3F-49D7-98CF-11B8BC52A491}">
            <xm:f>NOT(ISERROR(SEARCH(Uebersetzung!$D$583,I52)))</xm:f>
            <xm:f>Uebersetzung!$D$583</xm:f>
            <x14:dxf>
              <fill>
                <patternFill>
                  <bgColor rgb="FFFF0000"/>
                </patternFill>
              </fill>
            </x14:dxf>
          </x14:cfRule>
          <x14:cfRule type="containsText" priority="39" operator="containsText" id="{957063C9-FE52-4739-B698-EACEA875628D}">
            <xm:f>NOT(ISERROR(SEARCH(Uebersetzung!$D$582,I52)))</xm:f>
            <xm:f>Uebersetzung!$D$582</xm:f>
            <x14:dxf>
              <fill>
                <patternFill>
                  <bgColor rgb="FF00B050"/>
                </patternFill>
              </fill>
            </x14:dxf>
          </x14:cfRule>
          <xm:sqref>I52:K52</xm:sqref>
        </x14:conditionalFormatting>
        <x14:conditionalFormatting xmlns:xm="http://schemas.microsoft.com/office/excel/2006/main">
          <x14:cfRule type="expression" priority="25" id="{C3952F33-9B23-43A0-851D-99A8C9A0A39C}">
            <xm:f>$I$15=Uebersetzung!$E$583</xm:f>
            <x14:dxf>
              <fill>
                <patternFill>
                  <bgColor rgb="FFFF0000"/>
                </patternFill>
              </fill>
            </x14:dxf>
          </x14:cfRule>
          <x14:cfRule type="expression" priority="26" id="{72AD0292-2B7C-4F59-823E-8E109EC1F3F4}">
            <xm:f>$I$15=Uebersetzung!$E$582</xm:f>
            <x14:dxf>
              <fill>
                <patternFill>
                  <bgColor rgb="FF92D050"/>
                </patternFill>
              </fill>
            </x14:dxf>
          </x14:cfRule>
          <xm:sqref>I15</xm:sqref>
        </x14:conditionalFormatting>
        <x14:conditionalFormatting xmlns:xm="http://schemas.microsoft.com/office/excel/2006/main">
          <x14:cfRule type="expression" priority="602" id="{414B6E86-01D0-443F-BE07-3B4027AE343E}">
            <xm:f>$B$54=Uebersetzung!D618</xm:f>
            <x14:dxf>
              <fill>
                <patternFill>
                  <bgColor rgb="FFFF0000"/>
                </patternFill>
              </fill>
            </x14:dxf>
          </x14:cfRule>
          <x14:cfRule type="expression" priority="603" id="{F81EA9FF-7194-4CA1-B28F-15DDC5526246}">
            <xm:f>$B$54=Uebersetzung!D617</xm:f>
            <x14:dxf>
              <font>
                <color auto="1"/>
              </font>
              <fill>
                <patternFill>
                  <bgColor rgb="FF92D050"/>
                </patternFill>
              </fill>
            </x14:dxf>
          </x14:cfRule>
          <xm:sqref>B54</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V101"/>
  <sheetViews>
    <sheetView zoomScaleNormal="100" zoomScaleSheetLayoutView="70" zoomScalePageLayoutView="70" workbookViewId="0">
      <selection activeCell="AB22" sqref="AB22"/>
    </sheetView>
  </sheetViews>
  <sheetFormatPr baseColWidth="10" defaultColWidth="11.5703125" defaultRowHeight="12.75"/>
  <cols>
    <col min="1" max="1" width="3.7109375" style="643" customWidth="1"/>
    <col min="2" max="2" width="12.7109375" style="17" customWidth="1"/>
    <col min="3" max="6" width="7.42578125" style="17" customWidth="1"/>
    <col min="7" max="7" width="9" style="17" customWidth="1"/>
    <col min="8" max="12" width="9.7109375" style="17" customWidth="1"/>
    <col min="13" max="13" width="4.7109375" style="17" customWidth="1"/>
    <col min="14" max="14" width="2.7109375" style="17" customWidth="1"/>
    <col min="15" max="20" width="11.5703125" style="17" hidden="1" customWidth="1"/>
    <col min="21" max="22" width="11.5703125" style="17" customWidth="1"/>
    <col min="23" max="16384" width="11.5703125" style="17"/>
  </cols>
  <sheetData>
    <row r="1" spans="1:21" ht="9" customHeight="1">
      <c r="B1" s="205"/>
      <c r="C1" s="206"/>
      <c r="D1" s="206"/>
      <c r="E1" s="206"/>
      <c r="F1" s="206"/>
      <c r="G1" s="206"/>
      <c r="H1" s="206"/>
      <c r="I1" s="206"/>
      <c r="J1" s="206"/>
      <c r="K1" s="206"/>
      <c r="L1" s="207"/>
      <c r="M1" s="208" t="str">
        <f>Uebersetzung!D645</f>
        <v>Formulaire pour les modèles de rénovation</v>
      </c>
      <c r="N1" s="206"/>
      <c r="O1" s="206"/>
      <c r="P1" s="206"/>
      <c r="Q1" s="206"/>
      <c r="R1" s="206"/>
    </row>
    <row r="2" spans="1:21" ht="21.6" customHeight="1">
      <c r="B2" s="880" t="str">
        <f>Uebersetzung!D320</f>
        <v>Protection thermique estivale dans le label Minergie</v>
      </c>
      <c r="C2" s="206"/>
      <c r="D2" s="206"/>
      <c r="E2" s="206"/>
      <c r="F2" s="206"/>
      <c r="G2" s="206"/>
      <c r="H2" s="206"/>
      <c r="I2" s="206"/>
      <c r="J2" s="206"/>
      <c r="K2" s="206"/>
      <c r="L2" s="207"/>
      <c r="N2" s="210"/>
      <c r="O2" s="210"/>
      <c r="P2" s="210"/>
      <c r="Q2" s="210"/>
      <c r="R2" s="210"/>
    </row>
    <row r="3" spans="1:21" ht="15.75" hidden="1">
      <c r="B3" s="209"/>
      <c r="C3" s="206"/>
      <c r="D3" s="206"/>
      <c r="E3" s="206"/>
      <c r="F3" s="206"/>
      <c r="G3" s="206"/>
      <c r="H3" s="206"/>
      <c r="I3" s="206"/>
      <c r="J3" s="206"/>
      <c r="K3" s="206"/>
      <c r="L3" s="207"/>
      <c r="N3" s="210"/>
      <c r="O3" s="210"/>
      <c r="P3" s="210"/>
      <c r="Q3" s="210"/>
      <c r="R3" s="210"/>
    </row>
    <row r="4" spans="1:21" ht="18" customHeight="1">
      <c r="A4" s="643" t="s">
        <v>1306</v>
      </c>
      <c r="B4" s="1080" t="str">
        <f>IF(Projekt1="","",Projekt1)</f>
        <v/>
      </c>
      <c r="C4" s="1081"/>
      <c r="D4" s="1081"/>
      <c r="E4" s="1081"/>
      <c r="F4" s="1081"/>
      <c r="G4" s="1081"/>
      <c r="H4" s="1081"/>
      <c r="I4" s="1081"/>
      <c r="J4" s="1081"/>
      <c r="K4" s="1081"/>
      <c r="L4" s="1081"/>
      <c r="M4" s="1082"/>
      <c r="N4" s="210"/>
      <c r="O4" s="210"/>
      <c r="P4" s="210"/>
      <c r="Q4" s="210"/>
      <c r="R4" s="210"/>
    </row>
    <row r="5" spans="1:21" ht="15" hidden="1" customHeight="1">
      <c r="B5" s="1083"/>
      <c r="C5" s="1084"/>
      <c r="D5" s="1084"/>
      <c r="E5" s="1084"/>
      <c r="F5" s="1084"/>
      <c r="G5" s="1084"/>
      <c r="H5" s="1084"/>
      <c r="I5" s="1084"/>
      <c r="J5" s="1084"/>
      <c r="K5" s="1084"/>
      <c r="L5" s="1084"/>
      <c r="M5" s="1085"/>
      <c r="N5" s="210"/>
      <c r="O5" s="210"/>
      <c r="P5" s="210"/>
      <c r="Q5" s="210"/>
      <c r="R5" s="210"/>
    </row>
    <row r="6" spans="1:21" ht="18" customHeight="1">
      <c r="A6" s="643" t="s">
        <v>2545</v>
      </c>
      <c r="B6" s="1086" t="str">
        <f>IF(Projekt4="","",Projekt4)</f>
        <v/>
      </c>
      <c r="C6" s="1087"/>
      <c r="D6" s="1087"/>
      <c r="E6" s="1087"/>
      <c r="F6" s="1087"/>
      <c r="G6" s="1087"/>
      <c r="H6" s="1087"/>
      <c r="I6" s="1087"/>
      <c r="J6" s="1087"/>
      <c r="K6" s="1087"/>
      <c r="L6" s="1087"/>
      <c r="M6" s="1088"/>
      <c r="N6" s="206"/>
      <c r="O6" s="210"/>
      <c r="P6" s="206"/>
      <c r="Q6" s="206"/>
      <c r="R6" s="206"/>
    </row>
    <row r="7" spans="1:21" ht="6" customHeight="1">
      <c r="B7" s="846"/>
      <c r="C7" s="846"/>
      <c r="D7" s="846"/>
      <c r="E7" s="846"/>
      <c r="F7" s="846"/>
      <c r="G7" s="846"/>
      <c r="H7" s="846"/>
      <c r="I7" s="846"/>
      <c r="J7" s="846"/>
      <c r="K7" s="846"/>
      <c r="L7" s="846"/>
      <c r="M7" s="846"/>
      <c r="N7" s="206"/>
      <c r="O7" s="210"/>
      <c r="P7" s="206"/>
      <c r="Q7" s="206"/>
      <c r="R7" s="206"/>
    </row>
    <row r="8" spans="1:21" ht="45" customHeight="1">
      <c r="B8" s="1089" t="str">
        <f>Uebersetzung!D321</f>
        <v>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v>
      </c>
      <c r="C8" s="1089"/>
      <c r="D8" s="1089"/>
      <c r="E8" s="1089"/>
      <c r="F8" s="1089"/>
      <c r="G8" s="1089"/>
      <c r="H8" s="1089"/>
      <c r="I8" s="1089"/>
      <c r="J8" s="1089"/>
      <c r="K8" s="1089"/>
      <c r="L8" s="1089"/>
      <c r="M8" s="1089"/>
      <c r="N8" s="211"/>
      <c r="O8" s="211"/>
      <c r="P8" s="211"/>
      <c r="Q8" s="211"/>
      <c r="R8" s="206"/>
    </row>
    <row r="9" spans="1:21" ht="15" customHeight="1">
      <c r="B9" s="847"/>
      <c r="C9" s="847"/>
      <c r="D9" s="847"/>
      <c r="E9" s="847"/>
      <c r="F9" s="847"/>
      <c r="G9" s="847"/>
      <c r="H9" s="847"/>
      <c r="I9" s="847"/>
      <c r="J9" s="847"/>
      <c r="K9" s="847"/>
      <c r="L9" s="847"/>
      <c r="M9" s="847"/>
      <c r="N9" s="211"/>
      <c r="O9" s="211"/>
      <c r="P9" s="211"/>
      <c r="Q9" s="211"/>
      <c r="R9" s="206"/>
    </row>
    <row r="10" spans="1:21" ht="18" customHeight="1">
      <c r="B10" s="870" t="str">
        <f>Uebersetzung!D620</f>
        <v>Protection thermique estivale</v>
      </c>
      <c r="C10" s="881"/>
      <c r="D10" s="881"/>
      <c r="E10" s="881"/>
      <c r="F10" s="881"/>
      <c r="G10" s="881"/>
      <c r="H10" s="881"/>
      <c r="I10" s="881"/>
      <c r="J10" s="881"/>
      <c r="K10" s="954" t="str">
        <f>IF(Q24,Uebersetzung!D582,Uebersetzung!D583)</f>
        <v>Non respectée</v>
      </c>
      <c r="L10" s="955"/>
      <c r="M10" s="956"/>
      <c r="O10" s="763" t="str">
        <f>Uebersetzung!D585</f>
        <v>Variante 1</v>
      </c>
      <c r="P10" s="764" t="str">
        <f>Uebersetzung!D586</f>
        <v>Evaluation globale de cas standards pour les affectations suivantes: habitation, bureau individuel ou paysager, salle de réunion et dépôt (sans refroidissement)</v>
      </c>
      <c r="Q10" s="758" t="s">
        <v>110</v>
      </c>
      <c r="R10" s="763" t="str">
        <f>Uebersetzung!D25</f>
        <v>oui</v>
      </c>
      <c r="S10" s="760" t="str">
        <f>Uebersetzung!D350</f>
        <v>Volets roulants</v>
      </c>
      <c r="T10" s="758"/>
      <c r="U10" s="756"/>
    </row>
    <row r="11" spans="1:21" ht="24.95" customHeight="1">
      <c r="B11" s="882" t="s">
        <v>2833</v>
      </c>
      <c r="C11" s="1091" t="e">
        <f>IF(B11&lt;&gt;" ",VLOOKUP(B11,O10:P12,2,0)," ")</f>
        <v>#N/A</v>
      </c>
      <c r="D11" s="1062"/>
      <c r="E11" s="1062"/>
      <c r="F11" s="1062"/>
      <c r="G11" s="1062"/>
      <c r="H11" s="1062"/>
      <c r="I11" s="1062"/>
      <c r="J11" s="1062"/>
      <c r="K11" s="1062"/>
      <c r="L11" s="1062"/>
      <c r="M11" s="1063"/>
      <c r="O11" s="765" t="str">
        <f>Uebersetzung!D587</f>
        <v>Variante 2</v>
      </c>
      <c r="P11" s="766" t="str">
        <f>Uebersetzung!D588</f>
        <v>Justification externe des critères selon SIA 382/1 (sans refroidissement)</v>
      </c>
      <c r="Q11" s="758" t="s">
        <v>110</v>
      </c>
      <c r="R11" s="765" t="str">
        <f>Uebersetzung!D26</f>
        <v>non</v>
      </c>
      <c r="S11" s="761" t="str">
        <f>Uebersetzung!D351</f>
        <v>Stores à lamelles</v>
      </c>
      <c r="T11" s="758"/>
      <c r="U11" s="756"/>
    </row>
    <row r="12" spans="1:21" s="774" customFormat="1" ht="18" customHeight="1">
      <c r="A12" s="643"/>
      <c r="B12" s="883" t="str">
        <f>Uebersetzung!D323</f>
        <v>L'évaluation globale est valable pour les zones dans lesquelles les conditions suivantes sont respectées pour tous les locaux:</v>
      </c>
      <c r="C12" s="884"/>
      <c r="D12" s="884"/>
      <c r="E12" s="884"/>
      <c r="F12" s="884"/>
      <c r="G12" s="884"/>
      <c r="H12" s="884"/>
      <c r="I12" s="884"/>
      <c r="J12" s="884"/>
      <c r="K12" s="884"/>
      <c r="L12" s="884"/>
      <c r="M12" s="885"/>
      <c r="O12" s="775" t="str">
        <f>Uebersetzung!D589</f>
        <v>Variante 3</v>
      </c>
      <c r="P12" s="776" t="str">
        <f>Uebersetzung!D590</f>
        <v>Justification externe des critères selon SIA 382/1 (avec refroidissement)</v>
      </c>
      <c r="Q12" s="777" t="s">
        <v>110</v>
      </c>
      <c r="R12" s="775" t="str">
        <f>Uebersetzung!D27</f>
        <v>n.a.</v>
      </c>
      <c r="S12" s="778" t="str">
        <f>Uebersetzung!D352</f>
        <v>Module Minergie</v>
      </c>
      <c r="T12" s="777"/>
      <c r="U12" s="779"/>
    </row>
    <row r="13" spans="1:21" ht="24.95" customHeight="1">
      <c r="B13" s="886"/>
      <c r="C13" s="1089" t="str">
        <f>Uebersetzung!D324</f>
        <v>- pas de puits de lumière ou de fenêtre de toiture avec plus de 0.5 m² de surface vitrée; les surfaces plus grandes peuvent
  être converties en surfaces verticales (voir Aide à l'utilisation)</v>
      </c>
      <c r="D13" s="1089"/>
      <c r="E13" s="1089"/>
      <c r="F13" s="1089"/>
      <c r="G13" s="1089"/>
      <c r="H13" s="1089"/>
      <c r="I13" s="1089"/>
      <c r="J13" s="1089"/>
      <c r="K13" s="1089"/>
      <c r="L13" s="1089"/>
      <c r="M13" s="1092"/>
      <c r="O13" s="758"/>
      <c r="P13" s="758"/>
      <c r="Q13" s="758"/>
      <c r="R13" s="758"/>
      <c r="S13" s="767" t="str">
        <f>Uebersetzung!D353</f>
        <v>Autres</v>
      </c>
      <c r="T13" s="758">
        <f>IF(L18=S13,1,0)</f>
        <v>0</v>
      </c>
      <c r="U13" s="756"/>
    </row>
    <row r="14" spans="1:21" ht="18" customHeight="1">
      <c r="B14" s="886"/>
      <c r="C14" s="887" t="str">
        <f>Uebersetzung!D325</f>
        <v>- protection solaire extérieure mobile avec volet roulant ou store à lamelles (p.ex. Modules Minergie);</v>
      </c>
      <c r="D14" s="887"/>
      <c r="E14" s="887"/>
      <c r="F14" s="887"/>
      <c r="G14" s="887"/>
      <c r="H14" s="887"/>
      <c r="I14" s="887"/>
      <c r="J14" s="887"/>
      <c r="K14" s="887"/>
      <c r="L14" s="887"/>
      <c r="M14" s="888"/>
      <c r="O14" s="758"/>
      <c r="P14" s="758"/>
      <c r="Q14" s="758"/>
      <c r="R14" s="758"/>
      <c r="S14" s="758"/>
      <c r="T14" s="758"/>
      <c r="U14" s="756"/>
    </row>
    <row r="15" spans="1:21" ht="18" customHeight="1">
      <c r="B15" s="886"/>
      <c r="C15" s="887" t="str">
        <f>Uebersetzung!D326</f>
        <v>- rafraîchissement nocturne possible grâce aux fenêtres;</v>
      </c>
      <c r="D15" s="887"/>
      <c r="E15" s="887"/>
      <c r="F15" s="887"/>
      <c r="G15" s="887"/>
      <c r="H15" s="887"/>
      <c r="I15" s="887"/>
      <c r="J15" s="887"/>
      <c r="K15" s="887"/>
      <c r="L15" s="887"/>
      <c r="M15" s="888"/>
      <c r="O15" s="758"/>
      <c r="P15" s="758"/>
      <c r="Q15" s="758"/>
      <c r="R15" s="758"/>
      <c r="S15" s="758"/>
      <c r="T15" s="758"/>
    </row>
    <row r="16" spans="1:21" ht="18" customHeight="1">
      <c r="B16" s="889"/>
      <c r="C16" s="890" t="str">
        <f>Uebersetzung!D327</f>
        <v>- charges thermiques internes pas plus élevées que la valeur standard figurant dans le cahier technique SIA 2024.</v>
      </c>
      <c r="D16" s="890"/>
      <c r="E16" s="890"/>
      <c r="F16" s="890"/>
      <c r="G16" s="890"/>
      <c r="H16" s="890"/>
      <c r="I16" s="890"/>
      <c r="J16" s="890"/>
      <c r="K16" s="890"/>
      <c r="L16" s="890"/>
      <c r="M16" s="891"/>
      <c r="O16" s="758"/>
      <c r="P16" s="758"/>
      <c r="Q16" s="758"/>
      <c r="R16" s="758"/>
      <c r="S16" s="758"/>
      <c r="T16" s="758"/>
    </row>
    <row r="17" spans="1:20" ht="18" customHeight="1">
      <c r="B17" s="892" t="str">
        <f>Uebersetzung!D328</f>
        <v>Les locaux de cette zone satisfont-ils les critères?</v>
      </c>
      <c r="C17" s="89"/>
      <c r="D17" s="89"/>
      <c r="E17" s="89"/>
      <c r="F17" s="89"/>
      <c r="G17" s="89"/>
      <c r="H17" s="89"/>
      <c r="I17" s="89"/>
      <c r="J17" s="89"/>
      <c r="K17" s="89"/>
      <c r="L17" s="81"/>
      <c r="M17" s="81"/>
      <c r="O17" s="758"/>
      <c r="P17" s="758"/>
      <c r="Q17" s="758"/>
      <c r="R17" s="758"/>
      <c r="S17" s="758"/>
      <c r="T17" s="758"/>
    </row>
    <row r="18" spans="1:20" ht="18" customHeight="1">
      <c r="A18" s="757" t="s">
        <v>2546</v>
      </c>
      <c r="B18" s="1093" t="str">
        <f>Uebersetzung!D329</f>
        <v>Protection solaire extérieure mobile. A déclarer ici sous "autres":</v>
      </c>
      <c r="C18" s="1094"/>
      <c r="D18" s="1094"/>
      <c r="E18" s="1094"/>
      <c r="F18" s="1094"/>
      <c r="G18" s="1094"/>
      <c r="H18" s="1094"/>
      <c r="I18" s="1094"/>
      <c r="J18" s="391"/>
      <c r="K18" s="391"/>
      <c r="L18" s="1066"/>
      <c r="M18" s="1067"/>
      <c r="N18" s="758"/>
      <c r="O18" s="758"/>
      <c r="P18" s="758"/>
      <c r="Q18" s="758"/>
      <c r="R18" s="758"/>
      <c r="S18" s="758"/>
      <c r="T18" s="758"/>
    </row>
    <row r="19" spans="1:20" ht="18" customHeight="1">
      <c r="A19" s="757" t="s">
        <v>2931</v>
      </c>
      <c r="B19" s="1059"/>
      <c r="C19" s="1060"/>
      <c r="D19" s="1060"/>
      <c r="E19" s="1060"/>
      <c r="F19" s="1060"/>
      <c r="G19" s="1060"/>
      <c r="H19" s="1060"/>
      <c r="I19" s="1060"/>
      <c r="J19" s="1060"/>
      <c r="K19" s="1060"/>
      <c r="L19" s="849"/>
      <c r="M19" s="850"/>
      <c r="N19" s="758"/>
      <c r="O19" s="759" t="s">
        <v>2839</v>
      </c>
      <c r="P19" s="768" t="s">
        <v>2840</v>
      </c>
      <c r="Q19" s="758"/>
      <c r="R19" s="758"/>
      <c r="S19" s="758"/>
      <c r="T19" s="758"/>
    </row>
    <row r="20" spans="1:20" s="774" customFormat="1" ht="18" customHeight="1">
      <c r="A20" s="757" t="s">
        <v>2547</v>
      </c>
      <c r="B20" s="1096" t="str">
        <f>Uebersetzung!D331</f>
        <v>Habitation (individuelle ou collective), pièce avec 1 façade et plafond en béton apparent à &gt;80%: - taux de surface vitrée &lt;70%</v>
      </c>
      <c r="C20" s="928"/>
      <c r="D20" s="928"/>
      <c r="E20" s="928"/>
      <c r="F20" s="928"/>
      <c r="G20" s="928"/>
      <c r="H20" s="928"/>
      <c r="I20" s="928"/>
      <c r="J20" s="928"/>
      <c r="K20" s="929"/>
      <c r="L20" s="1057"/>
      <c r="M20" s="1058"/>
      <c r="N20" s="777"/>
      <c r="O20" s="780" t="b">
        <f t="shared" ref="O20:O23" si="0">L20&lt;&gt;$R$12</f>
        <v>1</v>
      </c>
      <c r="P20" s="777" t="b">
        <f t="shared" ref="P20:P23" si="1">IF(L20=$R$10,TRUE,FALSE)</f>
        <v>0</v>
      </c>
      <c r="Q20" s="777" t="b">
        <f>IF(OR(L20=$R$10,L20=$R$12),TRUE,FALSE)</f>
        <v>0</v>
      </c>
      <c r="R20" s="777"/>
      <c r="S20" s="777"/>
      <c r="T20" s="777"/>
    </row>
    <row r="21" spans="1:20" s="774" customFormat="1" ht="18" customHeight="1">
      <c r="A21" s="757" t="s">
        <v>1320</v>
      </c>
      <c r="B21" s="1096" t="str">
        <f>Uebersetzung!D332</f>
        <v>Habitation (individuelle ou collective), pièce d'angle avec plafond en béton apparent à &gt;80%: - taux de surface vitrée de chaque façade &lt;50%</v>
      </c>
      <c r="C21" s="928"/>
      <c r="D21" s="928"/>
      <c r="E21" s="928"/>
      <c r="F21" s="928"/>
      <c r="G21" s="928"/>
      <c r="H21" s="928"/>
      <c r="I21" s="928"/>
      <c r="J21" s="928"/>
      <c r="K21" s="929"/>
      <c r="L21" s="1057"/>
      <c r="M21" s="1058"/>
      <c r="N21" s="777"/>
      <c r="O21" s="778" t="b">
        <f t="shared" si="0"/>
        <v>1</v>
      </c>
      <c r="P21" s="777" t="b">
        <f t="shared" si="1"/>
        <v>0</v>
      </c>
      <c r="Q21" s="777" t="b">
        <f t="shared" ref="Q21:Q23" si="2">IF(OR(L21=$R$10,L21=$R$12),TRUE,FALSE)</f>
        <v>0</v>
      </c>
      <c r="R21" s="777"/>
      <c r="S21" s="777"/>
      <c r="T21" s="777"/>
    </row>
    <row r="22" spans="1:20" ht="38.1" customHeight="1">
      <c r="A22" s="757" t="s">
        <v>1323</v>
      </c>
      <c r="B22" s="1052" t="str">
        <f>Uebersetzung!D333</f>
        <v>Habitation (individuelle ou collective), pièce d'angle ou pièce avec 1 façade. Dalle en bois avec chape ciment (min. 6 cm d'épaisseur) ou anhydrite (min. 5 cm d'épaisseur):  - taux de surface vitrée &lt;40%</v>
      </c>
      <c r="C22" s="1095"/>
      <c r="D22" s="1095"/>
      <c r="E22" s="1095"/>
      <c r="F22" s="1095"/>
      <c r="G22" s="1095"/>
      <c r="H22" s="1095"/>
      <c r="I22" s="1095"/>
      <c r="J22" s="1095"/>
      <c r="K22" s="1053"/>
      <c r="L22" s="1057"/>
      <c r="M22" s="1058"/>
      <c r="N22" s="758"/>
      <c r="O22" s="761" t="b">
        <f t="shared" si="0"/>
        <v>1</v>
      </c>
      <c r="P22" s="758" t="b">
        <f t="shared" si="1"/>
        <v>0</v>
      </c>
      <c r="Q22" s="777" t="b">
        <f t="shared" si="2"/>
        <v>0</v>
      </c>
      <c r="R22" s="758"/>
      <c r="S22" s="758"/>
      <c r="T22" s="758"/>
    </row>
    <row r="23" spans="1:20" ht="38.1" customHeight="1">
      <c r="A23" s="757" t="s">
        <v>1324</v>
      </c>
      <c r="B23" s="1052" t="str">
        <f>Uebersetzung!D334</f>
        <v>Habitation (individuelle ou collective), pièce avec 1 façade, plafond en béton apparent à &gt;80% ou chape ciment (min. 6 cm d'épaisseur) ou anhydrite (min. 5 cm d'épaisseur); orientation sud et ombrage par un balcon (min. 1 m de profondeur):  - taux de surface vitrée &lt;100%</v>
      </c>
      <c r="C23" s="1095"/>
      <c r="D23" s="1095"/>
      <c r="E23" s="1095"/>
      <c r="F23" s="1095"/>
      <c r="G23" s="1095"/>
      <c r="H23" s="1095"/>
      <c r="I23" s="1095"/>
      <c r="J23" s="1095"/>
      <c r="K23" s="1053"/>
      <c r="L23" s="1057"/>
      <c r="M23" s="1058"/>
      <c r="N23" s="758"/>
      <c r="O23" s="761" t="b">
        <f t="shared" si="0"/>
        <v>1</v>
      </c>
      <c r="P23" s="758" t="b">
        <f t="shared" si="1"/>
        <v>0</v>
      </c>
      <c r="Q23" s="777" t="b">
        <f t="shared" si="2"/>
        <v>0</v>
      </c>
      <c r="R23" s="758" t="b">
        <f>IF(AND(L20=R12,L21=R12,L22=R12,L23=R12),FALSE,TRUE)</f>
        <v>1</v>
      </c>
      <c r="S23" s="758"/>
      <c r="T23" s="758"/>
    </row>
    <row r="24" spans="1:20" ht="3.95" customHeight="1">
      <c r="A24" s="757"/>
      <c r="B24" s="848"/>
      <c r="C24" s="848"/>
      <c r="D24" s="848"/>
      <c r="E24" s="848"/>
      <c r="F24" s="848"/>
      <c r="G24" s="848"/>
      <c r="H24" s="848"/>
      <c r="I24" s="848"/>
      <c r="J24" s="848"/>
      <c r="K24" s="848"/>
      <c r="L24" s="848"/>
      <c r="M24" s="848"/>
      <c r="N24" s="758"/>
      <c r="O24" s="762" t="b">
        <f>OR(O20:O23)</f>
        <v>1</v>
      </c>
      <c r="P24" s="762" t="b">
        <f>OR(P20:P23)</f>
        <v>0</v>
      </c>
      <c r="Q24" s="758" t="b">
        <f>AND(Q20,Q21,Q22,Q23,R23)</f>
        <v>0</v>
      </c>
    </row>
    <row r="25" spans="1:20" ht="38.1" customHeight="1">
      <c r="A25" s="757"/>
      <c r="B25" s="1061" t="str">
        <f>Uebersetzung!D338</f>
        <v>"n.a.":    non applicable. Un tel type de local n'existe pas.
"oui":     il y a un local de ce type et tous les critères sont remplis.
"non":    il y a un local de ce type mais tous les critères ne sont pas remplis (p.ex. taux de surface vitrée trop élevé).</v>
      </c>
      <c r="C25" s="1062"/>
      <c r="D25" s="1062"/>
      <c r="E25" s="1062"/>
      <c r="F25" s="1062"/>
      <c r="G25" s="1062"/>
      <c r="H25" s="1062"/>
      <c r="I25" s="1062"/>
      <c r="J25" s="1062"/>
      <c r="K25" s="1062"/>
      <c r="L25" s="1062"/>
      <c r="M25" s="1063"/>
      <c r="N25" s="758"/>
      <c r="O25" s="758"/>
      <c r="P25" s="758"/>
      <c r="Q25" s="758"/>
    </row>
    <row r="26" spans="1:20">
      <c r="A26" s="757"/>
      <c r="B26" s="851"/>
      <c r="C26" s="851"/>
      <c r="D26" s="851"/>
      <c r="E26" s="851"/>
      <c r="F26" s="851"/>
      <c r="G26" s="851"/>
      <c r="H26" s="851"/>
      <c r="I26" s="851"/>
      <c r="J26" s="851"/>
      <c r="K26" s="851"/>
      <c r="L26" s="851"/>
      <c r="M26" s="851"/>
      <c r="N26" s="758"/>
      <c r="O26" s="758"/>
      <c r="P26" s="758"/>
      <c r="Q26" s="758"/>
    </row>
    <row r="27" spans="1:20" ht="18" customHeight="1">
      <c r="A27" s="769"/>
      <c r="B27" s="870" t="str">
        <f>Uebersetzung!D591</f>
        <v>Pièces relatives à la demande de certification</v>
      </c>
      <c r="C27" s="89"/>
      <c r="D27" s="89"/>
      <c r="E27" s="881"/>
      <c r="F27" s="379" t="str">
        <f>Uebersetzung!D592</f>
        <v>(toutes les pièces doivent être annexées à la demande)</v>
      </c>
      <c r="G27" s="89"/>
      <c r="H27" s="89"/>
      <c r="I27" s="89"/>
      <c r="J27" s="833"/>
      <c r="K27" s="833"/>
      <c r="L27" s="852"/>
      <c r="M27" s="853"/>
      <c r="N27" s="758"/>
      <c r="O27" s="758"/>
      <c r="P27" s="758" t="s">
        <v>2887</v>
      </c>
      <c r="Q27" s="758"/>
    </row>
    <row r="28" spans="1:20" ht="18" customHeight="1">
      <c r="A28" s="769" t="s">
        <v>2932</v>
      </c>
      <c r="B28" s="864" t="str">
        <f>IF(enveloppe_életricité!F19=enveloppe_életricité!AT20,Uebersetzung!D593," ")</f>
        <v xml:space="preserve"> </v>
      </c>
      <c r="C28" s="376"/>
      <c r="D28" s="376"/>
      <c r="E28" s="376"/>
      <c r="F28" s="376"/>
      <c r="G28" s="376"/>
      <c r="H28" s="376"/>
      <c r="I28" s="376"/>
      <c r="J28" s="376"/>
      <c r="K28" s="893"/>
      <c r="L28" s="1066"/>
      <c r="M28" s="1067"/>
      <c r="N28" s="758"/>
      <c r="O28" s="758"/>
      <c r="P28" s="758" t="b">
        <f>IF(OR(L28=$R$10,enveloppe_életricité!$F$19&lt;&gt;enveloppe_életricité!$AT$20),TRUE,FALSE)</f>
        <v>1</v>
      </c>
      <c r="Q28" s="758"/>
    </row>
    <row r="29" spans="1:20" ht="18" customHeight="1">
      <c r="A29" s="769" t="s">
        <v>2933</v>
      </c>
      <c r="B29" s="794" t="str">
        <f>IF(enveloppe_életricité!F19=enveloppe_életricité!AT20,Uebersetzung!D594," ")</f>
        <v xml:space="preserve"> </v>
      </c>
      <c r="C29" s="894"/>
      <c r="D29" s="894"/>
      <c r="E29" s="894"/>
      <c r="F29" s="894"/>
      <c r="G29" s="894"/>
      <c r="H29" s="894"/>
      <c r="I29" s="894"/>
      <c r="J29" s="894"/>
      <c r="K29" s="895"/>
      <c r="L29" s="1064"/>
      <c r="M29" s="1065"/>
      <c r="N29" s="758"/>
      <c r="O29" s="758"/>
      <c r="P29" s="758" t="b">
        <f>IF(OR(L29=$R$10,enveloppe_életricité!$F$19&lt;&gt;enveloppe_életricité!$AT$20),TRUE,FALSE)</f>
        <v>1</v>
      </c>
      <c r="Q29" s="758"/>
    </row>
    <row r="30" spans="1:20" ht="18" customHeight="1">
      <c r="A30" s="769" t="s">
        <v>2548</v>
      </c>
      <c r="B30" s="867" t="str">
        <f>Uebersetzung!D641</f>
        <v>Calcul de la surface (en %) des parties isolées</v>
      </c>
      <c r="C30" s="81"/>
      <c r="D30" s="81"/>
      <c r="E30" s="81"/>
      <c r="F30" s="81"/>
      <c r="G30" s="81"/>
      <c r="H30" s="81"/>
      <c r="I30" s="81"/>
      <c r="J30" s="81"/>
      <c r="K30" s="896"/>
      <c r="L30" s="1072"/>
      <c r="M30" s="1073"/>
      <c r="N30" s="758"/>
      <c r="O30" s="758"/>
      <c r="P30" s="758" t="b">
        <f t="shared" ref="P30:P35" si="3">IF(L30=$R$10,TRUE,FALSE)</f>
        <v>0</v>
      </c>
      <c r="Q30" s="758"/>
    </row>
    <row r="31" spans="1:20" ht="18" customHeight="1">
      <c r="A31" s="769" t="s">
        <v>2934</v>
      </c>
      <c r="B31" s="794" t="str">
        <f>Uebersetzung!D595</f>
        <v>Plans à l'échelle 1:50 avec désignation des éléments de construction</v>
      </c>
      <c r="C31" s="897"/>
      <c r="D31" s="897"/>
      <c r="E31" s="897"/>
      <c r="F31" s="897"/>
      <c r="G31" s="897"/>
      <c r="H31" s="897"/>
      <c r="I31" s="894"/>
      <c r="J31" s="894"/>
      <c r="K31" s="895"/>
      <c r="L31" s="946"/>
      <c r="M31" s="948"/>
      <c r="N31" s="758"/>
      <c r="O31" s="758"/>
      <c r="P31" s="758" t="b">
        <f t="shared" si="3"/>
        <v>0</v>
      </c>
      <c r="Q31" s="758"/>
    </row>
    <row r="32" spans="1:20" ht="18" customHeight="1">
      <c r="A32" s="769" t="s">
        <v>1330</v>
      </c>
      <c r="B32" s="794" t="str">
        <f>Uebersetzung!D596</f>
        <v>Plan de situation</v>
      </c>
      <c r="C32" s="897"/>
      <c r="D32" s="897"/>
      <c r="E32" s="897"/>
      <c r="F32" s="897"/>
      <c r="G32" s="897"/>
      <c r="H32" s="897"/>
      <c r="I32" s="894"/>
      <c r="J32" s="894"/>
      <c r="K32" s="895"/>
      <c r="L32" s="946"/>
      <c r="M32" s="948"/>
      <c r="N32" s="758"/>
      <c r="O32" s="758"/>
      <c r="P32" s="758" t="b">
        <f t="shared" si="3"/>
        <v>0</v>
      </c>
      <c r="Q32" s="758"/>
    </row>
    <row r="33" spans="1:17" ht="18" customHeight="1">
      <c r="A33" s="769" t="s">
        <v>1332</v>
      </c>
      <c r="B33" s="794" t="str">
        <f>Uebersetzung!D597</f>
        <v>Version imprimée signée comprenant également les onglets « Enveloppe et électricité » et « Eté et documents »</v>
      </c>
      <c r="C33" s="897"/>
      <c r="D33" s="897"/>
      <c r="E33" s="897"/>
      <c r="F33" s="897"/>
      <c r="G33" s="897"/>
      <c r="H33" s="897"/>
      <c r="I33" s="894"/>
      <c r="J33" s="894"/>
      <c r="K33" s="895"/>
      <c r="L33" s="946"/>
      <c r="M33" s="948"/>
      <c r="N33" s="758"/>
      <c r="O33" s="758"/>
      <c r="P33" s="758" t="b">
        <f t="shared" si="3"/>
        <v>0</v>
      </c>
      <c r="Q33" s="758"/>
    </row>
    <row r="34" spans="1:17" ht="18" customHeight="1">
      <c r="A34" s="769" t="s">
        <v>1333</v>
      </c>
      <c r="B34" s="794" t="str">
        <f>Uebersetzung!D598</f>
        <v>Caractéristiques techniques de l'appareil de ventilation</v>
      </c>
      <c r="C34" s="897"/>
      <c r="D34" s="897"/>
      <c r="E34" s="897"/>
      <c r="F34" s="897"/>
      <c r="G34" s="897"/>
      <c r="H34" s="897"/>
      <c r="I34" s="894"/>
      <c r="J34" s="894"/>
      <c r="K34" s="895"/>
      <c r="L34" s="946"/>
      <c r="M34" s="948"/>
      <c r="N34" s="758"/>
      <c r="O34" s="758"/>
      <c r="P34" s="758" t="b">
        <f t="shared" si="3"/>
        <v>0</v>
      </c>
      <c r="Q34" s="758"/>
    </row>
    <row r="35" spans="1:17" ht="18" customHeight="1">
      <c r="A35" s="769" t="s">
        <v>2549</v>
      </c>
      <c r="B35" s="794" t="str">
        <f>Uebersetzung!D599</f>
        <v>Caractéristiques techniques de l'installation de production de chaleur</v>
      </c>
      <c r="C35" s="897"/>
      <c r="D35" s="897"/>
      <c r="E35" s="897"/>
      <c r="F35" s="897"/>
      <c r="G35" s="897"/>
      <c r="H35" s="897"/>
      <c r="I35" s="894"/>
      <c r="J35" s="894"/>
      <c r="K35" s="895"/>
      <c r="L35" s="946"/>
      <c r="M35" s="948"/>
      <c r="N35" s="758"/>
      <c r="O35" s="758"/>
      <c r="P35" s="758" t="b">
        <f t="shared" si="3"/>
        <v>0</v>
      </c>
      <c r="Q35" s="758"/>
    </row>
    <row r="36" spans="1:17" ht="18" customHeight="1">
      <c r="A36" s="769" t="s">
        <v>2935</v>
      </c>
      <c r="B36" s="794" t="str">
        <f>Uebersetzung!D600</f>
        <v>Photos de l'ouvrage / max. 10, taille max. 3 MB</v>
      </c>
      <c r="C36" s="897"/>
      <c r="D36" s="897"/>
      <c r="E36" s="897"/>
      <c r="F36" s="897"/>
      <c r="G36" s="897"/>
      <c r="H36" s="897"/>
      <c r="I36" s="894"/>
      <c r="J36" s="894"/>
      <c r="K36" s="895"/>
      <c r="L36" s="946"/>
      <c r="M36" s="948"/>
      <c r="N36" s="758"/>
      <c r="O36" s="758"/>
      <c r="P36" s="758" t="b">
        <f>TRUE</f>
        <v>1</v>
      </c>
      <c r="Q36" s="758"/>
    </row>
    <row r="37" spans="1:17" ht="18" customHeight="1">
      <c r="A37" s="769" t="s">
        <v>2936</v>
      </c>
      <c r="B37" s="794" t="str">
        <f>IF(enveloppe_életricité!F19&lt;&gt;enveloppe_életricité!AT20,Uebersetzung!D623," ")</f>
        <v>Certificat énergétique cantonal des bâtiments</v>
      </c>
      <c r="C37" s="81"/>
      <c r="D37" s="81"/>
      <c r="E37" s="81"/>
      <c r="F37" s="81"/>
      <c r="G37" s="81"/>
      <c r="H37" s="81"/>
      <c r="I37" s="81"/>
      <c r="J37" s="81"/>
      <c r="K37" s="81"/>
      <c r="L37" s="1064"/>
      <c r="M37" s="1065"/>
      <c r="N37" s="758"/>
      <c r="O37" s="758"/>
      <c r="P37" s="758" t="b">
        <f>IF(OR(enveloppe_életricité!F19=enveloppe_életricité!AT20,été_documents!L37=été_documents!R10),TRUE,FALSE)</f>
        <v>0</v>
      </c>
      <c r="Q37" s="758"/>
    </row>
    <row r="38" spans="1:17" ht="18" customHeight="1">
      <c r="A38" s="769" t="s">
        <v>2937</v>
      </c>
      <c r="B38" s="792" t="str">
        <f>Uebersetzung!D601</f>
        <v>Autres documents (facultatif):</v>
      </c>
      <c r="C38" s="898"/>
      <c r="D38" s="1074"/>
      <c r="E38" s="1074"/>
      <c r="F38" s="1074"/>
      <c r="G38" s="1074"/>
      <c r="H38" s="1074"/>
      <c r="I38" s="1074"/>
      <c r="J38" s="1074"/>
      <c r="K38" s="1075"/>
      <c r="L38" s="1070"/>
      <c r="M38" s="1071"/>
      <c r="N38" s="758"/>
      <c r="O38" s="758"/>
      <c r="P38" s="758"/>
      <c r="Q38" s="758"/>
    </row>
    <row r="39" spans="1:17" ht="27.95" customHeight="1">
      <c r="A39" s="769"/>
      <c r="N39" s="758"/>
      <c r="O39" s="758"/>
      <c r="P39" s="758"/>
      <c r="Q39" s="758"/>
    </row>
    <row r="40" spans="1:17" ht="27.95" customHeight="1">
      <c r="A40" s="769"/>
      <c r="B40" s="1049" t="e">
        <f>IF(AND(enveloppe_életricité!AT17,enveloppe_életricité!AU17,enveloppe_életricité!AV17,enveloppe_életricité!AW17,enveloppe_életricité!AP58,été_documents!Q24),Uebersetzung!D617,Uebersetzung!D618)</f>
        <v>#N/A</v>
      </c>
      <c r="C40" s="1050"/>
      <c r="D40" s="1050"/>
      <c r="E40" s="1050"/>
      <c r="F40" s="1050"/>
      <c r="G40" s="1050"/>
      <c r="H40" s="1050"/>
      <c r="I40" s="1050"/>
      <c r="J40" s="1050"/>
      <c r="K40" s="1050"/>
      <c r="L40" s="1050"/>
      <c r="M40" s="1051"/>
      <c r="N40" s="758"/>
      <c r="O40" s="758"/>
      <c r="P40" s="758"/>
      <c r="Q40" s="758"/>
    </row>
    <row r="41" spans="1:17" ht="27.95" customHeight="1">
      <c r="A41" s="757"/>
      <c r="B41" s="770"/>
      <c r="C41" s="770"/>
      <c r="D41" s="770"/>
      <c r="E41" s="770"/>
      <c r="F41" s="770"/>
      <c r="G41" s="770"/>
      <c r="H41" s="770"/>
      <c r="I41" s="770"/>
      <c r="J41" s="770"/>
      <c r="K41" s="770"/>
      <c r="L41" s="770"/>
      <c r="M41" s="770"/>
      <c r="N41" s="758"/>
      <c r="O41" s="758"/>
      <c r="P41" s="758"/>
      <c r="Q41" s="758"/>
    </row>
    <row r="42" spans="1:17" ht="27.95" customHeight="1">
      <c r="A42" s="757"/>
      <c r="B42" s="1069" t="str">
        <f>IF(AND(P28:P37)," ",Uebersetzung!D631)</f>
        <v>Pièces annexes incomplètes</v>
      </c>
      <c r="C42" s="1069"/>
      <c r="D42" s="1069"/>
      <c r="E42" s="1069"/>
      <c r="F42" s="1069"/>
      <c r="G42" s="1069"/>
      <c r="H42" s="1069"/>
      <c r="I42" s="1069"/>
      <c r="J42" s="1069"/>
      <c r="K42" s="1069"/>
      <c r="L42" s="1069"/>
      <c r="M42" s="1069"/>
      <c r="N42" s="758"/>
      <c r="O42" s="758"/>
      <c r="P42" s="758"/>
      <c r="Q42" s="758"/>
    </row>
    <row r="43" spans="1:17">
      <c r="B43" s="773"/>
      <c r="C43" s="548"/>
      <c r="D43" s="548"/>
      <c r="E43" s="548"/>
      <c r="F43" s="773"/>
      <c r="G43" s="773"/>
      <c r="H43" s="773"/>
      <c r="I43" s="548"/>
      <c r="J43" s="18"/>
      <c r="K43" s="18"/>
      <c r="L43" s="18"/>
      <c r="M43" s="18"/>
    </row>
    <row r="44" spans="1:17">
      <c r="B44" s="773"/>
      <c r="C44" s="548"/>
      <c r="D44" s="548"/>
      <c r="E44" s="548"/>
      <c r="F44" s="773"/>
      <c r="G44" s="773"/>
      <c r="H44" s="773"/>
      <c r="I44" s="548"/>
      <c r="J44" s="18"/>
      <c r="K44" s="18"/>
      <c r="L44" s="18"/>
      <c r="M44" s="18"/>
    </row>
    <row r="45" spans="1:17">
      <c r="B45" s="773"/>
      <c r="C45" s="548"/>
      <c r="D45" s="548"/>
      <c r="E45" s="548"/>
      <c r="F45" s="773"/>
      <c r="G45" s="773"/>
      <c r="H45" s="773"/>
      <c r="I45" s="548"/>
      <c r="J45" s="18"/>
      <c r="K45" s="18"/>
      <c r="L45" s="18"/>
      <c r="M45" s="18"/>
    </row>
    <row r="46" spans="1:17">
      <c r="B46" s="548"/>
      <c r="C46" s="548"/>
      <c r="D46" s="548"/>
      <c r="E46" s="548"/>
      <c r="F46" s="548"/>
      <c r="G46" s="548"/>
      <c r="H46" s="548"/>
      <c r="I46" s="548"/>
      <c r="J46" s="18"/>
      <c r="K46" s="18"/>
      <c r="L46" s="18"/>
      <c r="M46" s="18"/>
    </row>
    <row r="47" spans="1:17">
      <c r="B47" s="18"/>
      <c r="C47" s="18"/>
      <c r="D47" s="18"/>
      <c r="E47" s="18"/>
      <c r="F47" s="18"/>
      <c r="G47" s="18"/>
      <c r="H47" s="18"/>
      <c r="I47" s="18"/>
      <c r="J47" s="18"/>
      <c r="K47" s="18"/>
      <c r="L47" s="18"/>
      <c r="M47" s="18"/>
    </row>
    <row r="48" spans="1:17">
      <c r="B48" s="772"/>
      <c r="C48" s="18"/>
      <c r="D48" s="18"/>
      <c r="E48" s="18"/>
      <c r="F48" s="18"/>
      <c r="G48" s="18"/>
      <c r="H48" s="18"/>
      <c r="I48" s="18"/>
      <c r="J48" s="18"/>
      <c r="K48" s="18"/>
      <c r="L48" s="18"/>
      <c r="M48" s="18"/>
    </row>
    <row r="49" spans="1:22">
      <c r="B49" s="1068"/>
      <c r="C49" s="1068"/>
      <c r="D49" s="1068"/>
      <c r="E49" s="1068"/>
      <c r="F49" s="1068"/>
      <c r="G49" s="1068"/>
      <c r="H49" s="1068"/>
      <c r="I49" s="1068"/>
      <c r="J49" s="1068"/>
      <c r="K49" s="1068"/>
      <c r="L49" s="1068"/>
      <c r="M49" s="1068"/>
    </row>
    <row r="50" spans="1:22">
      <c r="B50" s="1068"/>
      <c r="C50" s="1068"/>
      <c r="D50" s="1068"/>
      <c r="E50" s="1068"/>
      <c r="F50" s="1068"/>
      <c r="G50" s="1068"/>
      <c r="H50" s="1068"/>
      <c r="I50" s="1068"/>
      <c r="J50" s="1068"/>
      <c r="K50" s="1068"/>
      <c r="L50" s="1068"/>
      <c r="M50" s="1068"/>
    </row>
    <row r="51" spans="1:22">
      <c r="B51" s="1068"/>
      <c r="C51" s="1068"/>
      <c r="D51" s="1068"/>
      <c r="E51" s="1068"/>
      <c r="F51" s="1068"/>
      <c r="G51" s="1068"/>
      <c r="H51" s="1068"/>
      <c r="I51" s="1068"/>
      <c r="J51" s="1068"/>
      <c r="K51" s="1068"/>
      <c r="L51" s="1068"/>
      <c r="M51" s="1068"/>
    </row>
    <row r="52" spans="1:22" ht="24" customHeight="1"/>
    <row r="53" spans="1:22">
      <c r="B53" s="1068"/>
      <c r="C53" s="1068"/>
      <c r="D53" s="1068"/>
      <c r="E53" s="1068"/>
      <c r="F53" s="1068"/>
      <c r="G53" s="1068"/>
      <c r="H53" s="1068"/>
      <c r="I53" s="1068"/>
      <c r="J53" s="1068"/>
      <c r="K53" s="1068"/>
      <c r="L53" s="1068"/>
      <c r="M53" s="1068"/>
    </row>
    <row r="56" spans="1:22" ht="32.1" customHeight="1"/>
    <row r="57" spans="1:22" hidden="1"/>
    <row r="58" spans="1:22" hidden="1">
      <c r="A58" s="643" t="s">
        <v>1310</v>
      </c>
      <c r="B58" s="1090" t="str">
        <f>Uebersetzung!D322</f>
        <v>Variante 1: Evaluation globale de cas standards pour les affectations suivantes: habitation, bureau individuel ou paysager, salle de réunion et dépôt (sans refroidissement)</v>
      </c>
      <c r="C58" s="1090"/>
      <c r="D58" s="1090"/>
      <c r="E58" s="1090"/>
      <c r="F58" s="1090"/>
      <c r="G58" s="1090"/>
      <c r="H58" s="1090"/>
      <c r="I58" s="1090"/>
      <c r="J58" s="1090"/>
      <c r="K58" s="1090"/>
      <c r="L58" s="1090"/>
      <c r="M58" s="212"/>
      <c r="N58" s="211"/>
      <c r="O58" s="211"/>
      <c r="P58" s="211"/>
      <c r="Q58" s="264">
        <v>1</v>
      </c>
      <c r="R58" s="458">
        <v>1</v>
      </c>
    </row>
    <row r="59" spans="1:22" hidden="1">
      <c r="A59" s="645"/>
      <c r="B59" s="1077" t="str">
        <f>Uebersetzung!D323</f>
        <v>L'évaluation globale est valable pour les zones dans lesquelles les conditions suivantes sont respectées pour tous les locaux:</v>
      </c>
      <c r="C59" s="1078"/>
      <c r="D59" s="1078"/>
      <c r="E59" s="1078"/>
      <c r="F59" s="1078"/>
      <c r="G59" s="1078"/>
      <c r="H59" s="1078"/>
      <c r="I59" s="1078"/>
      <c r="J59" s="1078"/>
      <c r="K59" s="1078"/>
      <c r="L59" s="1079"/>
      <c r="M59" s="213"/>
      <c r="N59" s="214" t="str">
        <f>Uebersetzung!D27</f>
        <v>n.a.</v>
      </c>
      <c r="O59" s="215" t="str">
        <f>N59</f>
        <v>n.a.</v>
      </c>
      <c r="P59" s="215" t="str">
        <f>Uebersetzung!D350</f>
        <v>Volets roulants</v>
      </c>
      <c r="Q59" s="216">
        <v>2</v>
      </c>
      <c r="R59" s="217">
        <v>4</v>
      </c>
    </row>
    <row r="60" spans="1:22" hidden="1">
      <c r="B60" s="1099" t="str">
        <f>Uebersetzung!D324</f>
        <v>- pas de puits de lumière ou de fenêtre de toiture avec plus de 0.5 m² de surface vitrée; les surfaces plus grandes peuvent
  être converties en surfaces verticales (voir Aide à l'utilisation)</v>
      </c>
      <c r="C60" s="1100"/>
      <c r="D60" s="1100"/>
      <c r="E60" s="1100"/>
      <c r="F60" s="1100"/>
      <c r="G60" s="1100"/>
      <c r="H60" s="1100"/>
      <c r="I60" s="1100"/>
      <c r="J60" s="1100"/>
      <c r="K60" s="1100"/>
      <c r="L60" s="1101"/>
      <c r="M60" s="218"/>
      <c r="N60" s="219" t="str">
        <f>Uebersetzung!D25</f>
        <v>oui</v>
      </c>
      <c r="O60" s="220" t="str">
        <f>N60</f>
        <v>oui</v>
      </c>
      <c r="P60" s="220" t="str">
        <f>Uebersetzung!D351</f>
        <v>Stores à lamelles</v>
      </c>
      <c r="Q60" s="264">
        <v>3</v>
      </c>
      <c r="R60" s="458">
        <v>2</v>
      </c>
    </row>
    <row r="61" spans="1:22" hidden="1">
      <c r="B61" s="1099" t="str">
        <f>Uebersetzung!D325</f>
        <v>- protection solaire extérieure mobile avec volet roulant ou store à lamelles (p.ex. Modules Minergie);</v>
      </c>
      <c r="C61" s="1102"/>
      <c r="D61" s="1102"/>
      <c r="E61" s="1102"/>
      <c r="F61" s="1102"/>
      <c r="G61" s="1102"/>
      <c r="H61" s="1102"/>
      <c r="I61" s="1102"/>
      <c r="J61" s="1102"/>
      <c r="K61" s="1102"/>
      <c r="L61" s="1103"/>
      <c r="M61" s="218"/>
      <c r="N61" s="219" t="str">
        <f>Uebersetzung!D26</f>
        <v>non</v>
      </c>
      <c r="O61" s="220" t="str">
        <f>N61</f>
        <v>non</v>
      </c>
      <c r="P61" s="220" t="str">
        <f>Uebersetzung!D352</f>
        <v>Module Minergie</v>
      </c>
      <c r="Q61" s="264">
        <v>4</v>
      </c>
      <c r="R61" s="458">
        <v>3</v>
      </c>
    </row>
    <row r="62" spans="1:22" hidden="1">
      <c r="B62" s="1104" t="str">
        <f>Uebersetzung!D326</f>
        <v>- rafraîchissement nocturne possible grâce aux fenêtres;</v>
      </c>
      <c r="C62" s="1105"/>
      <c r="D62" s="1105"/>
      <c r="E62" s="1105"/>
      <c r="F62" s="1105"/>
      <c r="G62" s="1105"/>
      <c r="H62" s="1105"/>
      <c r="I62" s="1105"/>
      <c r="J62" s="1105"/>
      <c r="K62" s="1105"/>
      <c r="L62" s="1106"/>
      <c r="M62" s="218"/>
      <c r="N62" s="221"/>
      <c r="O62" s="222"/>
      <c r="P62" s="222" t="str">
        <f>Uebersetzung!D353</f>
        <v>Autres</v>
      </c>
      <c r="Q62" s="264">
        <v>5</v>
      </c>
      <c r="R62" s="206"/>
    </row>
    <row r="63" spans="1:22" ht="15" hidden="1" customHeight="1">
      <c r="B63" s="1107" t="str">
        <f>Uebersetzung!D327</f>
        <v>- charges thermiques internes pas plus élevées que la valeur standard figurant dans le cahier technique SIA 2024.</v>
      </c>
      <c r="C63" s="1108"/>
      <c r="D63" s="1108"/>
      <c r="E63" s="1108"/>
      <c r="F63" s="1108"/>
      <c r="G63" s="1108"/>
      <c r="H63" s="1108"/>
      <c r="I63" s="1108"/>
      <c r="J63" s="1108"/>
      <c r="K63" s="1108"/>
      <c r="L63" s="1109"/>
      <c r="M63" s="223"/>
      <c r="N63" s="211"/>
      <c r="O63" s="211"/>
      <c r="P63" s="211"/>
      <c r="Q63" s="211"/>
      <c r="R63" s="206"/>
      <c r="S63" s="224" t="s">
        <v>1308</v>
      </c>
      <c r="T63" s="225"/>
      <c r="U63" s="225"/>
      <c r="V63" s="226"/>
    </row>
    <row r="64" spans="1:22" ht="15" hidden="1" customHeight="1">
      <c r="B64" s="227"/>
      <c r="C64" s="228"/>
      <c r="D64" s="228"/>
      <c r="E64" s="228"/>
      <c r="F64" s="228"/>
      <c r="G64" s="228"/>
      <c r="H64" s="229"/>
      <c r="I64" s="230">
        <v>1</v>
      </c>
      <c r="J64" s="230">
        <v>2</v>
      </c>
      <c r="K64" s="230">
        <v>3</v>
      </c>
      <c r="L64" s="231">
        <v>4</v>
      </c>
      <c r="M64" s="232"/>
      <c r="N64" s="233">
        <v>1</v>
      </c>
      <c r="O64" s="234">
        <v>2</v>
      </c>
      <c r="P64" s="234">
        <v>3</v>
      </c>
      <c r="Q64" s="235">
        <v>4</v>
      </c>
      <c r="R64" s="206"/>
      <c r="S64" s="236">
        <v>1</v>
      </c>
      <c r="T64" s="237">
        <v>2</v>
      </c>
      <c r="U64" s="237">
        <v>3</v>
      </c>
      <c r="V64" s="238">
        <v>4</v>
      </c>
    </row>
    <row r="65" spans="1:22" ht="15" hidden="1" customHeight="1">
      <c r="B65" s="239" t="str">
        <f>Uebersetzung!D328</f>
        <v>Les locaux de cette zone satisfont-ils les critères?</v>
      </c>
      <c r="C65" s="204"/>
      <c r="D65" s="204"/>
      <c r="E65" s="204"/>
      <c r="F65" s="204"/>
      <c r="G65" s="204"/>
      <c r="H65" s="204"/>
      <c r="I65" s="240"/>
      <c r="J65" s="240"/>
      <c r="K65" s="240"/>
      <c r="L65" s="241"/>
      <c r="M65" s="232"/>
      <c r="N65" s="242"/>
      <c r="O65" s="242"/>
      <c r="P65" s="242"/>
      <c r="Q65" s="243"/>
      <c r="R65" s="206"/>
      <c r="S65" s="244"/>
      <c r="T65" s="245"/>
      <c r="U65" s="245"/>
      <c r="V65" s="246"/>
    </row>
    <row r="66" spans="1:22" ht="15" hidden="1" customHeight="1">
      <c r="A66" s="1076" t="s">
        <v>2546</v>
      </c>
      <c r="B66" s="1110" t="str">
        <f>Uebersetzung!D329</f>
        <v>Protection solaire extérieure mobile. A déclarer ici sous "autres":</v>
      </c>
      <c r="C66" s="1111"/>
      <c r="D66" s="1111"/>
      <c r="E66" s="1111"/>
      <c r="F66" s="1111"/>
      <c r="G66" s="1111"/>
      <c r="H66" s="1112"/>
      <c r="I66" s="1113"/>
      <c r="J66" s="1113"/>
      <c r="K66" s="1113"/>
      <c r="L66" s="1115"/>
      <c r="M66" s="247"/>
      <c r="N66" s="248" t="b">
        <f>OR(I66=$P$59,I66=$P$60,I66=$P$61,I66=$P$62)</f>
        <v>0</v>
      </c>
      <c r="O66" s="249" t="b">
        <f>OR(J66=$P$59,J66=$P$60,J66=$P$61,J66=$P$62)</f>
        <v>0</v>
      </c>
      <c r="P66" s="249" t="b">
        <f>OR(K66=$P$59,K66=$P$60,K66=$P$61,K66=$P$62)</f>
        <v>0</v>
      </c>
      <c r="Q66" s="219" t="b">
        <f>OR(L66=$P$59,L66=$P$60,L66=$P$61,L66=$P$62)</f>
        <v>0</v>
      </c>
      <c r="R66" s="206"/>
      <c r="S66" s="250"/>
      <c r="T66" s="251"/>
      <c r="U66" s="251"/>
      <c r="V66" s="252"/>
    </row>
    <row r="67" spans="1:22" ht="15" hidden="1" customHeight="1">
      <c r="A67" s="1076"/>
      <c r="B67" s="1117"/>
      <c r="C67" s="1118"/>
      <c r="D67" s="1118"/>
      <c r="E67" s="1118"/>
      <c r="F67" s="1118"/>
      <c r="G67" s="1118"/>
      <c r="H67" s="253"/>
      <c r="I67" s="1114"/>
      <c r="J67" s="1114"/>
      <c r="K67" s="1114"/>
      <c r="L67" s="1116"/>
      <c r="M67" s="223"/>
      <c r="N67" s="248"/>
      <c r="O67" s="249"/>
      <c r="P67" s="249"/>
      <c r="Q67" s="219"/>
      <c r="R67" s="206"/>
      <c r="S67" s="250"/>
      <c r="T67" s="251"/>
      <c r="U67" s="251"/>
      <c r="V67" s="252"/>
    </row>
    <row r="68" spans="1:22" ht="35.1" hidden="1" customHeight="1">
      <c r="A68" s="643" t="s">
        <v>2547</v>
      </c>
      <c r="B68" s="1119" t="str">
        <f>Uebersetzung!D331</f>
        <v>Habitation (individuelle ou collective), pièce avec 1 façade et plafond en béton apparent à &gt;80%: - taux de surface vitrée &lt;70%</v>
      </c>
      <c r="C68" s="1120"/>
      <c r="D68" s="1120"/>
      <c r="E68" s="1120"/>
      <c r="F68" s="1120"/>
      <c r="G68" s="1120"/>
      <c r="H68" s="1121"/>
      <c r="I68" s="256"/>
      <c r="J68" s="254"/>
      <c r="K68" s="254"/>
      <c r="L68" s="255"/>
      <c r="M68" s="232"/>
      <c r="N68" s="248" t="b">
        <f t="shared" ref="N68:Q71" si="4">OR(I68=$N$59,I68=$N$60)</f>
        <v>0</v>
      </c>
      <c r="O68" s="249" t="b">
        <f t="shared" si="4"/>
        <v>0</v>
      </c>
      <c r="P68" s="249" t="b">
        <f t="shared" si="4"/>
        <v>0</v>
      </c>
      <c r="Q68" s="219" t="b">
        <f t="shared" si="4"/>
        <v>0</v>
      </c>
      <c r="R68" s="206"/>
      <c r="S68" s="250" t="b">
        <f t="shared" ref="S68:V71" si="5">I68&lt;&gt;$N$59</f>
        <v>1</v>
      </c>
      <c r="T68" s="251" t="b">
        <f t="shared" si="5"/>
        <v>1</v>
      </c>
      <c r="U68" s="251" t="b">
        <f t="shared" si="5"/>
        <v>1</v>
      </c>
      <c r="V68" s="252" t="b">
        <f t="shared" si="5"/>
        <v>1</v>
      </c>
    </row>
    <row r="69" spans="1:22" ht="35.1" hidden="1" customHeight="1">
      <c r="A69" s="643" t="s">
        <v>1320</v>
      </c>
      <c r="B69" s="1097" t="str">
        <f>Uebersetzung!D332</f>
        <v>Habitation (individuelle ou collective), pièce d'angle avec plafond en béton apparent à &gt;80%: - taux de surface vitrée de chaque façade &lt;50%</v>
      </c>
      <c r="C69" s="1098"/>
      <c r="D69" s="1098"/>
      <c r="E69" s="1098"/>
      <c r="F69" s="1098"/>
      <c r="G69" s="1098"/>
      <c r="H69" s="1122"/>
      <c r="I69" s="256"/>
      <c r="J69" s="256"/>
      <c r="K69" s="256"/>
      <c r="L69" s="257"/>
      <c r="M69" s="232"/>
      <c r="N69" s="248" t="b">
        <f t="shared" si="4"/>
        <v>0</v>
      </c>
      <c r="O69" s="249" t="b">
        <f t="shared" si="4"/>
        <v>0</v>
      </c>
      <c r="P69" s="249" t="b">
        <f t="shared" si="4"/>
        <v>0</v>
      </c>
      <c r="Q69" s="219" t="b">
        <f t="shared" si="4"/>
        <v>0</v>
      </c>
      <c r="R69" s="206"/>
      <c r="S69" s="250" t="b">
        <f t="shared" si="5"/>
        <v>1</v>
      </c>
      <c r="T69" s="251" t="b">
        <f t="shared" si="5"/>
        <v>1</v>
      </c>
      <c r="U69" s="251" t="b">
        <f t="shared" si="5"/>
        <v>1</v>
      </c>
      <c r="V69" s="252" t="b">
        <f t="shared" si="5"/>
        <v>1</v>
      </c>
    </row>
    <row r="70" spans="1:22" ht="35.1" hidden="1" customHeight="1">
      <c r="A70" s="643" t="s">
        <v>1323</v>
      </c>
      <c r="B70" s="1097" t="str">
        <f>Uebersetzung!D333</f>
        <v>Habitation (individuelle ou collective), pièce d'angle ou pièce avec 1 façade. Dalle en bois avec chape ciment (min. 6 cm d'épaisseur) ou anhydrite (min. 5 cm d'épaisseur):  - taux de surface vitrée &lt;40%</v>
      </c>
      <c r="C70" s="1098"/>
      <c r="D70" s="1098"/>
      <c r="E70" s="1098"/>
      <c r="F70" s="1098"/>
      <c r="G70" s="1098"/>
      <c r="H70" s="1122"/>
      <c r="I70" s="256"/>
      <c r="J70" s="256"/>
      <c r="K70" s="256"/>
      <c r="L70" s="257"/>
      <c r="M70" s="232"/>
      <c r="N70" s="248" t="b">
        <f t="shared" si="4"/>
        <v>0</v>
      </c>
      <c r="O70" s="249" t="b">
        <f t="shared" si="4"/>
        <v>0</v>
      </c>
      <c r="P70" s="249" t="b">
        <f t="shared" si="4"/>
        <v>0</v>
      </c>
      <c r="Q70" s="219" t="b">
        <f t="shared" si="4"/>
        <v>0</v>
      </c>
      <c r="R70" s="206"/>
      <c r="S70" s="250" t="b">
        <f t="shared" si="5"/>
        <v>1</v>
      </c>
      <c r="T70" s="251" t="b">
        <f t="shared" si="5"/>
        <v>1</v>
      </c>
      <c r="U70" s="251" t="b">
        <f t="shared" si="5"/>
        <v>1</v>
      </c>
      <c r="V70" s="252" t="b">
        <f t="shared" si="5"/>
        <v>1</v>
      </c>
    </row>
    <row r="71" spans="1:22" ht="35.1" hidden="1" customHeight="1">
      <c r="A71" s="643" t="s">
        <v>1324</v>
      </c>
      <c r="B71" s="1097" t="str">
        <f>Uebersetzung!D334</f>
        <v>Habitation (individuelle ou collective), pièce avec 1 façade, plafond en béton apparent à &gt;80% ou chape ciment (min. 6 cm d'épaisseur) ou anhydrite (min. 5 cm d'épaisseur); orientation sud et ombrage par un balcon (min. 1 m de profondeur):  - taux de surface vitrée &lt;100%</v>
      </c>
      <c r="C71" s="1098"/>
      <c r="D71" s="1098"/>
      <c r="E71" s="1098"/>
      <c r="F71" s="1098"/>
      <c r="G71" s="1098"/>
      <c r="H71" s="1122"/>
      <c r="I71" s="256"/>
      <c r="J71" s="256"/>
      <c r="K71" s="256"/>
      <c r="L71" s="257"/>
      <c r="M71" s="232"/>
      <c r="N71" s="248" t="b">
        <f t="shared" si="4"/>
        <v>0</v>
      </c>
      <c r="O71" s="249" t="b">
        <f t="shared" si="4"/>
        <v>0</v>
      </c>
      <c r="P71" s="249" t="b">
        <f t="shared" si="4"/>
        <v>0</v>
      </c>
      <c r="Q71" s="219" t="b">
        <f t="shared" si="4"/>
        <v>0</v>
      </c>
      <c r="R71" s="206"/>
      <c r="S71" s="250" t="b">
        <f t="shared" si="5"/>
        <v>1</v>
      </c>
      <c r="T71" s="251" t="b">
        <f t="shared" si="5"/>
        <v>1</v>
      </c>
      <c r="U71" s="251" t="b">
        <f t="shared" si="5"/>
        <v>1</v>
      </c>
      <c r="V71" s="252" t="b">
        <f t="shared" si="5"/>
        <v>1</v>
      </c>
    </row>
    <row r="72" spans="1:22" ht="35.1" hidden="1" customHeight="1">
      <c r="A72" s="643" t="s">
        <v>1325</v>
      </c>
      <c r="B72" s="1097" t="str">
        <f>Uebersetzung!D335</f>
        <v>Bureau individuel ou paysager, salle de réunion avec 1 façade et plafond en béton apparent à &gt;80%: - taux de surface vitrée &lt;50% et commande automatique des protections solaires</v>
      </c>
      <c r="C72" s="1098"/>
      <c r="D72" s="1098"/>
      <c r="E72" s="1098"/>
      <c r="F72" s="1098"/>
      <c r="G72" s="1098"/>
      <c r="H72" s="1098"/>
      <c r="I72" s="256"/>
      <c r="J72" s="256"/>
      <c r="K72" s="256"/>
      <c r="L72" s="257"/>
      <c r="M72" s="232"/>
      <c r="N72" s="248" t="e">
        <f t="shared" ref="N72:Q74" si="6">OR(I72=$N$59,I72=$N$60,minergiea)</f>
        <v>#REF!</v>
      </c>
      <c r="O72" s="249" t="e">
        <f t="shared" si="6"/>
        <v>#REF!</v>
      </c>
      <c r="P72" s="249" t="e">
        <f t="shared" si="6"/>
        <v>#REF!</v>
      </c>
      <c r="Q72" s="219" t="e">
        <f t="shared" si="6"/>
        <v>#REF!</v>
      </c>
      <c r="R72" s="206"/>
      <c r="S72" s="250" t="e">
        <f t="shared" ref="S72:V74" si="7">IF(minergiea,FALSE,I72&lt;&gt;$N$59)</f>
        <v>#REF!</v>
      </c>
      <c r="T72" s="251" t="e">
        <f t="shared" si="7"/>
        <v>#REF!</v>
      </c>
      <c r="U72" s="251" t="e">
        <f t="shared" si="7"/>
        <v>#REF!</v>
      </c>
      <c r="V72" s="252" t="e">
        <f t="shared" si="7"/>
        <v>#REF!</v>
      </c>
    </row>
    <row r="73" spans="1:22" ht="35.1" hidden="1" customHeight="1">
      <c r="A73" s="643" t="s">
        <v>1326</v>
      </c>
      <c r="B73" s="1097" t="str">
        <f>Uebersetzung!D336</f>
        <v>Bureau individuel ou paysager, salle de réunion avec 2 façades (pièce d'angle) et plafond en béton apparent à &gt;80%: - taux de surface vitrée &lt;35% et commande automatique des protections solaires</v>
      </c>
      <c r="C73" s="1098"/>
      <c r="D73" s="1098"/>
      <c r="E73" s="1098"/>
      <c r="F73" s="1098"/>
      <c r="G73" s="1098"/>
      <c r="H73" s="1098"/>
      <c r="I73" s="256"/>
      <c r="J73" s="256"/>
      <c r="K73" s="256"/>
      <c r="L73" s="257"/>
      <c r="M73" s="232"/>
      <c r="N73" s="248" t="e">
        <f t="shared" si="6"/>
        <v>#REF!</v>
      </c>
      <c r="O73" s="249" t="e">
        <f t="shared" si="6"/>
        <v>#REF!</v>
      </c>
      <c r="P73" s="249" t="e">
        <f t="shared" si="6"/>
        <v>#REF!</v>
      </c>
      <c r="Q73" s="219" t="e">
        <f t="shared" si="6"/>
        <v>#REF!</v>
      </c>
      <c r="R73" s="206"/>
      <c r="S73" s="250" t="e">
        <f t="shared" si="7"/>
        <v>#REF!</v>
      </c>
      <c r="T73" s="251" t="e">
        <f t="shared" si="7"/>
        <v>#REF!</v>
      </c>
      <c r="U73" s="251" t="e">
        <f t="shared" si="7"/>
        <v>#REF!</v>
      </c>
      <c r="V73" s="252" t="e">
        <f t="shared" si="7"/>
        <v>#REF!</v>
      </c>
    </row>
    <row r="74" spans="1:22" ht="24.95" hidden="1" customHeight="1">
      <c r="A74" s="643" t="s">
        <v>1327</v>
      </c>
      <c r="B74" s="1097" t="str">
        <f>Uebersetzung!D337</f>
        <v>Dépôt avec faibles charges thermiques internes</v>
      </c>
      <c r="C74" s="1098"/>
      <c r="D74" s="1098"/>
      <c r="E74" s="1098"/>
      <c r="F74" s="1098"/>
      <c r="G74" s="1098"/>
      <c r="H74" s="1098"/>
      <c r="I74" s="256" t="s">
        <v>72</v>
      </c>
      <c r="J74" s="256"/>
      <c r="K74" s="256"/>
      <c r="L74" s="257"/>
      <c r="M74" s="232"/>
      <c r="N74" s="248" t="e">
        <f t="shared" si="6"/>
        <v>#REF!</v>
      </c>
      <c r="O74" s="249" t="e">
        <f t="shared" si="6"/>
        <v>#REF!</v>
      </c>
      <c r="P74" s="249" t="e">
        <f t="shared" si="6"/>
        <v>#REF!</v>
      </c>
      <c r="Q74" s="219" t="e">
        <f t="shared" si="6"/>
        <v>#REF!</v>
      </c>
      <c r="R74" s="206"/>
      <c r="S74" s="250" t="e">
        <f t="shared" si="7"/>
        <v>#REF!</v>
      </c>
      <c r="T74" s="251" t="e">
        <f t="shared" si="7"/>
        <v>#REF!</v>
      </c>
      <c r="U74" s="251" t="e">
        <f t="shared" si="7"/>
        <v>#REF!</v>
      </c>
      <c r="V74" s="252" t="e">
        <f t="shared" si="7"/>
        <v>#REF!</v>
      </c>
    </row>
    <row r="75" spans="1:22" ht="24.95" hidden="1" customHeight="1">
      <c r="B75" s="1133"/>
      <c r="C75" s="1129"/>
      <c r="D75" s="1129"/>
      <c r="E75" s="1129"/>
      <c r="F75" s="1129"/>
      <c r="G75" s="1129"/>
      <c r="H75" s="1129"/>
      <c r="I75" s="662" t="s">
        <v>117</v>
      </c>
      <c r="J75" s="662" t="s">
        <v>117</v>
      </c>
      <c r="K75" s="662" t="s">
        <v>117</v>
      </c>
      <c r="L75" s="662" t="s">
        <v>117</v>
      </c>
      <c r="M75" s="232"/>
      <c r="N75" s="248" t="b">
        <f t="shared" ref="N75:Q77" si="8">OR(I75=$N$59,I75=$N$60)</f>
        <v>1</v>
      </c>
      <c r="O75" s="249" t="b">
        <f t="shared" si="8"/>
        <v>1</v>
      </c>
      <c r="P75" s="249" t="b">
        <f t="shared" si="8"/>
        <v>1</v>
      </c>
      <c r="Q75" s="219" t="b">
        <f t="shared" si="8"/>
        <v>1</v>
      </c>
      <c r="R75" s="206"/>
      <c r="S75" s="250" t="b">
        <f t="shared" ref="S75:V77" si="9">I75&lt;&gt;$N$59</f>
        <v>0</v>
      </c>
      <c r="T75" s="251" t="b">
        <f t="shared" si="9"/>
        <v>0</v>
      </c>
      <c r="U75" s="251" t="b">
        <f t="shared" si="9"/>
        <v>0</v>
      </c>
      <c r="V75" s="252" t="b">
        <f t="shared" si="9"/>
        <v>0</v>
      </c>
    </row>
    <row r="76" spans="1:22" ht="24.95" hidden="1" customHeight="1">
      <c r="B76" s="1134"/>
      <c r="C76" s="1135"/>
      <c r="D76" s="1135"/>
      <c r="E76" s="1135"/>
      <c r="F76" s="1135"/>
      <c r="G76" s="1135"/>
      <c r="H76" s="1135"/>
      <c r="I76" s="662" t="s">
        <v>117</v>
      </c>
      <c r="J76" s="662" t="s">
        <v>117</v>
      </c>
      <c r="K76" s="662" t="s">
        <v>117</v>
      </c>
      <c r="L76" s="662" t="s">
        <v>117</v>
      </c>
      <c r="M76" s="232"/>
      <c r="N76" s="248" t="b">
        <f t="shared" si="8"/>
        <v>1</v>
      </c>
      <c r="O76" s="249" t="b">
        <f t="shared" si="8"/>
        <v>1</v>
      </c>
      <c r="P76" s="249" t="b">
        <f t="shared" si="8"/>
        <v>1</v>
      </c>
      <c r="Q76" s="219" t="b">
        <f t="shared" si="8"/>
        <v>1</v>
      </c>
      <c r="R76" s="206"/>
      <c r="S76" s="250" t="b">
        <f t="shared" si="9"/>
        <v>0</v>
      </c>
      <c r="T76" s="251" t="b">
        <f t="shared" si="9"/>
        <v>0</v>
      </c>
      <c r="U76" s="251" t="b">
        <f t="shared" si="9"/>
        <v>0</v>
      </c>
      <c r="V76" s="252" t="b">
        <f t="shared" si="9"/>
        <v>0</v>
      </c>
    </row>
    <row r="77" spans="1:22" ht="15" hidden="1" customHeight="1">
      <c r="B77" s="1136"/>
      <c r="C77" s="1137"/>
      <c r="D77" s="1137"/>
      <c r="E77" s="1137"/>
      <c r="F77" s="1137"/>
      <c r="G77" s="1137"/>
      <c r="H77" s="1137"/>
      <c r="I77" s="662" t="s">
        <v>117</v>
      </c>
      <c r="J77" s="662" t="s">
        <v>117</v>
      </c>
      <c r="K77" s="662" t="s">
        <v>117</v>
      </c>
      <c r="L77" s="662" t="s">
        <v>117</v>
      </c>
      <c r="M77" s="232"/>
      <c r="N77" s="248" t="b">
        <f t="shared" si="8"/>
        <v>1</v>
      </c>
      <c r="O77" s="249" t="b">
        <f t="shared" si="8"/>
        <v>1</v>
      </c>
      <c r="P77" s="249" t="b">
        <f t="shared" si="8"/>
        <v>1</v>
      </c>
      <c r="Q77" s="219" t="b">
        <f t="shared" si="8"/>
        <v>1</v>
      </c>
      <c r="R77" s="206"/>
      <c r="S77" s="250" t="b">
        <f t="shared" si="9"/>
        <v>0</v>
      </c>
      <c r="T77" s="251" t="b">
        <f t="shared" si="9"/>
        <v>0</v>
      </c>
      <c r="U77" s="251" t="b">
        <f t="shared" si="9"/>
        <v>0</v>
      </c>
      <c r="V77" s="252" t="b">
        <f t="shared" si="9"/>
        <v>0</v>
      </c>
    </row>
    <row r="78" spans="1:22" ht="15" hidden="1" customHeight="1">
      <c r="A78" s="643" t="s">
        <v>2548</v>
      </c>
      <c r="B78" s="1138" t="str">
        <f>Uebersetzung!D338</f>
        <v>"n.a.":    non applicable. Un tel type de local n'existe pas.
"oui":     il y a un local de ce type et tous les critères sont remplis.
"non":    il y a un local de ce type mais tous les critères ne sont pas remplis (p.ex. taux de surface vitrée trop élevé).</v>
      </c>
      <c r="C78" s="1139"/>
      <c r="D78" s="1139"/>
      <c r="E78" s="1139"/>
      <c r="F78" s="1139"/>
      <c r="G78" s="1139"/>
      <c r="H78" s="1139"/>
      <c r="I78" s="1139"/>
      <c r="J78" s="1139"/>
      <c r="K78" s="1139"/>
      <c r="L78" s="1140"/>
      <c r="M78" s="258"/>
      <c r="N78" s="259" t="e">
        <f>AND(N66:N77,S78)</f>
        <v>#REF!</v>
      </c>
      <c r="O78" s="260" t="e">
        <f>AND(O66:O77,T78)</f>
        <v>#REF!</v>
      </c>
      <c r="P78" s="260" t="e">
        <f>AND(P66:P77,U78)</f>
        <v>#REF!</v>
      </c>
      <c r="Q78" s="261" t="e">
        <f>AND(Q66:Q77,V78)</f>
        <v>#REF!</v>
      </c>
      <c r="R78" s="206"/>
      <c r="S78" s="262" t="e">
        <f>OR(S68:S77)</f>
        <v>#REF!</v>
      </c>
      <c r="T78" s="263" t="e">
        <f>OR(T66:T77)</f>
        <v>#REF!</v>
      </c>
      <c r="U78" s="263" t="e">
        <f>OR(U66:U77)</f>
        <v>#REF!</v>
      </c>
      <c r="V78" s="263" t="e">
        <f>OR(V66:V77)</f>
        <v>#REF!</v>
      </c>
    </row>
    <row r="79" spans="1:22" hidden="1">
      <c r="B79" s="264"/>
      <c r="C79" s="264"/>
      <c r="D79" s="264"/>
      <c r="E79" s="264"/>
      <c r="F79" s="264"/>
      <c r="G79" s="264"/>
      <c r="H79" s="264"/>
      <c r="I79" s="212"/>
      <c r="J79" s="212"/>
      <c r="K79" s="212"/>
      <c r="L79" s="212"/>
      <c r="M79" s="212"/>
      <c r="N79" s="211"/>
      <c r="O79" s="211"/>
      <c r="P79" s="211"/>
      <c r="Q79" s="211"/>
      <c r="R79" s="206"/>
    </row>
    <row r="80" spans="1:22" hidden="1">
      <c r="A80" s="643" t="s">
        <v>1330</v>
      </c>
      <c r="B80" s="265" t="str">
        <f>Uebersetzung!D341</f>
        <v>Variante 2: justification externe des critères selon SIA 382/1 (sans refroidissement)</v>
      </c>
      <c r="C80" s="211"/>
      <c r="D80" s="211"/>
      <c r="E80" s="211"/>
      <c r="F80" s="211"/>
      <c r="G80" s="211"/>
      <c r="H80" s="211"/>
      <c r="I80" s="211"/>
      <c r="J80" s="211"/>
      <c r="K80" s="211"/>
      <c r="L80" s="211"/>
      <c r="M80" s="211"/>
      <c r="N80" s="266" t="str">
        <f>Uebersetzung!D25</f>
        <v>oui</v>
      </c>
      <c r="O80" s="211"/>
      <c r="P80" s="211"/>
      <c r="Q80" s="211"/>
      <c r="R80" s="206"/>
    </row>
    <row r="81" spans="1:18" hidden="1">
      <c r="B81" s="291" t="str">
        <f>Uebersetzung!D342</f>
        <v>Les conditions propres au respect de ces critères sont décrites et documentées en annexe.</v>
      </c>
      <c r="C81" s="211"/>
      <c r="D81" s="211"/>
      <c r="E81" s="211"/>
      <c r="F81" s="211"/>
      <c r="G81" s="211"/>
      <c r="H81" s="211"/>
      <c r="I81" s="211"/>
      <c r="J81" s="211"/>
      <c r="K81" s="211"/>
      <c r="L81" s="211"/>
      <c r="M81" s="211"/>
      <c r="N81" s="222" t="str">
        <f>Uebersetzung!D26</f>
        <v>non</v>
      </c>
      <c r="O81" s="211"/>
      <c r="P81" s="211"/>
      <c r="Q81" s="211"/>
      <c r="R81" s="206"/>
    </row>
    <row r="82" spans="1:18" hidden="1">
      <c r="B82" s="267" t="str">
        <f>Uebersetzung!D343</f>
        <v>SIA 382/1 chiffre</v>
      </c>
      <c r="C82" s="1141" t="str">
        <f>Uebersetzung!D29</f>
        <v>Zone</v>
      </c>
      <c r="D82" s="1131"/>
      <c r="E82" s="1131"/>
      <c r="F82" s="1131"/>
      <c r="G82" s="1131"/>
      <c r="H82" s="1132"/>
      <c r="I82" s="230">
        <v>1</v>
      </c>
      <c r="J82" s="230">
        <v>2</v>
      </c>
      <c r="K82" s="230">
        <v>3</v>
      </c>
      <c r="L82" s="231">
        <v>4</v>
      </c>
      <c r="M82" s="266"/>
      <c r="N82" s="268">
        <v>1</v>
      </c>
      <c r="O82" s="269">
        <v>2</v>
      </c>
      <c r="P82" s="269">
        <v>3</v>
      </c>
      <c r="Q82" s="270">
        <v>4</v>
      </c>
      <c r="R82" s="206"/>
    </row>
    <row r="83" spans="1:18" ht="29.25" hidden="1" customHeight="1">
      <c r="A83" s="643" t="s">
        <v>2549</v>
      </c>
      <c r="B83" s="271" t="s">
        <v>1321</v>
      </c>
      <c r="C83" s="1142" t="str">
        <f>Uebersetzung!D344</f>
        <v>Les exigences concernant la protection thermique estivale sont remplies conformément au formulaire supplémentaire correspondant.</v>
      </c>
      <c r="D83" s="1120"/>
      <c r="E83" s="1120"/>
      <c r="F83" s="1120"/>
      <c r="G83" s="1120"/>
      <c r="H83" s="1120"/>
      <c r="I83" s="254"/>
      <c r="J83" s="254"/>
      <c r="K83" s="254"/>
      <c r="L83" s="255"/>
      <c r="M83" s="272"/>
      <c r="N83" s="273" t="b">
        <f>I83=$N$80</f>
        <v>0</v>
      </c>
      <c r="O83" s="274" t="b">
        <f>J83=$N$80</f>
        <v>0</v>
      </c>
      <c r="P83" s="274" t="b">
        <f>K83=$N$80</f>
        <v>0</v>
      </c>
      <c r="Q83" s="214" t="b">
        <f>L83=$N$80</f>
        <v>0</v>
      </c>
      <c r="R83" s="206"/>
    </row>
    <row r="84" spans="1:18" hidden="1">
      <c r="A84" s="643" t="s">
        <v>1323</v>
      </c>
      <c r="B84" s="275"/>
      <c r="C84" s="1143"/>
      <c r="D84" s="1098"/>
      <c r="E84" s="1098"/>
      <c r="F84" s="1098"/>
      <c r="G84" s="1098"/>
      <c r="H84" s="1098"/>
      <c r="I84" s="256" t="s">
        <v>73</v>
      </c>
      <c r="J84" s="256"/>
      <c r="K84" s="256"/>
      <c r="L84" s="257"/>
      <c r="M84" s="272"/>
      <c r="N84" s="248"/>
      <c r="O84" s="249"/>
      <c r="P84" s="249"/>
      <c r="Q84" s="219"/>
      <c r="R84" s="206"/>
    </row>
    <row r="85" spans="1:18" hidden="1">
      <c r="A85" s="643" t="s">
        <v>1324</v>
      </c>
      <c r="B85" s="275"/>
      <c r="C85" s="1143"/>
      <c r="D85" s="1098"/>
      <c r="E85" s="1098"/>
      <c r="F85" s="1098"/>
      <c r="G85" s="1098"/>
      <c r="H85" s="1098"/>
      <c r="I85" s="256"/>
      <c r="J85" s="256"/>
      <c r="K85" s="256"/>
      <c r="L85" s="257"/>
      <c r="M85" s="272"/>
      <c r="N85" s="249"/>
      <c r="O85" s="249"/>
      <c r="P85" s="249"/>
      <c r="Q85" s="219"/>
      <c r="R85" s="206"/>
    </row>
    <row r="86" spans="1:18" hidden="1">
      <c r="A86" s="643" t="s">
        <v>1325</v>
      </c>
      <c r="B86" s="276"/>
      <c r="C86" s="1128"/>
      <c r="D86" s="1129"/>
      <c r="E86" s="1129"/>
      <c r="F86" s="1129"/>
      <c r="G86" s="1129"/>
      <c r="H86" s="1129"/>
      <c r="I86" s="256"/>
      <c r="J86" s="256"/>
      <c r="K86" s="256"/>
      <c r="L86" s="257"/>
      <c r="M86" s="272"/>
      <c r="N86" s="248"/>
      <c r="O86" s="249"/>
      <c r="P86" s="249"/>
      <c r="Q86" s="219"/>
      <c r="R86" s="206"/>
    </row>
    <row r="87" spans="1:18" hidden="1">
      <c r="A87" s="643" t="s">
        <v>1326</v>
      </c>
      <c r="B87" s="276"/>
      <c r="C87" s="1128"/>
      <c r="D87" s="1129"/>
      <c r="E87" s="1129"/>
      <c r="F87" s="1129"/>
      <c r="G87" s="1129"/>
      <c r="H87" s="1129"/>
      <c r="I87" s="256"/>
      <c r="J87" s="256"/>
      <c r="K87" s="256"/>
      <c r="L87" s="257"/>
      <c r="M87" s="272"/>
      <c r="N87" s="248"/>
      <c r="O87" s="249"/>
      <c r="P87" s="249"/>
      <c r="Q87" s="219"/>
      <c r="R87" s="206"/>
    </row>
    <row r="88" spans="1:18" hidden="1">
      <c r="A88" s="643" t="s">
        <v>1327</v>
      </c>
      <c r="B88" s="276"/>
      <c r="C88" s="1128"/>
      <c r="D88" s="1129"/>
      <c r="E88" s="1129"/>
      <c r="F88" s="1129"/>
      <c r="G88" s="1129"/>
      <c r="H88" s="1129"/>
      <c r="I88" s="256"/>
      <c r="J88" s="256"/>
      <c r="K88" s="256"/>
      <c r="L88" s="257"/>
      <c r="M88" s="272"/>
      <c r="N88" s="248"/>
      <c r="O88" s="249"/>
      <c r="P88" s="249"/>
      <c r="Q88" s="219"/>
      <c r="R88" s="206"/>
    </row>
    <row r="89" spans="1:18" hidden="1">
      <c r="A89" s="643" t="s">
        <v>1327</v>
      </c>
      <c r="B89" s="276"/>
      <c r="C89" s="1128"/>
      <c r="D89" s="1129"/>
      <c r="E89" s="1129"/>
      <c r="F89" s="1129"/>
      <c r="G89" s="1129"/>
      <c r="H89" s="1129"/>
      <c r="I89" s="256"/>
      <c r="J89" s="256"/>
      <c r="K89" s="256"/>
      <c r="L89" s="257"/>
      <c r="M89" s="272"/>
      <c r="N89" s="277"/>
      <c r="O89" s="278"/>
      <c r="P89" s="278"/>
      <c r="Q89" s="221"/>
      <c r="R89" s="206"/>
    </row>
    <row r="90" spans="1:18" hidden="1">
      <c r="B90" s="279" t="str">
        <f>Uebersetzung!D345</f>
        <v>Remarques concernant la justification externe (manière, annexes, par ex. critères de choix selon Aide à l'utilisation):</v>
      </c>
      <c r="C90" s="280"/>
      <c r="D90" s="280"/>
      <c r="E90" s="280"/>
      <c r="F90" s="280"/>
      <c r="G90" s="280"/>
      <c r="H90" s="280"/>
      <c r="I90" s="249"/>
      <c r="J90" s="249"/>
      <c r="K90" s="249"/>
      <c r="L90" s="219"/>
      <c r="M90" s="220"/>
      <c r="N90" s="278" t="b">
        <f>AND(N83:N89)</f>
        <v>0</v>
      </c>
      <c r="O90" s="278" t="b">
        <f>AND(O83:O89)</f>
        <v>0</v>
      </c>
      <c r="P90" s="278" t="b">
        <f>AND(P83:P89)</f>
        <v>0</v>
      </c>
      <c r="Q90" s="261" t="b">
        <f>AND(Q83:Q89)</f>
        <v>0</v>
      </c>
      <c r="R90" s="211"/>
    </row>
    <row r="91" spans="1:18" hidden="1">
      <c r="A91" s="643" t="s">
        <v>2550</v>
      </c>
      <c r="B91" s="1117"/>
      <c r="C91" s="1118"/>
      <c r="D91" s="1118"/>
      <c r="E91" s="1118"/>
      <c r="F91" s="1118"/>
      <c r="G91" s="1118"/>
      <c r="H91" s="1118"/>
      <c r="I91" s="1118"/>
      <c r="J91" s="1118"/>
      <c r="K91" s="1118"/>
      <c r="L91" s="1130"/>
      <c r="M91" s="222"/>
      <c r="N91" s="211"/>
      <c r="O91" s="211"/>
      <c r="P91" s="211"/>
      <c r="Q91" s="211"/>
      <c r="R91" s="211"/>
    </row>
    <row r="92" spans="1:18" hidden="1">
      <c r="B92" s="211"/>
      <c r="C92" s="211"/>
      <c r="D92" s="211"/>
      <c r="E92" s="211"/>
      <c r="F92" s="211"/>
      <c r="G92" s="211"/>
      <c r="H92" s="211"/>
      <c r="I92" s="211"/>
      <c r="J92" s="211"/>
      <c r="K92" s="211"/>
      <c r="L92" s="211"/>
      <c r="M92" s="211"/>
      <c r="N92" s="211"/>
      <c r="O92" s="211"/>
      <c r="P92" s="211"/>
      <c r="Q92" s="211"/>
      <c r="R92" s="206"/>
    </row>
    <row r="93" spans="1:18" hidden="1">
      <c r="A93" s="643" t="s">
        <v>2551</v>
      </c>
      <c r="B93" s="265" t="str">
        <f>Uebersetzung!D346</f>
        <v>Variante 3: justification externe des critères selon SIA 382/1 (avec refroidissement)</v>
      </c>
      <c r="C93" s="211"/>
      <c r="D93" s="211"/>
      <c r="E93" s="211"/>
      <c r="F93" s="211"/>
      <c r="G93" s="211"/>
      <c r="H93" s="211"/>
      <c r="I93" s="211"/>
      <c r="J93" s="211"/>
      <c r="K93" s="211"/>
      <c r="L93" s="211"/>
      <c r="M93" s="211"/>
      <c r="N93" s="211"/>
      <c r="O93" s="211"/>
      <c r="P93" s="211"/>
      <c r="Q93" s="211"/>
      <c r="R93" s="206"/>
    </row>
    <row r="94" spans="1:18" hidden="1">
      <c r="B94" s="227"/>
      <c r="C94" s="1131" t="str">
        <f>Uebersetzung!D29</f>
        <v>Zone</v>
      </c>
      <c r="D94" s="1131"/>
      <c r="E94" s="1131"/>
      <c r="F94" s="1131"/>
      <c r="G94" s="1131"/>
      <c r="H94" s="1132"/>
      <c r="I94" s="230">
        <v>1</v>
      </c>
      <c r="J94" s="230">
        <v>2</v>
      </c>
      <c r="K94" s="230">
        <v>3</v>
      </c>
      <c r="L94" s="231">
        <v>4</v>
      </c>
      <c r="M94" s="281"/>
      <c r="N94" s="282">
        <v>1</v>
      </c>
      <c r="O94" s="269">
        <v>2</v>
      </c>
      <c r="P94" s="269">
        <v>3</v>
      </c>
      <c r="Q94" s="270">
        <v>4</v>
      </c>
      <c r="R94" s="206"/>
    </row>
    <row r="95" spans="1:18" ht="36" hidden="1" customHeight="1">
      <c r="A95" s="643" t="s">
        <v>2552</v>
      </c>
      <c r="B95" s="1119" t="str">
        <f>Uebersetzung!D347</f>
        <v>Les températures de l'air intérieur en été sont calculées selon SIA 382/1 chiffre 4.4.4. Sans refroidissement, la courbe limite est dépassée en moins de 100 h.</v>
      </c>
      <c r="C95" s="1120"/>
      <c r="D95" s="1120"/>
      <c r="E95" s="1120"/>
      <c r="F95" s="1120"/>
      <c r="G95" s="1120"/>
      <c r="H95" s="1121"/>
      <c r="I95" s="254"/>
      <c r="J95" s="254"/>
      <c r="K95" s="254"/>
      <c r="L95" s="255"/>
      <c r="M95" s="272"/>
      <c r="N95" s="273" t="b">
        <f t="shared" ref="N95:Q98" si="10">I95=$N$80</f>
        <v>0</v>
      </c>
      <c r="O95" s="274" t="b">
        <f t="shared" si="10"/>
        <v>0</v>
      </c>
      <c r="P95" s="274" t="b">
        <f t="shared" si="10"/>
        <v>0</v>
      </c>
      <c r="Q95" s="214" t="b">
        <f t="shared" si="10"/>
        <v>0</v>
      </c>
      <c r="R95" s="206"/>
    </row>
    <row r="96" spans="1:18" ht="33" hidden="1" customHeight="1">
      <c r="A96" s="643" t="s">
        <v>2553</v>
      </c>
      <c r="B96" s="1097" t="str">
        <f>Uebersetzung!D348</f>
        <v>La zone est refroidie et les besoins en énergie sont calculés. 
Il n'y a aucune température trop élevée en été.</v>
      </c>
      <c r="C96" s="1098"/>
      <c r="D96" s="1098"/>
      <c r="E96" s="1098"/>
      <c r="F96" s="1098"/>
      <c r="G96" s="1098"/>
      <c r="H96" s="1098"/>
      <c r="I96" s="256"/>
      <c r="J96" s="256"/>
      <c r="K96" s="256"/>
      <c r="L96" s="257"/>
      <c r="M96" s="272"/>
      <c r="N96" s="248" t="b">
        <f t="shared" si="10"/>
        <v>0</v>
      </c>
      <c r="O96" s="249" t="b">
        <f t="shared" si="10"/>
        <v>0</v>
      </c>
      <c r="P96" s="249" t="b">
        <f t="shared" si="10"/>
        <v>0</v>
      </c>
      <c r="Q96" s="219" t="b">
        <f t="shared" si="10"/>
        <v>0</v>
      </c>
      <c r="R96" s="206"/>
    </row>
    <row r="97" spans="1:18" hidden="1">
      <c r="A97" s="643" t="s">
        <v>1332</v>
      </c>
      <c r="B97" s="1133"/>
      <c r="C97" s="1129"/>
      <c r="D97" s="1129"/>
      <c r="E97" s="1129"/>
      <c r="F97" s="1129"/>
      <c r="G97" s="1129"/>
      <c r="H97" s="1129"/>
      <c r="I97" s="256"/>
      <c r="J97" s="256"/>
      <c r="K97" s="256"/>
      <c r="L97" s="257"/>
      <c r="M97" s="272"/>
      <c r="N97" s="248" t="b">
        <f t="shared" si="10"/>
        <v>0</v>
      </c>
      <c r="O97" s="249" t="b">
        <f t="shared" si="10"/>
        <v>0</v>
      </c>
      <c r="P97" s="249" t="b">
        <f t="shared" si="10"/>
        <v>0</v>
      </c>
      <c r="Q97" s="219" t="b">
        <f t="shared" si="10"/>
        <v>0</v>
      </c>
      <c r="R97" s="206"/>
    </row>
    <row r="98" spans="1:18" hidden="1">
      <c r="A98" s="643" t="s">
        <v>1333</v>
      </c>
      <c r="B98" s="1123"/>
      <c r="C98" s="1124"/>
      <c r="D98" s="1124"/>
      <c r="E98" s="1124"/>
      <c r="F98" s="1124"/>
      <c r="G98" s="1124"/>
      <c r="H98" s="1124"/>
      <c r="I98" s="283"/>
      <c r="J98" s="283"/>
      <c r="K98" s="283"/>
      <c r="L98" s="284"/>
      <c r="M98" s="285"/>
      <c r="N98" s="277" t="b">
        <f t="shared" si="10"/>
        <v>0</v>
      </c>
      <c r="O98" s="278" t="b">
        <f t="shared" si="10"/>
        <v>0</v>
      </c>
      <c r="P98" s="278" t="b">
        <f t="shared" si="10"/>
        <v>0</v>
      </c>
      <c r="Q98" s="221" t="b">
        <f t="shared" si="10"/>
        <v>0</v>
      </c>
      <c r="R98" s="206"/>
    </row>
    <row r="99" spans="1:18" hidden="1">
      <c r="B99" s="228"/>
      <c r="C99" s="228"/>
      <c r="D99" s="228"/>
      <c r="E99" s="228"/>
      <c r="F99" s="228"/>
      <c r="G99" s="228"/>
      <c r="H99" s="228"/>
      <c r="I99" s="260"/>
      <c r="J99" s="260"/>
      <c r="K99" s="260"/>
      <c r="L99" s="260"/>
      <c r="M99" s="260"/>
      <c r="N99" s="278" t="b">
        <f>OR(N95:N98)</f>
        <v>0</v>
      </c>
      <c r="O99" s="278" t="b">
        <f>OR(O95:O98)</f>
        <v>0</v>
      </c>
      <c r="P99" s="278" t="b">
        <f>OR(P95:P98)</f>
        <v>0</v>
      </c>
      <c r="Q99" s="221" t="b">
        <f>OR(Q95:Q98)</f>
        <v>0</v>
      </c>
      <c r="R99" s="286" t="s">
        <v>1334</v>
      </c>
    </row>
    <row r="100" spans="1:18" ht="41.25" hidden="1" customHeight="1">
      <c r="A100" s="643" t="s">
        <v>2554</v>
      </c>
      <c r="B100" s="1125" t="str">
        <f>Uebersetzung!D349</f>
        <v>Selon cette déclaration, les exigences pour la protection thermique estivale sont remplies.</v>
      </c>
      <c r="C100" s="1126"/>
      <c r="D100" s="1126"/>
      <c r="E100" s="1126"/>
      <c r="F100" s="1126"/>
      <c r="G100" s="1126"/>
      <c r="H100" s="1127"/>
      <c r="I100" s="287" t="e">
        <f>IF(N100,$N80,$N81)</f>
        <v>#REF!</v>
      </c>
      <c r="J100" s="287" t="e">
        <f>IF(O100,$N80,$N81)</f>
        <v>#REF!</v>
      </c>
      <c r="K100" s="287" t="e">
        <f>IF(P100,$N80,$N81)</f>
        <v>#REF!</v>
      </c>
      <c r="L100" s="288" t="e">
        <f>IF(Q100,$N80,$N81)</f>
        <v>#REF!</v>
      </c>
      <c r="M100" s="289"/>
      <c r="N100" s="277" t="e">
        <f>OR(N78,N90,N99)</f>
        <v>#REF!</v>
      </c>
      <c r="O100" s="278" t="e">
        <f>OR(O78,O90,O99)</f>
        <v>#REF!</v>
      </c>
      <c r="P100" s="278" t="e">
        <f>OR(P78,P90,P99)</f>
        <v>#REF!</v>
      </c>
      <c r="Q100" s="221" t="e">
        <f>OR(Q78,Q90,Q99)</f>
        <v>#REF!</v>
      </c>
      <c r="R100" s="290" t="e">
        <f>IF(Zonen&gt;3,AND(N100,O100,P100,Q100),IF(Zonen&gt;2,AND(N100,O100,P100),IF(Zonen&gt;1,AND(N100,O100),N100)))</f>
        <v>#REF!</v>
      </c>
    </row>
    <row r="101" spans="1:18" hidden="1"/>
  </sheetData>
  <sheetProtection password="D81C" sheet="1" objects="1" scenarios="1"/>
  <mergeCells count="76">
    <mergeCell ref="C88:H88"/>
    <mergeCell ref="B74:H74"/>
    <mergeCell ref="B75:H75"/>
    <mergeCell ref="B76:H76"/>
    <mergeCell ref="B77:H77"/>
    <mergeCell ref="B78:L78"/>
    <mergeCell ref="C82:H82"/>
    <mergeCell ref="C83:H83"/>
    <mergeCell ref="C84:H84"/>
    <mergeCell ref="C85:H85"/>
    <mergeCell ref="C86:H86"/>
    <mergeCell ref="C87:H87"/>
    <mergeCell ref="B98:H98"/>
    <mergeCell ref="B100:H100"/>
    <mergeCell ref="C89:H89"/>
    <mergeCell ref="B91:L91"/>
    <mergeCell ref="C94:H94"/>
    <mergeCell ref="B95:H95"/>
    <mergeCell ref="B96:H96"/>
    <mergeCell ref="B97:H97"/>
    <mergeCell ref="B73:H73"/>
    <mergeCell ref="B60:L60"/>
    <mergeCell ref="B61:L61"/>
    <mergeCell ref="B62:L62"/>
    <mergeCell ref="B63:L63"/>
    <mergeCell ref="B66:H66"/>
    <mergeCell ref="I66:I67"/>
    <mergeCell ref="J66:J67"/>
    <mergeCell ref="K66:K67"/>
    <mergeCell ref="L66:L67"/>
    <mergeCell ref="B67:G67"/>
    <mergeCell ref="B68:H68"/>
    <mergeCell ref="B69:H69"/>
    <mergeCell ref="B70:H70"/>
    <mergeCell ref="B71:H71"/>
    <mergeCell ref="B72:H72"/>
    <mergeCell ref="B4:M4"/>
    <mergeCell ref="B5:M5"/>
    <mergeCell ref="B6:M6"/>
    <mergeCell ref="B8:M8"/>
    <mergeCell ref="B58:L58"/>
    <mergeCell ref="C11:M11"/>
    <mergeCell ref="C13:M13"/>
    <mergeCell ref="B18:I18"/>
    <mergeCell ref="L18:M18"/>
    <mergeCell ref="B23:K23"/>
    <mergeCell ref="B22:K22"/>
    <mergeCell ref="B21:K21"/>
    <mergeCell ref="B20:K20"/>
    <mergeCell ref="L23:M23"/>
    <mergeCell ref="L22:M22"/>
    <mergeCell ref="L21:M21"/>
    <mergeCell ref="A66:A67"/>
    <mergeCell ref="B59:L59"/>
    <mergeCell ref="B53:M53"/>
    <mergeCell ref="B51:M51"/>
    <mergeCell ref="B50:M50"/>
    <mergeCell ref="B49:M49"/>
    <mergeCell ref="B42:M42"/>
    <mergeCell ref="L38:M38"/>
    <mergeCell ref="L30:M30"/>
    <mergeCell ref="D38:K38"/>
    <mergeCell ref="K10:M10"/>
    <mergeCell ref="L36:M36"/>
    <mergeCell ref="B40:M40"/>
    <mergeCell ref="L20:M20"/>
    <mergeCell ref="B19:K19"/>
    <mergeCell ref="B25:M25"/>
    <mergeCell ref="L37:M37"/>
    <mergeCell ref="L35:M35"/>
    <mergeCell ref="L34:M34"/>
    <mergeCell ref="L33:M33"/>
    <mergeCell ref="L32:M32"/>
    <mergeCell ref="L31:M31"/>
    <mergeCell ref="L29:M29"/>
    <mergeCell ref="L28:M28"/>
  </mergeCells>
  <conditionalFormatting sqref="I100">
    <cfRule type="expression" dxfId="50" priority="35" stopIfTrue="1">
      <formula>$N$100</formula>
    </cfRule>
  </conditionalFormatting>
  <conditionalFormatting sqref="J100">
    <cfRule type="expression" dxfId="49" priority="30" stopIfTrue="1">
      <formula>Zonen&lt;2</formula>
    </cfRule>
    <cfRule type="expression" dxfId="48" priority="36" stopIfTrue="1">
      <formula>$O$100</formula>
    </cfRule>
  </conditionalFormatting>
  <conditionalFormatting sqref="K100">
    <cfRule type="expression" dxfId="47" priority="29">
      <formula>Zonen&lt;3</formula>
    </cfRule>
    <cfRule type="expression" dxfId="46" priority="37" stopIfTrue="1">
      <formula>$P$100</formula>
    </cfRule>
  </conditionalFormatting>
  <conditionalFormatting sqref="L100">
    <cfRule type="expression" dxfId="45" priority="28">
      <formula>Zonen&lt;4</formula>
    </cfRule>
    <cfRule type="expression" dxfId="44" priority="38" stopIfTrue="1">
      <formula>$Q$100</formula>
    </cfRule>
  </conditionalFormatting>
  <conditionalFormatting sqref="I83:I89 I95:I98 I68:I77">
    <cfRule type="expression" dxfId="43" priority="39" stopIfTrue="1">
      <formula>Zonen&gt;0</formula>
    </cfRule>
  </conditionalFormatting>
  <conditionalFormatting sqref="J83:J89 J95:J98 J68:J74">
    <cfRule type="expression" dxfId="42" priority="40" stopIfTrue="1">
      <formula>Zonen&gt;1</formula>
    </cfRule>
  </conditionalFormatting>
  <conditionalFormatting sqref="K83:K89 K95:K98 K68:K74">
    <cfRule type="expression" dxfId="41" priority="41" stopIfTrue="1">
      <formula>Zonen&gt;2</formula>
    </cfRule>
  </conditionalFormatting>
  <conditionalFormatting sqref="L83:L89 L95:L98 L68:L74">
    <cfRule type="expression" dxfId="40" priority="42" stopIfTrue="1">
      <formula>Zonen&gt;3</formula>
    </cfRule>
  </conditionalFormatting>
  <conditionalFormatting sqref="I66">
    <cfRule type="expression" dxfId="39" priority="34" stopIfTrue="1">
      <formula>Zonen&gt;0</formula>
    </cfRule>
  </conditionalFormatting>
  <conditionalFormatting sqref="J66">
    <cfRule type="expression" dxfId="38" priority="33" stopIfTrue="1">
      <formula>Zonen&gt;1</formula>
    </cfRule>
  </conditionalFormatting>
  <conditionalFormatting sqref="K66">
    <cfRule type="expression" dxfId="37" priority="32" stopIfTrue="1">
      <formula>Zonen&gt;2</formula>
    </cfRule>
  </conditionalFormatting>
  <conditionalFormatting sqref="L66">
    <cfRule type="expression" dxfId="36" priority="31" stopIfTrue="1">
      <formula>Zonen&gt;3</formula>
    </cfRule>
  </conditionalFormatting>
  <conditionalFormatting sqref="J75:L77">
    <cfRule type="expression" dxfId="35" priority="27" stopIfTrue="1">
      <formula>Zonen&gt;0</formula>
    </cfRule>
  </conditionalFormatting>
  <conditionalFormatting sqref="B19">
    <cfRule type="expression" dxfId="34" priority="23" stopIfTrue="1">
      <formula>$T$13=1</formula>
    </cfRule>
  </conditionalFormatting>
  <conditionalFormatting sqref="D38">
    <cfRule type="expression" dxfId="33" priority="580">
      <formula>$L$38=$R$10</formula>
    </cfRule>
  </conditionalFormatting>
  <conditionalFormatting sqref="L18:M18 L20:L23">
    <cfRule type="expression" dxfId="32" priority="583">
      <formula>$B$11=$O$10</formula>
    </cfRule>
  </conditionalFormatting>
  <conditionalFormatting sqref="K10:M10">
    <cfRule type="expression" dxfId="31" priority="5">
      <formula>$Q$24=FALSE</formula>
    </cfRule>
    <cfRule type="expression" dxfId="30" priority="6">
      <formula>$Q$24</formula>
    </cfRule>
  </conditionalFormatting>
  <dataValidations count="9">
    <dataValidation type="list" allowBlank="1" showInputMessage="1" showErrorMessage="1" sqref="I66:L66">
      <formula1>$P$59:$P$62</formula1>
    </dataValidation>
    <dataValidation type="list" allowBlank="1" showInputMessage="1" showErrorMessage="1" sqref="I72:L77">
      <formula1>$O$59:$O$61</formula1>
    </dataValidation>
    <dataValidation type="list" allowBlank="1" showInputMessage="1" showErrorMessage="1" sqref="I71:L71">
      <formula1>$N$59:$N$60</formula1>
    </dataValidation>
    <dataValidation type="list" allowBlank="1" showInputMessage="1" showErrorMessage="1" sqref="I95:L98">
      <formula1>$N$79:$N$81</formula1>
    </dataValidation>
    <dataValidation type="list" allowBlank="1" showInputMessage="1" showErrorMessage="1" sqref="I68:L70">
      <formula1>$N$59:$N$61</formula1>
    </dataValidation>
    <dataValidation type="list" allowBlank="1" showInputMessage="1" showErrorMessage="1" sqref="I83:L89">
      <formula1>$N$80:$N$81</formula1>
    </dataValidation>
    <dataValidation type="list" allowBlank="1" showInputMessage="1" showErrorMessage="1" sqref="L18">
      <formula1>$S$10:$S$13</formula1>
    </dataValidation>
    <dataValidation type="list" allowBlank="1" showInputMessage="1" showErrorMessage="1" sqref="L20:L23">
      <formula1>$R$10:$R$12</formula1>
    </dataValidation>
    <dataValidation type="list" allowBlank="1" showInputMessage="1" showErrorMessage="1" sqref="I31:I36 L28:L38">
      <formula1>$R$10:$R$11</formula1>
    </dataValidation>
  </dataValidations>
  <pageMargins left="0.39370078740157483" right="0.31496062992125984" top="0.35433070866141736" bottom="0.23622047244094491" header="0.35433070866141736" footer="0.23622047244094491"/>
  <pageSetup paperSize="9" scale="88" fitToHeight="0" orientation="portrait" horizontalDpi="4294967295" verticalDpi="4294967295" r:id="rId1"/>
  <headerFooter>
    <oddFooter>&amp;L&amp;8&amp;F / &amp;A / &amp;D, &amp;T</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4" id="{F4A176B1-ED4D-431A-8436-B26FA06F20D1}">
            <xm:f>$B$37=Uebersetzung!$D$623</xm:f>
            <x14:dxf>
              <fill>
                <patternFill>
                  <bgColor rgb="FFEEFFDD"/>
                </patternFill>
              </fill>
            </x14:dxf>
          </x14:cfRule>
          <xm:sqref>L37</xm:sqref>
        </x14:conditionalFormatting>
        <x14:conditionalFormatting xmlns:xm="http://schemas.microsoft.com/office/excel/2006/main">
          <x14:cfRule type="expression" priority="594" id="{98A0FFC4-937D-4660-B1B7-B5D597D6AB98}">
            <xm:f>$B$40=Uebersetzung!D618</xm:f>
            <x14:dxf>
              <fill>
                <patternFill>
                  <bgColor rgb="FFFF0000"/>
                </patternFill>
              </fill>
            </x14:dxf>
          </x14:cfRule>
          <x14:cfRule type="expression" priority="595" id="{64454AC6-02F9-43F9-84DA-429A44B7A6A7}">
            <xm:f>$B$40=Uebersetzung!D617</xm:f>
            <x14:dxf>
              <fill>
                <patternFill>
                  <bgColor rgb="FF92D050"/>
                </patternFill>
              </fill>
            </x14:dxf>
          </x14:cfRule>
          <xm:sqref>B40</xm:sqref>
        </x14:conditionalFormatting>
        <x14:conditionalFormatting xmlns:xm="http://schemas.microsoft.com/office/excel/2006/main">
          <x14:cfRule type="expression" priority="3" id="{060B999B-D5DB-4900-8845-423283B13391}">
            <xm:f>$B$42=Uebersetzung!D631</xm:f>
            <x14:dxf>
              <fill>
                <patternFill>
                  <bgColor rgb="FFFF0000"/>
                </patternFill>
              </fill>
            </x14:dxf>
          </x14:cfRule>
          <xm:sqref>B42</xm:sqref>
        </x14:conditionalFormatting>
        <x14:conditionalFormatting xmlns:xm="http://schemas.microsoft.com/office/excel/2006/main">
          <x14:cfRule type="expression" priority="2" id="{D1C867A8-54E2-463B-AFBE-6C0F2F273498}">
            <xm:f>$B$28=Uebersetzung!$D$593</xm:f>
            <x14:dxf>
              <fill>
                <patternFill>
                  <bgColor rgb="FFEEFFDD"/>
                </patternFill>
              </fill>
            </x14:dxf>
          </x14:cfRule>
          <xm:sqref>L28:M28</xm:sqref>
        </x14:conditionalFormatting>
        <x14:conditionalFormatting xmlns:xm="http://schemas.microsoft.com/office/excel/2006/main">
          <x14:cfRule type="expression" priority="1" id="{1470177E-F44E-4026-85C0-8D780AA86824}">
            <xm:f>$B$29=Uebersetzung!$D$594</xm:f>
            <x14:dxf>
              <fill>
                <patternFill>
                  <bgColor rgb="FFEEFFDD"/>
                </patternFill>
              </fill>
            </x14:dxf>
          </x14:cfRule>
          <xm:sqref>L29:M29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X67"/>
  <sheetViews>
    <sheetView showZeros="0" zoomScaleNormal="100" workbookViewId="0">
      <selection activeCell="K41" sqref="K41"/>
    </sheetView>
  </sheetViews>
  <sheetFormatPr baseColWidth="10" defaultColWidth="11.42578125" defaultRowHeight="12.75"/>
  <cols>
    <col min="1" max="1" width="3.42578125" style="649" customWidth="1"/>
    <col min="2" max="2" width="20.7109375" style="405" customWidth="1"/>
    <col min="3" max="3" width="10.7109375" style="405" customWidth="1"/>
    <col min="4" max="4" width="8.7109375" style="405" customWidth="1"/>
    <col min="5" max="5" width="6.7109375" style="405" customWidth="1"/>
    <col min="6" max="9" width="11.7109375" style="405" customWidth="1"/>
    <col min="10" max="10" width="0.7109375" style="405" customWidth="1"/>
    <col min="11" max="11" width="10.7109375" style="405" customWidth="1"/>
    <col min="12" max="12" width="11.42578125" style="437"/>
    <col min="13" max="13" width="23.42578125" style="594" customWidth="1"/>
    <col min="14" max="14" width="6.28515625" style="594" customWidth="1"/>
    <col min="15" max="15" width="8" style="594" customWidth="1"/>
    <col min="16" max="16" width="17.85546875" style="594" customWidth="1"/>
    <col min="17" max="20" width="11.42578125" style="594"/>
    <col min="21" max="21" width="11.42578125" style="437"/>
    <col min="22" max="22" width="11.42578125" style="623"/>
    <col min="23" max="16384" width="11.42578125" style="405"/>
  </cols>
  <sheetData>
    <row r="1" spans="1:24" s="5" customFormat="1" ht="9.9499999999999993" customHeight="1">
      <c r="A1" s="633"/>
      <c r="B1" s="471" t="str">
        <f>MOP!A3</f>
        <v>2018.1</v>
      </c>
      <c r="C1" s="3"/>
      <c r="D1" s="3"/>
      <c r="E1" s="49"/>
      <c r="F1" s="3"/>
      <c r="G1" s="3"/>
      <c r="H1" s="3"/>
      <c r="I1" s="31"/>
      <c r="J1" s="3"/>
      <c r="K1" s="474" t="str">
        <f>Uebersetzung!D5</f>
        <v>Formulaire EN101b, v1.31, à utiliser jusqu'au 31. décembre 2017</v>
      </c>
      <c r="L1" s="101"/>
      <c r="M1" s="588"/>
      <c r="N1" s="438"/>
      <c r="O1" s="438"/>
      <c r="P1" s="438"/>
      <c r="Q1" s="438"/>
      <c r="R1" s="438"/>
      <c r="S1" s="438"/>
      <c r="T1" s="438"/>
      <c r="U1" s="102"/>
      <c r="V1" s="620"/>
    </row>
    <row r="2" spans="1:24" s="5" customFormat="1" ht="17.100000000000001" customHeight="1">
      <c r="A2" s="633"/>
      <c r="B2" s="390"/>
      <c r="C2" s="391"/>
      <c r="D2" s="392"/>
      <c r="E2" s="390"/>
      <c r="F2" s="392"/>
      <c r="G2" s="986" t="str">
        <f>Uebersetzung!D318</f>
        <v>Aperçu</v>
      </c>
      <c r="H2" s="1165"/>
      <c r="I2" s="1165"/>
      <c r="J2" s="1165"/>
      <c r="K2" s="988"/>
      <c r="L2" s="101"/>
      <c r="M2" s="588"/>
      <c r="N2" s="438"/>
      <c r="O2" s="438"/>
      <c r="P2" s="438"/>
      <c r="Q2" s="438"/>
      <c r="R2" s="438"/>
      <c r="S2" s="438"/>
      <c r="T2" s="438"/>
      <c r="U2" s="102"/>
      <c r="V2" s="620"/>
    </row>
    <row r="3" spans="1:24" s="5" customFormat="1" ht="17.100000000000001" customHeight="1">
      <c r="A3" s="633"/>
      <c r="B3" s="393"/>
      <c r="C3" s="394"/>
      <c r="D3" s="395"/>
      <c r="E3" s="396"/>
      <c r="F3" s="397"/>
      <c r="G3" s="991" t="str">
        <f>Uebersetzung!D376</f>
        <v>justificatif Minergie</v>
      </c>
      <c r="H3" s="992"/>
      <c r="I3" s="992"/>
      <c r="J3" s="992"/>
      <c r="K3" s="993"/>
      <c r="L3" s="101"/>
      <c r="M3" s="588"/>
      <c r="N3" s="438"/>
      <c r="O3" s="438"/>
      <c r="P3" s="438"/>
      <c r="Q3" s="438"/>
      <c r="R3" s="438"/>
      <c r="S3" s="438"/>
      <c r="T3" s="438"/>
      <c r="U3" s="102"/>
      <c r="V3" s="620"/>
    </row>
    <row r="4" spans="1:24" s="5" customFormat="1" ht="9.9499999999999993" customHeight="1">
      <c r="A4" s="633"/>
      <c r="B4" s="398"/>
      <c r="C4" s="118"/>
      <c r="D4" s="399"/>
      <c r="E4" s="398"/>
      <c r="F4" s="399"/>
      <c r="G4" s="400"/>
      <c r="H4" s="401"/>
      <c r="I4" s="401"/>
      <c r="J4" s="401"/>
      <c r="K4" s="402"/>
      <c r="L4" s="101"/>
      <c r="M4" s="588"/>
      <c r="N4" s="438"/>
      <c r="O4" s="438"/>
      <c r="P4" s="438"/>
      <c r="Q4" s="438"/>
      <c r="R4" s="438"/>
      <c r="S4" s="438"/>
      <c r="T4" s="438"/>
      <c r="U4" s="102"/>
      <c r="V4" s="620"/>
    </row>
    <row r="5" spans="1:24" s="5" customFormat="1" ht="9.9499999999999993" customHeight="1">
      <c r="A5" s="633"/>
      <c r="B5" s="3"/>
      <c r="C5" s="3"/>
      <c r="D5" s="3"/>
      <c r="E5" s="49"/>
      <c r="F5" s="3"/>
      <c r="G5" s="3"/>
      <c r="H5" s="3"/>
      <c r="I5" s="31"/>
      <c r="J5" s="3"/>
      <c r="K5" s="4"/>
      <c r="L5" s="101"/>
      <c r="M5" s="588"/>
      <c r="N5" s="438"/>
      <c r="O5" s="438"/>
      <c r="P5" s="438"/>
      <c r="Q5" s="438"/>
      <c r="R5" s="438"/>
      <c r="S5" s="438"/>
      <c r="T5" s="438"/>
      <c r="U5" s="102"/>
      <c r="V5" s="620"/>
    </row>
    <row r="6" spans="1:24" s="5" customFormat="1" ht="9.9499999999999993" hidden="1" customHeight="1">
      <c r="A6" s="633"/>
      <c r="B6" s="6"/>
      <c r="C6" s="6"/>
      <c r="D6" s="3"/>
      <c r="E6" s="3"/>
      <c r="F6" s="3"/>
      <c r="G6" s="3"/>
      <c r="H6" s="3"/>
      <c r="I6" s="3"/>
      <c r="J6" s="3"/>
      <c r="L6" s="101"/>
      <c r="M6" s="588"/>
      <c r="N6" s="438"/>
      <c r="O6" s="438"/>
      <c r="P6" s="438"/>
      <c r="Q6" s="438"/>
      <c r="R6" s="438"/>
      <c r="S6" s="438"/>
      <c r="T6" s="438"/>
      <c r="U6" s="102"/>
      <c r="V6" s="620"/>
    </row>
    <row r="7" spans="1:24" s="44" customFormat="1" ht="12" hidden="1" customHeight="1">
      <c r="A7" s="633"/>
      <c r="B7" s="8"/>
      <c r="C7" s="8"/>
      <c r="D7" s="9"/>
      <c r="E7" s="9"/>
      <c r="F7" s="9"/>
      <c r="G7" s="9"/>
      <c r="H7" s="5"/>
      <c r="I7" s="5"/>
      <c r="J7" s="5"/>
      <c r="K7" s="5"/>
      <c r="L7" s="101"/>
      <c r="M7" s="588"/>
      <c r="N7" s="438"/>
      <c r="O7" s="438"/>
      <c r="P7" s="438"/>
      <c r="Q7" s="438"/>
      <c r="R7" s="438"/>
      <c r="S7" s="438"/>
      <c r="T7" s="438"/>
      <c r="U7" s="102"/>
      <c r="V7" s="620"/>
      <c r="W7" s="5"/>
      <c r="X7" s="5"/>
    </row>
    <row r="8" spans="1:24" s="44" customFormat="1" ht="6" customHeight="1">
      <c r="A8" s="633"/>
      <c r="B8" s="375"/>
      <c r="C8" s="186"/>
      <c r="D8" s="376"/>
      <c r="E8" s="376"/>
      <c r="F8" s="376"/>
      <c r="G8" s="376"/>
      <c r="H8" s="198"/>
      <c r="I8" s="198"/>
      <c r="J8" s="198"/>
      <c r="K8" s="316"/>
      <c r="L8" s="101"/>
      <c r="M8" s="588"/>
      <c r="N8" s="438"/>
      <c r="O8" s="438"/>
      <c r="P8" s="438"/>
      <c r="Q8" s="438"/>
      <c r="R8" s="438"/>
      <c r="S8" s="438"/>
      <c r="T8" s="438"/>
      <c r="U8" s="102"/>
      <c r="V8" s="620"/>
      <c r="W8" s="5"/>
      <c r="X8" s="5"/>
    </row>
    <row r="9" spans="1:24" s="44" customFormat="1" ht="14.25" customHeight="1">
      <c r="A9" s="633" t="s">
        <v>2580</v>
      </c>
      <c r="B9" s="389" t="str">
        <f>Uebersetzung!D419</f>
        <v>Instructions</v>
      </c>
      <c r="C9" s="8"/>
      <c r="D9" s="9"/>
      <c r="E9" s="9"/>
      <c r="F9" s="9"/>
      <c r="G9" s="9"/>
      <c r="H9" s="26"/>
      <c r="I9" s="26"/>
      <c r="J9" s="26"/>
      <c r="K9" s="317"/>
      <c r="L9" s="101"/>
      <c r="M9" s="588"/>
      <c r="N9" s="438"/>
      <c r="O9" s="438"/>
      <c r="P9" s="438"/>
      <c r="Q9" s="438"/>
      <c r="R9" s="438"/>
      <c r="S9" s="438"/>
      <c r="T9" s="438"/>
      <c r="U9" s="102"/>
      <c r="V9" s="620"/>
      <c r="W9" s="5"/>
      <c r="X9" s="5"/>
    </row>
    <row r="10" spans="1:24" s="44" customFormat="1" ht="19.149999999999999" customHeight="1">
      <c r="A10" s="633"/>
      <c r="B10" s="377" t="str">
        <f>Uebersetzung!D420</f>
        <v>Le présent formulaire sert à la justification des labels Minergie, Minergie-P et Minergie-A. Le label correspondant peut être</v>
      </c>
      <c r="C10" s="8"/>
      <c r="D10" s="8"/>
      <c r="E10" s="8"/>
      <c r="F10" s="8"/>
      <c r="G10" s="8"/>
      <c r="H10" s="8"/>
      <c r="I10" s="8"/>
      <c r="J10" s="8"/>
      <c r="K10" s="88"/>
      <c r="L10" s="101"/>
      <c r="M10" s="588"/>
      <c r="N10" s="438"/>
      <c r="O10" s="438"/>
      <c r="P10" s="438"/>
      <c r="Q10" s="438"/>
      <c r="R10" s="438"/>
      <c r="S10" s="438"/>
      <c r="T10" s="438"/>
      <c r="U10" s="102"/>
      <c r="V10" s="620"/>
      <c r="W10" s="5"/>
      <c r="X10" s="5"/>
    </row>
    <row r="11" spans="1:24" s="44" customFormat="1" ht="19.149999999999999" customHeight="1">
      <c r="A11" s="633"/>
      <c r="B11" s="377" t="str">
        <f>Uebersetzung!D421</f>
        <v>sélectionné dans la feuille "Entrées". Une fois le justificatif rempli, il doit être téléchargé sur la plateforme Minergie online (MOP).</v>
      </c>
      <c r="C11" s="8"/>
      <c r="D11" s="8"/>
      <c r="E11" s="8"/>
      <c r="F11" s="8"/>
      <c r="G11" s="8"/>
      <c r="H11" s="8"/>
      <c r="I11" s="8"/>
      <c r="J11" s="8"/>
      <c r="K11" s="88"/>
      <c r="L11" s="101"/>
      <c r="M11" s="588"/>
      <c r="N11" s="438"/>
      <c r="O11" s="438"/>
      <c r="P11" s="438"/>
      <c r="Q11" s="438"/>
      <c r="R11" s="438"/>
      <c r="S11" s="438"/>
      <c r="T11" s="438"/>
      <c r="U11" s="102"/>
      <c r="V11" s="620"/>
      <c r="W11" s="5"/>
      <c r="X11" s="5"/>
    </row>
    <row r="12" spans="1:24" s="44" customFormat="1" ht="19.149999999999999" customHeight="1">
      <c r="A12" s="633"/>
      <c r="B12" s="377" t="str">
        <f>Uebersetzung!D422</f>
        <v>Après transmission sur MOP, le formulaire de demande est généré automatiquement. La demande signée, le présent formulaire</v>
      </c>
      <c r="C12" s="8"/>
      <c r="D12" s="8"/>
      <c r="E12" s="8"/>
      <c r="F12" s="8"/>
      <c r="G12" s="8"/>
      <c r="H12" s="8"/>
      <c r="I12" s="8"/>
      <c r="J12" s="8"/>
      <c r="K12" s="88"/>
      <c r="L12" s="101"/>
      <c r="M12" s="588"/>
      <c r="N12" s="438"/>
      <c r="O12" s="438"/>
      <c r="P12" s="438"/>
      <c r="Q12" s="438"/>
      <c r="R12" s="438"/>
      <c r="S12" s="438"/>
      <c r="T12" s="438"/>
      <c r="U12" s="102"/>
      <c r="V12" s="620"/>
      <c r="W12" s="5"/>
      <c r="X12" s="5"/>
    </row>
    <row r="13" spans="1:24" s="44" customFormat="1" ht="19.149999999999999" customHeight="1">
      <c r="A13" s="633"/>
      <c r="B13" s="377" t="str">
        <f>Uebersetzung!D423</f>
        <v>justificatif et tous les éventuels documents notifiés sur la demande doivent être envoyés au format papier à l'office de certification</v>
      </c>
      <c r="C13" s="8"/>
      <c r="D13" s="8"/>
      <c r="E13" s="8"/>
      <c r="F13" s="8"/>
      <c r="G13" s="8"/>
      <c r="H13" s="8"/>
      <c r="I13" s="8"/>
      <c r="J13" s="8"/>
      <c r="K13" s="88"/>
      <c r="L13" s="101"/>
      <c r="M13" s="588"/>
      <c r="N13" s="438"/>
      <c r="O13" s="438"/>
      <c r="P13" s="438"/>
      <c r="Q13" s="438"/>
      <c r="R13" s="438"/>
      <c r="S13" s="438"/>
      <c r="T13" s="438"/>
      <c r="U13" s="102"/>
      <c r="V13" s="620"/>
      <c r="W13" s="5"/>
      <c r="X13" s="5"/>
    </row>
    <row r="14" spans="1:24" s="44" customFormat="1" ht="18.600000000000001" customHeight="1">
      <c r="A14" s="633"/>
      <c r="B14" s="377" t="str">
        <f>Uebersetzung!D424</f>
        <v>compétent. Observer le code couleur suivant pour remplir le formulaire justificatif:</v>
      </c>
      <c r="C14" s="8"/>
      <c r="D14" s="8"/>
      <c r="E14" s="8"/>
      <c r="F14" s="8"/>
      <c r="G14" s="8"/>
      <c r="H14" s="8"/>
      <c r="I14" s="8"/>
      <c r="J14" s="8"/>
      <c r="K14" s="88"/>
      <c r="L14" s="101"/>
      <c r="M14" s="588"/>
      <c r="N14" s="438"/>
      <c r="O14" s="438"/>
      <c r="P14" s="438"/>
      <c r="Q14" s="438"/>
      <c r="R14" s="438"/>
      <c r="S14" s="438"/>
      <c r="T14" s="438"/>
      <c r="U14" s="102"/>
      <c r="V14" s="620"/>
      <c r="W14" s="5"/>
      <c r="X14" s="5"/>
    </row>
    <row r="15" spans="1:24" s="44" customFormat="1" ht="12" hidden="1" customHeight="1">
      <c r="A15" s="633"/>
      <c r="B15" s="377"/>
      <c r="C15" s="8"/>
      <c r="D15" s="8"/>
      <c r="E15" s="8"/>
      <c r="F15" s="8"/>
      <c r="G15" s="8"/>
      <c r="H15" s="8"/>
      <c r="I15" s="8"/>
      <c r="J15" s="8"/>
      <c r="K15" s="88"/>
      <c r="L15" s="101"/>
      <c r="M15" s="588"/>
      <c r="N15" s="438"/>
      <c r="O15" s="438"/>
      <c r="P15" s="438"/>
      <c r="Q15" s="438"/>
      <c r="R15" s="438"/>
      <c r="S15" s="438"/>
      <c r="T15" s="438"/>
      <c r="U15" s="102"/>
      <c r="V15" s="620"/>
      <c r="W15" s="5"/>
      <c r="X15" s="5"/>
    </row>
    <row r="16" spans="1:24" s="44" customFormat="1" ht="19.149999999999999" hidden="1" customHeight="1">
      <c r="A16" s="633"/>
      <c r="B16" s="377"/>
      <c r="C16" s="8"/>
      <c r="D16" s="8"/>
      <c r="E16" s="8"/>
      <c r="F16" s="8"/>
      <c r="G16" s="8"/>
      <c r="H16" s="8"/>
      <c r="I16" s="8"/>
      <c r="J16" s="8"/>
      <c r="K16" s="88"/>
      <c r="L16" s="101"/>
      <c r="M16" s="588"/>
      <c r="N16" s="438"/>
      <c r="O16" s="438"/>
      <c r="P16" s="438"/>
      <c r="Q16" s="438"/>
      <c r="R16" s="438"/>
      <c r="S16" s="438"/>
      <c r="T16" s="438"/>
      <c r="U16" s="102"/>
      <c r="V16" s="620"/>
      <c r="W16" s="5"/>
      <c r="X16" s="5"/>
    </row>
    <row r="17" spans="1:24" s="44" customFormat="1" ht="9" customHeight="1">
      <c r="A17" s="633"/>
      <c r="B17" s="377"/>
      <c r="C17" s="8"/>
      <c r="D17" s="8"/>
      <c r="E17" s="8"/>
      <c r="F17" s="8"/>
      <c r="G17" s="8"/>
      <c r="H17" s="8"/>
      <c r="I17" s="8"/>
      <c r="J17" s="8"/>
      <c r="K17" s="88"/>
      <c r="L17" s="101"/>
      <c r="M17" s="588"/>
      <c r="N17" s="438"/>
      <c r="O17" s="438"/>
      <c r="P17" s="438"/>
      <c r="Q17" s="438"/>
      <c r="R17" s="438"/>
      <c r="S17" s="438"/>
      <c r="T17" s="438"/>
      <c r="U17" s="102"/>
      <c r="V17" s="620"/>
      <c r="W17" s="5"/>
      <c r="X17" s="5"/>
    </row>
    <row r="18" spans="1:24" s="44" customFormat="1" ht="19.149999999999999" customHeight="1">
      <c r="A18" s="633"/>
      <c r="B18" s="632" t="str">
        <f>Uebersetzung!D425</f>
        <v>Champ de saisie (obligatoire)</v>
      </c>
      <c r="C18" s="425"/>
      <c r="D18" s="1166" t="str">
        <f>Uebersetzung!D426</f>
        <v>Champ de saisie (facultatif)</v>
      </c>
      <c r="E18" s="1166"/>
      <c r="F18" s="1166"/>
      <c r="G18" s="11"/>
      <c r="H18" s="1167" t="str">
        <f>Uebersetzung!D427</f>
        <v>Liste déroulante (obligatoire)</v>
      </c>
      <c r="I18" s="1167"/>
      <c r="J18" s="27"/>
      <c r="K18" s="87"/>
      <c r="L18" s="101"/>
      <c r="M18" s="588"/>
      <c r="N18" s="438"/>
      <c r="O18" s="438"/>
      <c r="P18" s="438"/>
      <c r="Q18" s="438"/>
      <c r="R18" s="438"/>
      <c r="S18" s="438"/>
      <c r="T18" s="438"/>
      <c r="U18" s="102"/>
      <c r="V18" s="620"/>
      <c r="W18" s="5"/>
      <c r="X18" s="5"/>
    </row>
    <row r="19" spans="1:24" s="44" customFormat="1" ht="9.6" customHeight="1">
      <c r="A19" s="633"/>
      <c r="B19" s="8"/>
      <c r="C19" s="8"/>
      <c r="D19" s="9"/>
      <c r="E19" s="9"/>
      <c r="F19" s="9"/>
      <c r="G19" s="9"/>
      <c r="H19" s="5"/>
      <c r="I19" s="5"/>
      <c r="J19" s="5"/>
      <c r="K19" s="5"/>
      <c r="L19" s="101"/>
      <c r="M19" s="588"/>
      <c r="N19" s="438"/>
      <c r="O19" s="438"/>
      <c r="P19" s="438"/>
      <c r="Q19" s="438"/>
      <c r="R19" s="438"/>
      <c r="S19" s="438"/>
      <c r="T19" s="438"/>
      <c r="U19" s="102"/>
      <c r="V19" s="620"/>
      <c r="W19" s="5"/>
      <c r="X19" s="5"/>
    </row>
    <row r="20" spans="1:24" s="44" customFormat="1" ht="20.45" customHeight="1">
      <c r="A20" s="633" t="s">
        <v>2555</v>
      </c>
      <c r="B20" s="50" t="str">
        <f>Uebersetzung!D418</f>
        <v>Projet</v>
      </c>
      <c r="C20" s="378"/>
      <c r="D20" s="379"/>
      <c r="E20" s="379"/>
      <c r="F20" s="379"/>
      <c r="G20" s="379" t="str">
        <f>Uebersetzung!D18</f>
        <v>Justificatif pour:</v>
      </c>
      <c r="H20" s="89"/>
      <c r="I20" s="379">
        <f>enveloppe_életricité!F13</f>
        <v>0</v>
      </c>
      <c r="J20" s="89"/>
      <c r="K20" s="116"/>
      <c r="L20" s="101"/>
      <c r="M20" s="588"/>
      <c r="N20" s="438"/>
      <c r="O20" s="438"/>
      <c r="P20" s="438"/>
      <c r="Q20" s="438"/>
      <c r="R20" s="438"/>
      <c r="S20" s="438"/>
      <c r="T20" s="438"/>
      <c r="U20" s="102"/>
      <c r="V20" s="620"/>
      <c r="W20" s="5"/>
      <c r="X20" s="5"/>
    </row>
    <row r="21" spans="1:24" s="44" customFormat="1" ht="24" customHeight="1">
      <c r="A21" s="633" t="s">
        <v>2556</v>
      </c>
      <c r="B21" s="96" t="e">
        <f>IF(MUKEN,Uebersetzung!D9,Uebersetzung!D356)</f>
        <v>#REF!</v>
      </c>
      <c r="C21" s="1170" t="str">
        <f>IF(Projekt1="","",Projekt1)</f>
        <v/>
      </c>
      <c r="D21" s="1170"/>
      <c r="E21" s="1170"/>
      <c r="F21" s="1170"/>
      <c r="G21" s="112" t="str">
        <f>Uebersetzung!D10</f>
        <v>N° cadastre:</v>
      </c>
      <c r="H21" s="406" t="e">
        <f>Projekt2</f>
        <v>#REF!</v>
      </c>
      <c r="I21" s="494" t="e">
        <f>IF(MUKEN,Uebersetzung!D11,Uebersetzung!D358)</f>
        <v>#REF!</v>
      </c>
      <c r="J21" s="403"/>
      <c r="K21" s="407" t="e">
        <f>Projekt3</f>
        <v>#REF!</v>
      </c>
      <c r="L21" s="101"/>
      <c r="M21" s="588"/>
      <c r="N21" s="438"/>
      <c r="O21" s="438"/>
      <c r="P21" s="438"/>
      <c r="Q21" s="438"/>
      <c r="R21" s="438"/>
      <c r="S21" s="438"/>
      <c r="T21" s="438"/>
      <c r="U21" s="102"/>
      <c r="V21" s="620"/>
      <c r="W21" s="5"/>
      <c r="X21" s="5"/>
    </row>
    <row r="22" spans="1:24" s="44" customFormat="1" ht="24" customHeight="1">
      <c r="A22" s="633" t="s">
        <v>2557</v>
      </c>
      <c r="B22" s="97" t="e">
        <f>IF(MUKEN,Uebersetzung!D13,Uebersetzung!D359)</f>
        <v>#REF!</v>
      </c>
      <c r="C22" s="1168" t="e">
        <f>#REF!</f>
        <v>#REF!</v>
      </c>
      <c r="D22" s="1168"/>
      <c r="E22" s="1168"/>
      <c r="F22" s="1168"/>
      <c r="G22" s="1168"/>
      <c r="H22" s="1168"/>
      <c r="I22" s="1168"/>
      <c r="J22" s="1168"/>
      <c r="K22" s="1169"/>
      <c r="L22" s="101"/>
      <c r="M22" s="101"/>
      <c r="N22" s="101"/>
      <c r="O22" s="101"/>
      <c r="P22" s="101"/>
      <c r="Q22" s="101"/>
      <c r="R22" s="101"/>
      <c r="S22" s="101"/>
      <c r="T22" s="101"/>
      <c r="U22" s="101"/>
      <c r="V22" s="621"/>
      <c r="X22" s="5"/>
    </row>
    <row r="23" spans="1:24" s="44" customFormat="1" ht="19.149999999999999" hidden="1" customHeight="1">
      <c r="A23" s="633"/>
      <c r="B23" s="8"/>
      <c r="C23" s="8"/>
      <c r="D23" s="9"/>
      <c r="E23" s="9"/>
      <c r="F23" s="9"/>
      <c r="G23" s="9"/>
      <c r="H23" s="5"/>
      <c r="I23" s="5"/>
      <c r="J23" s="5"/>
      <c r="K23" s="5"/>
      <c r="L23" s="101"/>
      <c r="M23" s="588"/>
      <c r="N23" s="438"/>
      <c r="O23" s="438"/>
      <c r="P23" s="438"/>
      <c r="Q23" s="438"/>
      <c r="R23" s="438"/>
      <c r="S23" s="438"/>
      <c r="T23" s="438"/>
      <c r="U23" s="102"/>
      <c r="V23" s="620"/>
      <c r="W23" s="5"/>
      <c r="X23" s="5"/>
    </row>
    <row r="24" spans="1:24" s="44" customFormat="1" ht="19.149999999999999" hidden="1" customHeight="1">
      <c r="A24" s="633"/>
      <c r="B24" s="8"/>
      <c r="C24" s="8"/>
      <c r="D24" s="9"/>
      <c r="E24" s="9"/>
      <c r="F24" s="9"/>
      <c r="G24" s="9"/>
      <c r="H24" s="5"/>
      <c r="I24" s="5"/>
      <c r="J24" s="5"/>
      <c r="K24" s="5"/>
      <c r="L24" s="101"/>
      <c r="M24" s="588"/>
      <c r="N24" s="438"/>
      <c r="O24" s="438"/>
      <c r="P24" s="438"/>
      <c r="Q24" s="438"/>
      <c r="R24" s="438"/>
      <c r="S24" s="438"/>
      <c r="T24" s="438"/>
      <c r="U24" s="102"/>
      <c r="V24" s="620"/>
      <c r="W24" s="5"/>
      <c r="X24" s="5"/>
    </row>
    <row r="25" spans="1:24" s="44" customFormat="1" ht="19.149999999999999" hidden="1" customHeight="1">
      <c r="A25" s="633"/>
      <c r="B25" s="8"/>
      <c r="C25" s="8"/>
      <c r="D25" s="9"/>
      <c r="E25" s="9"/>
      <c r="F25" s="9"/>
      <c r="G25" s="9"/>
      <c r="H25" s="5"/>
      <c r="I25" s="5"/>
      <c r="J25" s="5"/>
      <c r="K25" s="5"/>
      <c r="L25" s="101"/>
      <c r="M25" s="588"/>
      <c r="N25" s="438"/>
      <c r="O25" s="438"/>
      <c r="P25" s="438"/>
      <c r="Q25" s="438"/>
      <c r="R25" s="438"/>
      <c r="S25" s="438"/>
      <c r="T25" s="438"/>
      <c r="U25" s="102"/>
      <c r="V25" s="620"/>
      <c r="W25" s="5"/>
      <c r="X25" s="5"/>
    </row>
    <row r="26" spans="1:24" s="44" customFormat="1" ht="12" customHeight="1">
      <c r="A26" s="634"/>
      <c r="B26" s="5"/>
      <c r="C26" s="5"/>
      <c r="D26" s="5"/>
      <c r="E26" s="5"/>
      <c r="F26" s="9"/>
      <c r="G26" s="9"/>
      <c r="H26" s="5"/>
      <c r="I26" s="5"/>
      <c r="J26" s="5"/>
      <c r="K26" s="5" t="str">
        <f>Uebersetzung!D26</f>
        <v>non</v>
      </c>
      <c r="L26" s="101"/>
      <c r="M26" s="588"/>
      <c r="N26" s="438"/>
      <c r="O26" s="438"/>
      <c r="P26" s="438"/>
      <c r="Q26" s="438"/>
      <c r="R26" s="438"/>
      <c r="S26" s="438"/>
      <c r="T26" s="438"/>
      <c r="U26" s="102"/>
      <c r="V26" s="620"/>
      <c r="W26" s="5"/>
      <c r="X26" s="5"/>
    </row>
    <row r="27" spans="1:24" s="44" customFormat="1" ht="1.1499999999999999" customHeight="1">
      <c r="A27" s="634"/>
      <c r="B27" s="3"/>
      <c r="C27" s="3"/>
      <c r="D27" s="3"/>
      <c r="E27" s="3"/>
      <c r="F27" s="3"/>
      <c r="G27" s="3"/>
      <c r="H27" s="9"/>
      <c r="I27" s="9"/>
      <c r="J27" s="9"/>
      <c r="K27" s="9"/>
      <c r="L27" s="101"/>
      <c r="M27" s="588"/>
      <c r="N27" s="438"/>
      <c r="O27" s="438"/>
      <c r="P27" s="438"/>
      <c r="Q27" s="438"/>
      <c r="R27" s="438"/>
      <c r="S27" s="438"/>
      <c r="T27" s="438"/>
      <c r="U27" s="102"/>
      <c r="V27" s="620"/>
      <c r="W27" s="5"/>
      <c r="X27" s="5"/>
    </row>
    <row r="28" spans="1:24" s="44" customFormat="1" ht="20.100000000000001" customHeight="1">
      <c r="A28" s="634" t="s">
        <v>2558</v>
      </c>
      <c r="B28" s="426" t="str">
        <f>Uebersetzung!D428</f>
        <v>Satisfaction de l'exigence principale</v>
      </c>
      <c r="C28" s="185"/>
      <c r="D28" s="186"/>
      <c r="E28" s="187"/>
      <c r="F28" s="188"/>
      <c r="G28" s="189"/>
      <c r="H28" s="190"/>
      <c r="I28" s="193"/>
      <c r="J28" s="191"/>
      <c r="K28" s="192"/>
      <c r="L28" s="101"/>
      <c r="M28" s="588"/>
      <c r="N28" s="438"/>
      <c r="O28" s="438"/>
      <c r="P28" s="438"/>
      <c r="Q28" s="438"/>
      <c r="R28" s="438"/>
      <c r="S28" s="438"/>
      <c r="T28" s="438"/>
      <c r="U28" s="102"/>
      <c r="V28" s="620"/>
      <c r="W28" s="5"/>
      <c r="X28" s="5"/>
    </row>
    <row r="29" spans="1:24" s="44" customFormat="1" ht="15.95" customHeight="1">
      <c r="A29" s="634"/>
      <c r="B29" s="427"/>
      <c r="C29" s="11"/>
      <c r="D29" s="11"/>
      <c r="E29" s="11"/>
      <c r="F29" s="1153" t="str">
        <f>Uebersetzung!D294</f>
        <v>Exigences</v>
      </c>
      <c r="G29" s="1154"/>
      <c r="H29" s="1153" t="str">
        <f>Uebersetzung!D295</f>
        <v>Valeur calculée</v>
      </c>
      <c r="I29" s="1154"/>
      <c r="J29" s="94"/>
      <c r="K29" s="95" t="str">
        <f>Uebersetzung!D299</f>
        <v>Respectée?</v>
      </c>
      <c r="L29" s="101"/>
      <c r="M29" s="589"/>
      <c r="N29" s="438"/>
      <c r="O29" s="438"/>
      <c r="P29" s="438"/>
      <c r="Q29" s="438"/>
      <c r="R29" s="438"/>
      <c r="S29" s="101"/>
      <c r="T29" s="101"/>
      <c r="U29" s="102"/>
      <c r="V29" s="620"/>
      <c r="W29" s="5"/>
      <c r="X29" s="5"/>
    </row>
    <row r="30" spans="1:24" s="44" customFormat="1" ht="20.100000000000001" customHeight="1">
      <c r="A30" s="634" t="s">
        <v>2559</v>
      </c>
      <c r="B30" s="381" t="str">
        <f>Uebersetzung!D430</f>
        <v>Indice Minergie en kWh/m2</v>
      </c>
      <c r="C30" s="382"/>
      <c r="D30" s="382"/>
      <c r="E30" s="383"/>
      <c r="F30" s="1155" t="e">
        <f>enveloppe_életricité!Z41</f>
        <v>#REF!</v>
      </c>
      <c r="G30" s="1156"/>
      <c r="H30" s="1155" t="e">
        <f>IF(MUKEN=FALSE,#REF!)</f>
        <v>#REF!</v>
      </c>
      <c r="I30" s="1156"/>
      <c r="J30" s="196"/>
      <c r="K30" s="532" t="e">
        <f>IF(ROUND(F30,1)&gt;=ROUND(H30,1),IF(EBF&gt;0,Uebersetzung!D25,Uebersetzung!D26),Uebersetzung!D26)</f>
        <v>#REF!</v>
      </c>
      <c r="L30" s="537" t="e">
        <f>IF(K30=enveloppe_életricité!$N$13,1,IF(K30=enveloppe_életricité!$N$14,2,0))</f>
        <v>#REF!</v>
      </c>
      <c r="M30" s="590"/>
      <c r="N30" s="590"/>
      <c r="O30" s="438"/>
      <c r="P30" s="438"/>
      <c r="Q30" s="438"/>
      <c r="R30" s="438"/>
      <c r="S30" s="101"/>
      <c r="T30" s="101"/>
      <c r="U30" s="102"/>
      <c r="V30" s="620"/>
      <c r="W30" s="5"/>
      <c r="X30" s="5"/>
    </row>
    <row r="31" spans="1:24" s="5" customFormat="1" ht="20.100000000000001" customHeight="1">
      <c r="A31" s="634" t="s">
        <v>2560</v>
      </c>
      <c r="B31" s="384" t="str">
        <f>Uebersetzung!D431</f>
        <v>Indice Minergie en CO2/m2</v>
      </c>
      <c r="C31" s="432"/>
      <c r="D31" s="432"/>
      <c r="E31" s="385"/>
      <c r="F31" s="1149" t="str">
        <f>Uebersetzung!D462</f>
        <v>Pas d’exigence</v>
      </c>
      <c r="G31" s="1150"/>
      <c r="H31" s="1149" t="e">
        <f>#REF!</f>
        <v>#REF!</v>
      </c>
      <c r="I31" s="1150"/>
      <c r="J31" s="380"/>
      <c r="K31" s="413"/>
      <c r="L31" s="101"/>
      <c r="M31" s="588"/>
      <c r="N31" s="438"/>
      <c r="O31" s="438"/>
      <c r="P31" s="438"/>
      <c r="Q31" s="438"/>
      <c r="R31" s="438"/>
      <c r="S31" s="438"/>
      <c r="T31" s="438"/>
      <c r="U31" s="102"/>
      <c r="V31" s="620"/>
    </row>
    <row r="32" spans="1:24" s="5" customFormat="1" ht="9.9499999999999993" customHeight="1">
      <c r="A32" s="635"/>
      <c r="B32" s="76"/>
      <c r="C32" s="76"/>
      <c r="D32" s="76"/>
      <c r="E32" s="76"/>
      <c r="F32" s="28"/>
      <c r="G32" s="28"/>
      <c r="H32" s="28"/>
      <c r="I32" s="28"/>
      <c r="J32" s="76"/>
      <c r="K32" s="76"/>
      <c r="L32" s="101"/>
      <c r="M32" s="588"/>
      <c r="N32" s="438"/>
      <c r="O32" s="438"/>
      <c r="P32" s="438"/>
      <c r="Q32" s="438"/>
      <c r="R32" s="438"/>
      <c r="S32" s="438"/>
      <c r="T32" s="438"/>
      <c r="U32" s="102"/>
      <c r="V32" s="620"/>
    </row>
    <row r="33" spans="1:22" s="5" customFormat="1" ht="9.6" hidden="1" customHeight="1">
      <c r="A33" s="635"/>
      <c r="B33" s="76"/>
      <c r="C33" s="76"/>
      <c r="D33" s="76"/>
      <c r="E33" s="76"/>
      <c r="F33" s="28"/>
      <c r="G33" s="28"/>
      <c r="H33" s="28"/>
      <c r="I33" s="28"/>
      <c r="J33" s="76"/>
      <c r="K33" s="76"/>
      <c r="L33" s="101"/>
      <c r="M33" s="588"/>
      <c r="N33" s="438"/>
      <c r="O33" s="438"/>
      <c r="P33" s="438"/>
      <c r="Q33" s="438"/>
      <c r="R33" s="438"/>
      <c r="S33" s="438"/>
      <c r="T33" s="438"/>
      <c r="U33" s="102"/>
      <c r="V33" s="620"/>
    </row>
    <row r="34" spans="1:22" s="5" customFormat="1" ht="9.6" hidden="1" customHeight="1">
      <c r="A34" s="635"/>
      <c r="B34" s="76"/>
      <c r="C34" s="76"/>
      <c r="D34" s="76"/>
      <c r="E34" s="76"/>
      <c r="F34" s="28"/>
      <c r="G34" s="28"/>
      <c r="H34" s="28"/>
      <c r="I34" s="28"/>
      <c r="J34" s="76"/>
      <c r="K34" s="76"/>
      <c r="L34" s="101"/>
      <c r="M34" s="588"/>
      <c r="N34" s="438"/>
      <c r="O34" s="438"/>
      <c r="P34" s="438"/>
      <c r="Q34" s="438"/>
      <c r="R34" s="438"/>
      <c r="S34" s="438"/>
      <c r="T34" s="438"/>
      <c r="U34" s="102"/>
      <c r="V34" s="620"/>
    </row>
    <row r="35" spans="1:22" s="5" customFormat="1" ht="19.899999999999999" customHeight="1">
      <c r="A35" s="633" t="s">
        <v>2561</v>
      </c>
      <c r="B35" s="426" t="str">
        <f>Uebersetzung!D429</f>
        <v>Satisfaction des exigences de base</v>
      </c>
      <c r="C35" s="185"/>
      <c r="D35" s="186"/>
      <c r="E35" s="187"/>
      <c r="F35" s="188"/>
      <c r="G35" s="189"/>
      <c r="H35" s="190"/>
      <c r="I35" s="193"/>
      <c r="J35" s="191"/>
      <c r="K35" s="192"/>
      <c r="L35" s="102"/>
      <c r="M35" s="438"/>
      <c r="N35" s="438"/>
      <c r="O35" s="438"/>
      <c r="P35" s="438"/>
      <c r="Q35" s="438"/>
      <c r="R35" s="438"/>
      <c r="S35" s="438"/>
      <c r="T35" s="438"/>
      <c r="U35" s="102"/>
      <c r="V35" s="620"/>
    </row>
    <row r="36" spans="1:22" s="5" customFormat="1" ht="15.95" customHeight="1">
      <c r="A36" s="633"/>
      <c r="B36" s="427"/>
      <c r="C36" s="11"/>
      <c r="D36" s="11"/>
      <c r="E36" s="11"/>
      <c r="F36" s="1153" t="str">
        <f>Uebersetzung!D294</f>
        <v>Exigences</v>
      </c>
      <c r="G36" s="1154"/>
      <c r="H36" s="1153" t="str">
        <f>Uebersetzung!D295</f>
        <v>Valeur calculée</v>
      </c>
      <c r="I36" s="1154"/>
      <c r="J36" s="94"/>
      <c r="K36" s="95" t="str">
        <f>Uebersetzung!D299</f>
        <v>Respectée?</v>
      </c>
      <c r="L36" s="102"/>
      <c r="M36" s="438"/>
      <c r="N36" s="438"/>
      <c r="O36" s="438"/>
      <c r="P36" s="438"/>
      <c r="Q36" s="591" t="s">
        <v>2306</v>
      </c>
      <c r="R36" s="591" t="s">
        <v>2307</v>
      </c>
      <c r="S36" s="591" t="s">
        <v>2308</v>
      </c>
      <c r="T36" s="438"/>
      <c r="U36" s="102"/>
      <c r="V36" s="620"/>
    </row>
    <row r="37" spans="1:22" s="5" customFormat="1" ht="19.899999999999999" customHeight="1">
      <c r="A37" s="634" t="s">
        <v>2562</v>
      </c>
      <c r="B37" s="381" t="str">
        <f>Uebersetzung!D432</f>
        <v>Besoins de chaleur en kWh/m²</v>
      </c>
      <c r="C37" s="382"/>
      <c r="D37" s="382"/>
      <c r="E37" s="612" t="s">
        <v>2315</v>
      </c>
      <c r="F37" s="1155" t="e">
        <f>enveloppe_életricité!Z18</f>
        <v>#REF!</v>
      </c>
      <c r="G37" s="1156"/>
      <c r="H37" s="1155" t="e">
        <f>enveloppe_életricité!Z26</f>
        <v>#REF!</v>
      </c>
      <c r="I37" s="1156"/>
      <c r="J37" s="196"/>
      <c r="K37" s="533" t="e">
        <f>IF(AND(F37=0,H37&gt;0),Uebersetzung!D25,IF(AND(F37&gt;0,H37&gt;0),IF(ROUND(F37,1)&gt;=ROUND(H37,1),Uebersetzung!D25,Uebersetzung!D26),))</f>
        <v>#REF!</v>
      </c>
      <c r="L37" s="537" t="e">
        <f>IF(K37=enveloppe_életricité!$N$13,1,IF(K37=enveloppe_életricité!$N$14,2,0))</f>
        <v>#REF!</v>
      </c>
      <c r="M37" s="438"/>
      <c r="N37" s="438"/>
      <c r="O37" s="438"/>
      <c r="P37" s="438"/>
      <c r="Q37" s="438">
        <v>0</v>
      </c>
      <c r="R37" s="438">
        <v>0</v>
      </c>
      <c r="S37" s="439" t="e">
        <f>S60-S38</f>
        <v>#REF!</v>
      </c>
      <c r="T37" s="438"/>
      <c r="U37" s="102"/>
      <c r="V37" s="620"/>
    </row>
    <row r="38" spans="1:22" s="5" customFormat="1" ht="19.899999999999999" customHeight="1">
      <c r="A38" s="634" t="s">
        <v>2563</v>
      </c>
      <c r="B38" s="386" t="str">
        <f>Uebersetzung!D433</f>
        <v>Energie finale sans photovoltaïque en kWh/m²</v>
      </c>
      <c r="C38" s="387"/>
      <c r="D38" s="387"/>
      <c r="E38" s="388"/>
      <c r="F38" s="1161" t="e">
        <f>IF(#REF!="",0,#REF!)</f>
        <v>#REF!</v>
      </c>
      <c r="G38" s="1162"/>
      <c r="H38" s="1161" t="e">
        <f>IF(#REF!="",0,#REF!)</f>
        <v>#REF!</v>
      </c>
      <c r="I38" s="1162"/>
      <c r="J38" s="297"/>
      <c r="K38" s="534" t="e">
        <f>IF(ROUND(F38,1)&gt;=ROUND(H38,1),IF(EBF&gt;0,Uebersetzung!D25,Uebersetzung!D26),Uebersetzung!D26)</f>
        <v>#REF!</v>
      </c>
      <c r="L38" s="537" t="e">
        <f>IF(K38=enveloppe_életricité!$N$13,1,IF(K38=enveloppe_életricité!$N$14,2,0))</f>
        <v>#REF!</v>
      </c>
      <c r="M38" s="438" t="s">
        <v>2415</v>
      </c>
      <c r="N38" s="624">
        <v>0</v>
      </c>
      <c r="O38" s="438"/>
      <c r="P38" s="438"/>
      <c r="Q38" s="438">
        <v>0</v>
      </c>
      <c r="R38" s="438">
        <v>0</v>
      </c>
      <c r="S38" s="439" t="e">
        <f>MIN(S60,N56)</f>
        <v>#REF!</v>
      </c>
      <c r="T38" s="438"/>
      <c r="U38" s="102"/>
      <c r="V38" s="620"/>
    </row>
    <row r="39" spans="1:22" s="5" customFormat="1" ht="20.100000000000001" customHeight="1">
      <c r="A39" s="634" t="s">
        <v>2564</v>
      </c>
      <c r="B39" s="377" t="str">
        <f>Uebersetzung!D434</f>
        <v>Valeur limite Minergie pour l'éclairage en kWh/m²</v>
      </c>
      <c r="C39" s="8"/>
      <c r="D39" s="8"/>
      <c r="E39" s="100"/>
      <c r="F39" s="1157">
        <f>enveloppe_életricité!K88</f>
        <v>0</v>
      </c>
      <c r="G39" s="1158"/>
      <c r="H39" s="1157">
        <f>enveloppe_életricité!K89</f>
        <v>0</v>
      </c>
      <c r="I39" s="1158"/>
      <c r="J39" s="477"/>
      <c r="K39" s="535" t="e">
        <f>IF(AND(F39=0,OR(enveloppe_életricité!S82,enveloppe_életricité!S84,enveloppe_életricité!S86)),Uebersetzung!D26,IF(AND(F39&gt;0,H39&gt;0),IF(ROUND(F39,1)&gt;=ROUND(H39,1),Uebersetzung!D25,Uebersetzung!D26),))</f>
        <v>#REF!</v>
      </c>
      <c r="L39" s="537" t="e">
        <f>IF(K39=enveloppe_életricité!$N$13,1,IF(K39=enveloppe_életricité!$N$14,2,0))</f>
        <v>#REF!</v>
      </c>
      <c r="M39" s="438"/>
      <c r="N39" s="438">
        <f>IF(N38=1,0,1)</f>
        <v>1</v>
      </c>
      <c r="O39" s="438"/>
      <c r="P39" s="438"/>
      <c r="Q39" s="438">
        <v>0</v>
      </c>
      <c r="R39" s="438">
        <v>0</v>
      </c>
      <c r="S39" s="439" t="e">
        <f>IF(N52&lt;0,0,N54)</f>
        <v>#REF!</v>
      </c>
      <c r="T39" s="438"/>
      <c r="U39" s="102"/>
      <c r="V39" s="620"/>
    </row>
    <row r="40" spans="1:22" s="5" customFormat="1" ht="24" customHeight="1">
      <c r="A40" s="634" t="s">
        <v>2565</v>
      </c>
      <c r="B40" s="1052" t="str">
        <f>enveloppe_életricité!B97</f>
        <v>Taille minimale de l'installation d’autoproduction d’électricité:</v>
      </c>
      <c r="C40" s="1095"/>
      <c r="D40" s="1095"/>
      <c r="E40" s="478" t="s">
        <v>1893</v>
      </c>
      <c r="F40" s="1163" t="e">
        <f>enveloppe_életricité!E97</f>
        <v>#REF!</v>
      </c>
      <c r="G40" s="1164"/>
      <c r="H40" s="1163">
        <f>enveloppe_életricité!E95</f>
        <v>0</v>
      </c>
      <c r="I40" s="1164"/>
      <c r="J40" s="297"/>
      <c r="K40" s="534" t="e">
        <f>IF(wkk,Uebersetzung!D25,IF(ROUND(H40,2)&gt;=ROUND(F40,2),IF(EBF&gt;0,Uebersetzung!D25,Uebersetzung!D26),Uebersetzung!D26))</f>
        <v>#REF!</v>
      </c>
      <c r="L40" s="537" t="e">
        <f>IF(K40=enveloppe_életricité!$N$13,1,IF(K40=enveloppe_életricité!$N$14,2,0))</f>
        <v>#REF!</v>
      </c>
      <c r="M40" s="438"/>
      <c r="N40" s="438"/>
      <c r="O40" s="438"/>
      <c r="P40" s="438"/>
      <c r="Q40" s="438">
        <v>0</v>
      </c>
      <c r="R40" s="438">
        <v>0</v>
      </c>
      <c r="S40" s="439" t="e">
        <f>IF(N52&lt;0,0,N53)</f>
        <v>#REF!</v>
      </c>
      <c r="T40" s="438"/>
      <c r="U40" s="102"/>
      <c r="V40" s="620"/>
    </row>
    <row r="41" spans="1:22" s="5" customFormat="1" ht="19.899999999999999" customHeight="1">
      <c r="A41" s="634" t="s">
        <v>2566</v>
      </c>
      <c r="B41" s="386" t="str">
        <f>été_documents!B2</f>
        <v>Protection thermique estivale dans le label Minergie</v>
      </c>
      <c r="C41" s="497"/>
      <c r="D41" s="497"/>
      <c r="E41" s="498"/>
      <c r="F41" s="526"/>
      <c r="G41" s="527"/>
      <c r="H41" s="526"/>
      <c r="I41" s="527"/>
      <c r="J41" s="36"/>
      <c r="K41" s="536" t="e">
        <f>IF(été_documents!R100,Uebersetzung!D25,Uebersetzung!D26)</f>
        <v>#REF!</v>
      </c>
      <c r="L41" s="537" t="e">
        <f>IF(K41=enveloppe_életricité!$N$13,1,IF(K41=enveloppe_életricité!$N$14,2,0))</f>
        <v>#REF!</v>
      </c>
      <c r="M41" s="588"/>
      <c r="N41" s="438"/>
      <c r="O41" s="438"/>
      <c r="P41" s="618" t="str">
        <f>M43</f>
        <v>Chauffage</v>
      </c>
      <c r="Q41" s="439" t="e">
        <f>(enveloppe_életricité!Z47-R42)*(1/(R43+R41)*R41)*N39</f>
        <v>#REF!</v>
      </c>
      <c r="R41" s="439" t="e">
        <f t="shared" ref="R41:R46" si="0">N43</f>
        <v>#REF!</v>
      </c>
      <c r="S41" s="438">
        <v>0</v>
      </c>
      <c r="T41" s="438"/>
      <c r="U41" s="102"/>
      <c r="V41" s="620"/>
    </row>
    <row r="42" spans="1:22" s="5" customFormat="1" ht="19.899999999999999" customHeight="1">
      <c r="A42" s="634" t="s">
        <v>2567</v>
      </c>
      <c r="B42" s="304" t="str">
        <f>Uebersetzung!D464</f>
        <v>Part d'énergies fossiles</v>
      </c>
      <c r="C42" s="501"/>
      <c r="D42" s="501"/>
      <c r="E42" s="502" t="s">
        <v>2192</v>
      </c>
      <c r="F42" s="1147" t="e">
        <f>IF(AND(enveloppe_életricité!AH38&gt;0,H42&gt;0),enveloppe_életricité!AH22,)</f>
        <v>#REF!</v>
      </c>
      <c r="G42" s="1148"/>
      <c r="H42" s="1147" t="e">
        <f>IF(enveloppe_életricité!AH16&gt;0,enveloppe_életricité!AH39,)</f>
        <v>#REF!</v>
      </c>
      <c r="I42" s="1148"/>
      <c r="J42" s="501"/>
      <c r="K42" s="535" t="e">
        <f>IF(ROUND(H42,3)&lt;=ROUND(F42,3),Uebersetzung!D25,Uebersetzung!D26)</f>
        <v>#REF!</v>
      </c>
      <c r="L42" s="537" t="e">
        <f>IF(K42=enveloppe_életricité!$N$13,1,IF(K42=enveloppe_életricité!$N$14,2,0))</f>
        <v>#REF!</v>
      </c>
      <c r="M42" s="588" t="str">
        <f>Uebersetzung!D446</f>
        <v>Besoins</v>
      </c>
      <c r="N42" s="438"/>
      <c r="O42" s="438"/>
      <c r="P42" s="618" t="str">
        <f>M44</f>
        <v>Eau chaude</v>
      </c>
      <c r="Q42" s="439" t="e">
        <f>R42*N39</f>
        <v>#REF!</v>
      </c>
      <c r="R42" s="439" t="e">
        <f t="shared" si="0"/>
        <v>#REF!</v>
      </c>
      <c r="S42" s="438">
        <v>0</v>
      </c>
      <c r="T42" s="438"/>
      <c r="U42" s="102"/>
      <c r="V42" s="620"/>
    </row>
    <row r="43" spans="1:22" s="5" customFormat="1" ht="23.1" customHeight="1">
      <c r="A43" s="634" t="s">
        <v>2568</v>
      </c>
      <c r="B43" s="1151" t="e">
        <f>IF(minergiea,Uebersetzung!D465,"")</f>
        <v>#REF!</v>
      </c>
      <c r="C43" s="1152"/>
      <c r="D43" s="1152"/>
      <c r="E43" s="110" t="s">
        <v>1902</v>
      </c>
      <c r="F43" s="1159" t="e">
        <f>IF(minergiea,enveloppe_életricité!G99,"")</f>
        <v>#REF!</v>
      </c>
      <c r="G43" s="1160"/>
      <c r="H43" s="1159" t="e">
        <f>IF(minergiea,enveloppe_életricité!H99,"")</f>
        <v>#REF!</v>
      </c>
      <c r="I43" s="1160"/>
      <c r="J43" s="15"/>
      <c r="K43" s="630" t="e">
        <f>IF(AND(F43&gt;0,H43&gt;0),IF(ROUND(F43,1)&lt;=ROUND(H43,1),Uebersetzung!D25,Uebersetzung!D26),)</f>
        <v>#REF!</v>
      </c>
      <c r="L43" s="537" t="e">
        <f>IF(K43=enveloppe_életricité!$N$13,1,IF(K43=enveloppe_életricité!$N$14,2,0))</f>
        <v>#REF!</v>
      </c>
      <c r="M43" s="438" t="str">
        <f>Uebersetzung!D436</f>
        <v>Chauffage</v>
      </c>
      <c r="N43" s="439" t="e">
        <f>enveloppe_életricité!S99</f>
        <v>#REF!</v>
      </c>
      <c r="O43" s="438" t="s">
        <v>256</v>
      </c>
      <c r="P43" s="618" t="str">
        <f>M45</f>
        <v>ventilation et climatisation</v>
      </c>
      <c r="Q43" s="439" t="e">
        <f>(enveloppe_életricité!Z47-R42-Q41)*N39</f>
        <v>#REF!</v>
      </c>
      <c r="R43" s="439" t="e">
        <f t="shared" si="0"/>
        <v>#REF!</v>
      </c>
      <c r="S43" s="438">
        <v>0</v>
      </c>
      <c r="T43" s="438"/>
      <c r="U43" s="102"/>
      <c r="V43" s="620"/>
    </row>
    <row r="44" spans="1:22" s="5" customFormat="1" ht="19.899999999999999" customHeight="1">
      <c r="A44" s="634" t="s">
        <v>2569</v>
      </c>
      <c r="B44" s="499" t="str">
        <f>"   "&amp;Uebersetzung!D435</f>
        <v xml:space="preserve">   Visualisation de l'indice Minergie</v>
      </c>
      <c r="C44" s="418"/>
      <c r="D44" s="26"/>
      <c r="E44" s="26"/>
      <c r="F44" s="26"/>
      <c r="G44" s="26"/>
      <c r="H44" s="26"/>
      <c r="I44" s="26"/>
      <c r="J44" s="26"/>
      <c r="K44" s="500" t="s">
        <v>2141</v>
      </c>
      <c r="L44" s="102"/>
      <c r="M44" s="438" t="str">
        <f>Uebersetzung!D437</f>
        <v>Eau chaude</v>
      </c>
      <c r="N44" s="439" t="e">
        <f>enveloppe_életricité!S20</f>
        <v>#REF!</v>
      </c>
      <c r="O44" s="438" t="s">
        <v>256</v>
      </c>
      <c r="P44" s="618" t="str">
        <f>M46</f>
        <v>Electricité d'habitation</v>
      </c>
      <c r="Q44" s="439" t="e">
        <f>enveloppe_életricité!Z48</f>
        <v>#REF!</v>
      </c>
      <c r="R44" s="439" t="e">
        <f t="shared" si="0"/>
        <v>#REF!</v>
      </c>
      <c r="S44" s="438">
        <v>0</v>
      </c>
      <c r="T44" s="438"/>
      <c r="U44" s="102"/>
      <c r="V44" s="620"/>
    </row>
    <row r="45" spans="1:22" s="5" customFormat="1" ht="19.899999999999999" customHeight="1">
      <c r="A45" s="634"/>
      <c r="B45" s="1144" t="str">
        <f>M67&amp;"    "</f>
        <v xml:space="preserve">                                  E HWLK,li +
                        Besoins standard électricité
      </v>
      </c>
      <c r="C45" s="1145"/>
      <c r="D45" s="1145"/>
      <c r="E45" s="1145" t="str">
        <f>"             
 "&amp;M65</f>
        <v xml:space="preserve">             
        Valeur de l'objet
 </v>
      </c>
      <c r="F45" s="1145"/>
      <c r="G45" s="1145"/>
      <c r="H45" s="1146" t="str">
        <f>M63</f>
        <v xml:space="preserve">   Production PV</v>
      </c>
      <c r="I45" s="1146"/>
      <c r="J45" s="26"/>
      <c r="K45" s="495" t="str">
        <f>Uebersetzung!D479&amp;" "&amp;Uebersetzung!D480</f>
        <v>MKZ H</v>
      </c>
      <c r="L45" s="102"/>
      <c r="M45" s="438" t="str">
        <f>Uebersetzung!D470</f>
        <v>ventilation et climatisation</v>
      </c>
      <c r="N45" s="616" t="e">
        <f>enveloppe_életricité!S100</f>
        <v>#REF!</v>
      </c>
      <c r="O45" s="438" t="s">
        <v>256</v>
      </c>
      <c r="P45" s="625" t="str">
        <f>M47</f>
        <v>Eclairage</v>
      </c>
      <c r="Q45" s="439" t="e">
        <f>enveloppe_életricité!Z49</f>
        <v>#REF!</v>
      </c>
      <c r="R45" s="439" t="e">
        <f t="shared" si="0"/>
        <v>#REF!</v>
      </c>
      <c r="S45" s="438">
        <v>0</v>
      </c>
      <c r="T45" s="438"/>
      <c r="U45" s="102"/>
      <c r="V45" s="620"/>
    </row>
    <row r="46" spans="1:22" s="5" customFormat="1" ht="24" customHeight="1">
      <c r="A46" s="634" t="s">
        <v>2570</v>
      </c>
      <c r="B46" s="1144"/>
      <c r="C46" s="1145"/>
      <c r="D46" s="1145"/>
      <c r="E46" s="1145"/>
      <c r="F46" s="1145"/>
      <c r="G46" s="1145"/>
      <c r="H46" s="1146"/>
      <c r="I46" s="1146"/>
      <c r="J46" s="26"/>
      <c r="K46" s="496" t="e">
        <f>N43</f>
        <v>#REF!</v>
      </c>
      <c r="L46" s="102"/>
      <c r="M46" s="438" t="str">
        <f>Uebersetzung!D443</f>
        <v>Electricité d'habitation</v>
      </c>
      <c r="N46" s="439" t="e">
        <f>enveloppe_életricité!S46</f>
        <v>#REF!</v>
      </c>
      <c r="O46" s="438" t="s">
        <v>256</v>
      </c>
      <c r="P46" s="618" t="s">
        <v>1428</v>
      </c>
      <c r="Q46" s="439" t="e">
        <f>enveloppe_életricité!Z50</f>
        <v>#REF!</v>
      </c>
      <c r="R46" s="439" t="e">
        <f t="shared" si="0"/>
        <v>#REF!</v>
      </c>
      <c r="S46" s="438">
        <v>0</v>
      </c>
      <c r="T46" s="438"/>
      <c r="U46" s="102"/>
      <c r="V46" s="620"/>
    </row>
    <row r="47" spans="1:22" s="5" customFormat="1" ht="20.100000000000001" customHeight="1">
      <c r="A47" s="634"/>
      <c r="B47" s="1144"/>
      <c r="C47" s="1145"/>
      <c r="D47" s="1145"/>
      <c r="E47" s="652"/>
      <c r="F47" s="652"/>
      <c r="G47" s="652"/>
      <c r="H47" s="631"/>
      <c r="I47" s="631"/>
      <c r="J47" s="26"/>
      <c r="K47" s="495" t="str">
        <f>Uebersetzung!D479&amp;" "&amp;Uebersetzung!D481</f>
        <v>MKZ ww</v>
      </c>
      <c r="L47" s="102"/>
      <c r="M47" s="438" t="str">
        <f>Uebersetzung!D438</f>
        <v>Eclairage</v>
      </c>
      <c r="N47" s="439" t="e">
        <f>enveloppe_életricité!S57+enveloppe_életricité!S90+enveloppe_életricité!S95</f>
        <v>#REF!</v>
      </c>
      <c r="O47" s="438" t="s">
        <v>256</v>
      </c>
      <c r="P47" s="438" t="str">
        <f>M49</f>
        <v>Installations techn. du bâtiment</v>
      </c>
      <c r="Q47" s="439" t="e">
        <f>enveloppe_életricité!Z51</f>
        <v>#REF!</v>
      </c>
      <c r="R47" s="439" t="e">
        <f>N49</f>
        <v>#REF!</v>
      </c>
      <c r="S47" s="438">
        <v>0</v>
      </c>
      <c r="T47" s="438"/>
      <c r="U47" s="102"/>
      <c r="V47" s="620"/>
    </row>
    <row r="48" spans="1:22" s="5" customFormat="1" ht="20.100000000000001" customHeight="1">
      <c r="A48" s="634" t="s">
        <v>2571</v>
      </c>
      <c r="B48" s="417"/>
      <c r="C48" s="418"/>
      <c r="D48" s="26"/>
      <c r="E48" s="26"/>
      <c r="F48" s="26"/>
      <c r="G48" s="26"/>
      <c r="H48" s="26"/>
      <c r="I48" s="26"/>
      <c r="J48" s="26"/>
      <c r="K48" s="496" t="e">
        <f>N44</f>
        <v>#REF!</v>
      </c>
      <c r="L48" s="102"/>
      <c r="M48" s="438" t="str">
        <f>Uebersetzung!D439</f>
        <v>Appareils</v>
      </c>
      <c r="N48" s="439" t="e">
        <f>enveloppe_életricité!S60</f>
        <v>#REF!</v>
      </c>
      <c r="O48" s="438" t="s">
        <v>256</v>
      </c>
      <c r="P48" s="617" t="s">
        <v>2311</v>
      </c>
      <c r="Q48" s="439" t="e">
        <f>enveloppe_életricité!Z47*N38</f>
        <v>#REF!</v>
      </c>
      <c r="R48" s="438">
        <v>0</v>
      </c>
      <c r="S48" s="438">
        <v>0</v>
      </c>
      <c r="T48" s="438"/>
      <c r="U48" s="102"/>
      <c r="V48" s="620"/>
    </row>
    <row r="49" spans="1:22" s="5" customFormat="1" ht="20.100000000000001" customHeight="1">
      <c r="A49" s="648"/>
      <c r="B49" s="292"/>
      <c r="C49" s="26"/>
      <c r="D49" s="26"/>
      <c r="E49" s="26"/>
      <c r="F49" s="26"/>
      <c r="G49" s="26"/>
      <c r="H49" s="26"/>
      <c r="I49" s="26"/>
      <c r="J49" s="26"/>
      <c r="K49" s="495" t="str">
        <f>Uebersetzung!D479&amp;" "&amp;Uebersetzung!D482</f>
        <v>MKZ LK</v>
      </c>
      <c r="L49" s="102"/>
      <c r="M49" s="438" t="str">
        <f>Uebersetzung!D440</f>
        <v>Installations techn. du bâtiment</v>
      </c>
      <c r="N49" s="439" t="e">
        <f>enveloppe_életricité!S69</f>
        <v>#REF!</v>
      </c>
      <c r="O49" s="438" t="s">
        <v>256</v>
      </c>
      <c r="P49" s="438"/>
      <c r="Q49" s="439">
        <v>0</v>
      </c>
      <c r="R49" s="438"/>
      <c r="S49" s="438"/>
      <c r="T49" s="438"/>
      <c r="U49" s="102"/>
      <c r="V49" s="620"/>
    </row>
    <row r="50" spans="1:22" s="5" customFormat="1" ht="20.100000000000001" customHeight="1">
      <c r="A50" s="636" t="s">
        <v>2572</v>
      </c>
      <c r="B50" s="292"/>
      <c r="C50" s="26"/>
      <c r="D50" s="26"/>
      <c r="E50" s="26"/>
      <c r="F50" s="26"/>
      <c r="G50" s="26"/>
      <c r="H50" s="26"/>
      <c r="I50" s="26"/>
      <c r="J50" s="26"/>
      <c r="K50" s="496" t="e">
        <f>N45</f>
        <v>#REF!</v>
      </c>
      <c r="L50" s="102"/>
      <c r="M50" s="438" t="s">
        <v>338</v>
      </c>
      <c r="N50" s="439" t="e">
        <f>SUM(N43:N49)</f>
        <v>#REF!</v>
      </c>
      <c r="O50" s="438" t="s">
        <v>256</v>
      </c>
      <c r="P50" s="438"/>
      <c r="Q50" s="439">
        <v>0</v>
      </c>
      <c r="R50" s="438">
        <v>0</v>
      </c>
      <c r="S50" s="438">
        <v>0</v>
      </c>
      <c r="T50" s="438"/>
      <c r="U50" s="102"/>
      <c r="V50" s="620"/>
    </row>
    <row r="51" spans="1:22" s="5" customFormat="1" ht="20.100000000000001" customHeight="1">
      <c r="A51" s="636"/>
      <c r="B51" s="292"/>
      <c r="C51" s="26"/>
      <c r="D51" s="26"/>
      <c r="E51" s="26"/>
      <c r="F51" s="26"/>
      <c r="G51" s="26"/>
      <c r="H51" s="26"/>
      <c r="I51" s="26"/>
      <c r="J51" s="26"/>
      <c r="K51" s="627" t="str">
        <f>Uebersetzung!D479&amp;" "&amp;Uebersetzung!D483</f>
        <v>MKZ el,wohn.</v>
      </c>
      <c r="L51" s="102"/>
      <c r="M51" s="438" t="str">
        <f>Uebersetzung!D441</f>
        <v>Besoins d'énergie finale</v>
      </c>
      <c r="N51" s="439"/>
      <c r="O51" s="438"/>
      <c r="P51" s="618"/>
      <c r="Q51" s="102"/>
      <c r="R51" s="438">
        <v>0</v>
      </c>
      <c r="S51" s="438">
        <v>0</v>
      </c>
      <c r="T51" s="438"/>
      <c r="U51" s="102"/>
      <c r="V51" s="620"/>
    </row>
    <row r="52" spans="1:22" s="5" customFormat="1" ht="20.100000000000001" customHeight="1">
      <c r="A52" s="636" t="s">
        <v>2573</v>
      </c>
      <c r="B52" s="292"/>
      <c r="C52" s="114"/>
      <c r="D52" s="26"/>
      <c r="E52" s="26"/>
      <c r="F52" s="26"/>
      <c r="G52" s="26"/>
      <c r="H52" s="26"/>
      <c r="I52" s="26"/>
      <c r="J52" s="26"/>
      <c r="K52" s="496" t="e">
        <f>N46</f>
        <v>#REF!</v>
      </c>
      <c r="L52" s="102"/>
      <c r="M52" s="438" t="str">
        <f>Uebersetzung!D442</f>
        <v>Indice Minergie</v>
      </c>
      <c r="N52" s="439" t="e">
        <f>H30</f>
        <v>#REF!</v>
      </c>
      <c r="O52" s="438" t="s">
        <v>256</v>
      </c>
      <c r="P52" s="618"/>
      <c r="Q52" s="102"/>
      <c r="R52" s="438">
        <v>0</v>
      </c>
      <c r="S52" s="438">
        <v>0</v>
      </c>
      <c r="T52" s="438"/>
      <c r="U52" s="102"/>
      <c r="V52" s="620"/>
    </row>
    <row r="53" spans="1:22" s="5" customFormat="1" ht="20.100000000000001" customHeight="1">
      <c r="A53" s="637"/>
      <c r="B53" s="292"/>
      <c r="C53" s="114"/>
      <c r="D53" s="114"/>
      <c r="E53" s="114"/>
      <c r="F53" s="114"/>
      <c r="G53" s="114"/>
      <c r="H53" s="114"/>
      <c r="I53" s="114"/>
      <c r="J53" s="114"/>
      <c r="K53" s="495" t="str">
        <f>Uebersetzung!D479&amp;" "&amp;Uebersetzung!D484</f>
        <v>MKZ Bel</v>
      </c>
      <c r="L53" s="115"/>
      <c r="M53" s="438" t="str">
        <f>Uebersetzung!D444</f>
        <v>PV autoconsommation</v>
      </c>
      <c r="N53" s="439" t="e">
        <f>enveloppe_életricité!S72</f>
        <v>#REF!</v>
      </c>
      <c r="O53" s="438" t="s">
        <v>1479</v>
      </c>
      <c r="P53" s="102"/>
      <c r="Q53" s="102"/>
      <c r="R53" s="438">
        <v>0</v>
      </c>
      <c r="S53" s="438">
        <v>0</v>
      </c>
      <c r="T53" s="438"/>
      <c r="U53" s="102"/>
      <c r="V53" s="620"/>
    </row>
    <row r="54" spans="1:22" s="5" customFormat="1" ht="20.100000000000001" customHeight="1">
      <c r="A54" s="634" t="s">
        <v>2574</v>
      </c>
      <c r="B54" s="417"/>
      <c r="C54" s="114"/>
      <c r="D54" s="114"/>
      <c r="E54" s="114"/>
      <c r="F54" s="114"/>
      <c r="G54" s="114"/>
      <c r="H54" s="114"/>
      <c r="I54" s="114"/>
      <c r="J54" s="114"/>
      <c r="K54" s="496" t="e">
        <f>N47</f>
        <v>#REF!</v>
      </c>
      <c r="L54" s="115"/>
      <c r="M54" s="438" t="str">
        <f>Uebersetzung!D445</f>
        <v>PV part injectée</v>
      </c>
      <c r="N54" s="619" t="e">
        <f>enveloppe_életricité!S73</f>
        <v>#REF!</v>
      </c>
      <c r="O54" s="438" t="s">
        <v>1480</v>
      </c>
      <c r="P54" s="618"/>
      <c r="Q54" s="102"/>
      <c r="R54" s="438">
        <v>0</v>
      </c>
      <c r="S54" s="438">
        <v>0</v>
      </c>
      <c r="T54" s="438"/>
      <c r="U54" s="102"/>
      <c r="V54" s="620"/>
    </row>
    <row r="55" spans="1:22" s="5" customFormat="1" ht="20.100000000000001" customHeight="1">
      <c r="A55" s="633"/>
      <c r="B55" s="417"/>
      <c r="C55" s="419"/>
      <c r="D55" s="298"/>
      <c r="E55" s="26"/>
      <c r="F55" s="26"/>
      <c r="G55" s="26"/>
      <c r="H55" s="26"/>
      <c r="I55" s="26"/>
      <c r="J55" s="26"/>
      <c r="K55" s="495" t="str">
        <f>Uebersetzung!D479&amp;" "&amp;Uebersetzung!D485</f>
        <v>MKZ Geräte</v>
      </c>
      <c r="L55" s="101"/>
      <c r="M55" s="588" t="s">
        <v>338</v>
      </c>
      <c r="N55" s="590" t="e">
        <f>SUM(N52:N54)</f>
        <v>#REF!</v>
      </c>
      <c r="O55" s="588" t="s">
        <v>1486</v>
      </c>
      <c r="P55" s="438"/>
      <c r="Q55" s="439" t="e">
        <f>SUM(Q37:Q53)</f>
        <v>#REF!</v>
      </c>
      <c r="R55" s="439" t="e">
        <f>SUM(R30:R54)</f>
        <v>#REF!</v>
      </c>
      <c r="S55" s="439" t="e">
        <f>SUM(S37:S40)</f>
        <v>#REF!</v>
      </c>
      <c r="T55" s="439" t="e">
        <f>S55</f>
        <v>#REF!</v>
      </c>
      <c r="U55" s="102"/>
      <c r="V55" s="620"/>
    </row>
    <row r="56" spans="1:22" s="5" customFormat="1" ht="20.100000000000001" customHeight="1">
      <c r="A56" s="633" t="s">
        <v>2575</v>
      </c>
      <c r="B56" s="417"/>
      <c r="C56" s="418"/>
      <c r="D56" s="298"/>
      <c r="E56" s="26"/>
      <c r="F56" s="26"/>
      <c r="G56" s="26"/>
      <c r="H56" s="26"/>
      <c r="I56" s="26"/>
      <c r="J56" s="26"/>
      <c r="K56" s="496" t="e">
        <f>N48</f>
        <v>#REF!</v>
      </c>
      <c r="L56" s="102"/>
      <c r="M56" s="438" t="str">
        <f>Uebersetzung!D473</f>
        <v>PV non pris en compte</v>
      </c>
      <c r="N56" s="439" t="e">
        <f>N54/4*6</f>
        <v>#REF!</v>
      </c>
      <c r="O56" s="438" t="s">
        <v>1479</v>
      </c>
      <c r="P56" s="438"/>
      <c r="Q56" s="439">
        <v>1</v>
      </c>
      <c r="R56" s="438">
        <v>3</v>
      </c>
      <c r="S56" s="438">
        <v>1</v>
      </c>
      <c r="T56" s="438">
        <v>3</v>
      </c>
      <c r="U56" s="102"/>
      <c r="V56" s="620"/>
    </row>
    <row r="57" spans="1:22" s="5" customFormat="1" ht="17.25" customHeight="1">
      <c r="A57" s="634"/>
      <c r="B57" s="417"/>
      <c r="C57" s="420"/>
      <c r="D57" s="421"/>
      <c r="E57" s="26"/>
      <c r="F57" s="26"/>
      <c r="G57" s="26"/>
      <c r="H57" s="26"/>
      <c r="I57" s="26"/>
      <c r="J57" s="26"/>
      <c r="K57" s="495" t="str">
        <f>Uebersetzung!D479&amp;" "&amp;Uebersetzung!D486</f>
        <v>MKZ AGT</v>
      </c>
      <c r="L57" s="102"/>
      <c r="M57" s="438"/>
      <c r="N57" s="438"/>
      <c r="O57" s="438"/>
      <c r="P57" s="438"/>
      <c r="Q57" s="438"/>
      <c r="R57" s="438"/>
      <c r="S57" s="438"/>
      <c r="T57" s="438"/>
      <c r="U57" s="102"/>
      <c r="V57" s="620"/>
    </row>
    <row r="58" spans="1:22" s="5" customFormat="1" ht="17.25" customHeight="1">
      <c r="A58" s="634" t="s">
        <v>2576</v>
      </c>
      <c r="B58" s="417"/>
      <c r="C58" s="420"/>
      <c r="D58" s="298"/>
      <c r="E58" s="26"/>
      <c r="F58" s="26"/>
      <c r="G58" s="26"/>
      <c r="H58" s="26"/>
      <c r="I58" s="26"/>
      <c r="J58" s="26"/>
      <c r="K58" s="496" t="e">
        <f>N49</f>
        <v>#REF!</v>
      </c>
      <c r="L58" s="102"/>
      <c r="M58" s="438" t="str">
        <f>Uebersetzung!D447</f>
        <v>Potentiel d'optimisation</v>
      </c>
      <c r="N58" s="439" t="e">
        <f>H30-F30</f>
        <v>#REF!</v>
      </c>
      <c r="O58" s="438" t="s">
        <v>1479</v>
      </c>
      <c r="P58" s="438"/>
      <c r="Q58" s="439"/>
      <c r="R58" s="438"/>
      <c r="S58" s="438"/>
      <c r="T58" s="438"/>
      <c r="U58" s="102"/>
      <c r="V58" s="620"/>
    </row>
    <row r="59" spans="1:22" s="5" customFormat="1" ht="17.25" customHeight="1">
      <c r="A59" s="634"/>
      <c r="B59" s="417"/>
      <c r="C59" s="420"/>
      <c r="D59" s="298"/>
      <c r="E59" s="26"/>
      <c r="F59" s="26"/>
      <c r="G59" s="26"/>
      <c r="H59" s="26"/>
      <c r="I59" s="26"/>
      <c r="J59" s="26"/>
      <c r="K59" s="495" t="str">
        <f>"E "&amp;Uebersetzung!D487</f>
        <v>E EB</v>
      </c>
      <c r="L59" s="102"/>
      <c r="M59" s="438"/>
      <c r="N59" s="438"/>
      <c r="O59" s="438"/>
      <c r="P59" s="438"/>
      <c r="Q59" s="439"/>
      <c r="R59" s="438"/>
      <c r="S59" s="438">
        <v>1</v>
      </c>
      <c r="T59" s="438">
        <v>3</v>
      </c>
      <c r="U59" s="102"/>
      <c r="V59" s="620"/>
    </row>
    <row r="60" spans="1:22" s="5" customFormat="1" ht="17.25" customHeight="1">
      <c r="A60" s="634" t="s">
        <v>2577</v>
      </c>
      <c r="B60" s="417"/>
      <c r="C60" s="420" t="b">
        <v>0</v>
      </c>
      <c r="D60" s="298"/>
      <c r="E60" s="26"/>
      <c r="F60" s="26"/>
      <c r="G60" s="26"/>
      <c r="H60" s="26"/>
      <c r="I60" s="26"/>
      <c r="J60" s="26"/>
      <c r="K60" s="496" t="e">
        <f>N53</f>
        <v>#REF!</v>
      </c>
      <c r="L60" s="102"/>
      <c r="M60" s="438" t="str">
        <f>M52</f>
        <v>Indice Minergie</v>
      </c>
      <c r="N60" s="434" t="e">
        <f>H30</f>
        <v>#REF!</v>
      </c>
      <c r="O60" s="438" t="s">
        <v>1479</v>
      </c>
      <c r="P60" s="438"/>
      <c r="Q60" s="102"/>
      <c r="R60" s="102"/>
      <c r="S60" s="439" t="e">
        <f>N60</f>
        <v>#REF!</v>
      </c>
      <c r="T60" s="439" t="e">
        <f>S60</f>
        <v>#REF!</v>
      </c>
      <c r="U60" s="102"/>
      <c r="V60" s="620"/>
    </row>
    <row r="61" spans="1:22" s="5" customFormat="1" ht="17.25" customHeight="1">
      <c r="A61" s="634"/>
      <c r="B61" s="417"/>
      <c r="C61" s="420" t="b">
        <v>0</v>
      </c>
      <c r="D61" s="298"/>
      <c r="E61" s="26"/>
      <c r="F61" s="26"/>
      <c r="G61" s="26"/>
      <c r="H61" s="26"/>
      <c r="I61" s="26"/>
      <c r="J61" s="26"/>
      <c r="K61" s="495" t="str">
        <f>"E "&amp;Uebersetzung!D488</f>
        <v>E Netz</v>
      </c>
      <c r="L61" s="102"/>
      <c r="M61" s="438" t="e">
        <f>IF(N52&lt;0,M52,Uebersetzung!D450)</f>
        <v>#REF!</v>
      </c>
      <c r="N61" s="439" t="e">
        <f>F30</f>
        <v>#REF!</v>
      </c>
      <c r="O61" s="438" t="s">
        <v>1479</v>
      </c>
      <c r="P61" s="438"/>
      <c r="Q61" s="102"/>
      <c r="R61" s="102"/>
      <c r="S61" s="439" t="e">
        <f>N61</f>
        <v>#REF!</v>
      </c>
      <c r="T61" s="439" t="e">
        <f>S61</f>
        <v>#REF!</v>
      </c>
      <c r="U61" s="102"/>
      <c r="V61" s="620"/>
    </row>
    <row r="62" spans="1:22" s="5" customFormat="1" ht="17.25" customHeight="1">
      <c r="A62" s="634" t="s">
        <v>2578</v>
      </c>
      <c r="B62" s="417"/>
      <c r="C62" s="420" t="b">
        <v>1</v>
      </c>
      <c r="D62" s="298"/>
      <c r="E62" s="26"/>
      <c r="F62" s="26"/>
      <c r="G62" s="26"/>
      <c r="H62" s="26"/>
      <c r="I62" s="26"/>
      <c r="J62" s="26"/>
      <c r="K62" s="496" t="e">
        <f>N54</f>
        <v>#REF!</v>
      </c>
      <c r="L62" s="434"/>
      <c r="M62" s="438" t="str">
        <f>Uebersetzung!D449</f>
        <v>Besoins</v>
      </c>
      <c r="N62" s="438"/>
      <c r="O62" s="438"/>
      <c r="P62" s="438"/>
      <c r="Q62" s="439"/>
      <c r="R62" s="438"/>
      <c r="S62" s="438"/>
      <c r="T62" s="438"/>
      <c r="U62" s="102"/>
      <c r="V62" s="620"/>
    </row>
    <row r="63" spans="1:22" s="5" customFormat="1" ht="17.25" customHeight="1">
      <c r="A63" s="634" t="s">
        <v>2579</v>
      </c>
      <c r="B63" s="41"/>
      <c r="C63" s="422"/>
      <c r="D63" s="423"/>
      <c r="E63" s="27"/>
      <c r="F63" s="27"/>
      <c r="G63" s="27"/>
      <c r="H63" s="27"/>
      <c r="I63" s="27"/>
      <c r="J63" s="27"/>
      <c r="K63" s="583" t="e">
        <f>Uebersetzung!D479&amp;" = "&amp;ROUND(N52,1)</f>
        <v>#REF!</v>
      </c>
      <c r="L63" s="102"/>
      <c r="M63" s="438" t="str">
        <f>Uebersetzung!D471</f>
        <v xml:space="preserve">   Production PV</v>
      </c>
      <c r="N63" s="438"/>
      <c r="O63" s="438"/>
      <c r="P63" s="438"/>
      <c r="Q63" s="438"/>
      <c r="R63" s="438"/>
      <c r="S63" s="438"/>
      <c r="T63" s="438"/>
      <c r="U63" s="102"/>
      <c r="V63" s="620"/>
    </row>
    <row r="64" spans="1:22" s="5" customFormat="1" ht="17.25" hidden="1" customHeight="1">
      <c r="A64" s="634" t="s">
        <v>69</v>
      </c>
      <c r="B64" s="427" t="e">
        <f>IF(auswahl8&gt;0,INDEX(#REF!,9),"")</f>
        <v>#REF!</v>
      </c>
      <c r="C64" s="428"/>
      <c r="D64" s="199" t="e">
        <f>IF(auswahl8&gt;0,INDEX(#REF!,9),"")</f>
        <v>#REF!</v>
      </c>
      <c r="E64" s="200"/>
      <c r="F64" s="201"/>
      <c r="G64" s="202" t="s">
        <v>154</v>
      </c>
      <c r="H64" s="202" t="s">
        <v>155</v>
      </c>
      <c r="I64" s="203" t="e">
        <f>IF(OR(minergiep,minergiea),IF(Neubau=2,"0.6 1/h",IF(Neubau=3,"1.5 1/h","0.6 (bzw. 1.5)")),)</f>
        <v>#REF!</v>
      </c>
      <c r="J64" s="429"/>
      <c r="K64" s="430"/>
      <c r="L64" s="101"/>
      <c r="M64" s="588" t="b">
        <v>0</v>
      </c>
      <c r="N64" s="438"/>
      <c r="O64" s="438"/>
      <c r="P64" s="438"/>
      <c r="Q64" s="438"/>
      <c r="R64" s="438"/>
      <c r="S64" s="438"/>
      <c r="T64" s="438"/>
      <c r="U64" s="102"/>
      <c r="V64" s="620"/>
    </row>
    <row r="65" spans="1:22" s="81" customFormat="1">
      <c r="A65" s="636"/>
      <c r="B65" s="431">
        <f ca="1">NOW()</f>
        <v>43157.464211226848</v>
      </c>
      <c r="C65" s="5"/>
      <c r="D65" s="5"/>
      <c r="E65" s="5"/>
      <c r="F65" s="5"/>
      <c r="G65" s="5"/>
      <c r="H65" s="5"/>
      <c r="I65" s="5"/>
      <c r="J65" s="5"/>
      <c r="K65" s="98" t="e">
        <f>#REF!</f>
        <v>#REF!</v>
      </c>
      <c r="L65" s="435"/>
      <c r="M65" s="438" t="str">
        <f>Uebersetzung!D472</f>
        <v xml:space="preserve">       Valeur de l'objet
 </v>
      </c>
      <c r="N65" s="592"/>
      <c r="O65" s="592"/>
      <c r="P65" s="592"/>
      <c r="Q65" s="592"/>
      <c r="R65" s="592"/>
      <c r="S65" s="592"/>
      <c r="T65" s="592"/>
      <c r="U65" s="436"/>
      <c r="V65" s="622"/>
    </row>
    <row r="66" spans="1:22" s="81" customFormat="1">
      <c r="A66" s="636"/>
      <c r="F66" s="404"/>
      <c r="G66" s="404"/>
      <c r="H66" s="404"/>
      <c r="I66" s="695"/>
      <c r="L66" s="435"/>
      <c r="M66" s="593"/>
      <c r="N66" s="592"/>
      <c r="O66" s="592"/>
      <c r="P66" s="592"/>
      <c r="Q66" s="592"/>
      <c r="R66" s="592"/>
      <c r="S66" s="592"/>
      <c r="T66" s="592"/>
      <c r="U66" s="436"/>
      <c r="V66" s="622"/>
    </row>
    <row r="67" spans="1:22">
      <c r="K67" s="694"/>
      <c r="M67" s="594" t="str">
        <f>Uebersetzung!D477</f>
        <v xml:space="preserve">                                  E HWLK,li +
                        Besoins standard électricité
  </v>
      </c>
    </row>
  </sheetData>
  <sheetProtection sheet="1" objects="1" scenarios="1"/>
  <mergeCells count="31">
    <mergeCell ref="F38:G38"/>
    <mergeCell ref="H38:I38"/>
    <mergeCell ref="F40:G40"/>
    <mergeCell ref="H40:I40"/>
    <mergeCell ref="G2:K2"/>
    <mergeCell ref="G3:K3"/>
    <mergeCell ref="D18:F18"/>
    <mergeCell ref="H18:I18"/>
    <mergeCell ref="C22:K22"/>
    <mergeCell ref="C21:F21"/>
    <mergeCell ref="F29:G29"/>
    <mergeCell ref="H29:I29"/>
    <mergeCell ref="F30:G30"/>
    <mergeCell ref="H30:I30"/>
    <mergeCell ref="F31:G31"/>
    <mergeCell ref="B45:D47"/>
    <mergeCell ref="H45:I46"/>
    <mergeCell ref="E45:G46"/>
    <mergeCell ref="H42:I42"/>
    <mergeCell ref="H31:I31"/>
    <mergeCell ref="B40:D40"/>
    <mergeCell ref="B43:D43"/>
    <mergeCell ref="F36:G36"/>
    <mergeCell ref="H36:I36"/>
    <mergeCell ref="F37:G37"/>
    <mergeCell ref="H37:I37"/>
    <mergeCell ref="F39:G39"/>
    <mergeCell ref="F43:G43"/>
    <mergeCell ref="H43:I43"/>
    <mergeCell ref="F42:G42"/>
    <mergeCell ref="H39:I39"/>
  </mergeCells>
  <conditionalFormatting sqref="J64">
    <cfRule type="expression" dxfId="23" priority="27" stopIfTrue="1">
      <formula>minergiep=TRUE</formula>
    </cfRule>
  </conditionalFormatting>
  <conditionalFormatting sqref="G64:H64">
    <cfRule type="expression" dxfId="22" priority="28" stopIfTrue="1">
      <formula>$B$64&lt;&gt;""</formula>
    </cfRule>
  </conditionalFormatting>
  <conditionalFormatting sqref="F30:K31">
    <cfRule type="expression" dxfId="21" priority="25">
      <formula>MUKEN=TRUE</formula>
    </cfRule>
  </conditionalFormatting>
  <conditionalFormatting sqref="B43 H43 J43 E43:F43">
    <cfRule type="expression" dxfId="20" priority="23">
      <formula>minergiea=FALSE</formula>
    </cfRule>
  </conditionalFormatting>
  <conditionalFormatting sqref="B42:K42">
    <cfRule type="expression" dxfId="19" priority="20">
      <formula>minergiea=FALSE</formula>
    </cfRule>
    <cfRule type="expression" dxfId="18" priority="22">
      <formula>minergiea</formula>
    </cfRule>
  </conditionalFormatting>
  <conditionalFormatting sqref="K30">
    <cfRule type="expression" dxfId="17" priority="18">
      <formula>$L$30=2</formula>
    </cfRule>
    <cfRule type="expression" dxfId="16" priority="19">
      <formula>$L$30=1</formula>
    </cfRule>
  </conditionalFormatting>
  <conditionalFormatting sqref="K37">
    <cfRule type="expression" dxfId="15" priority="9">
      <formula>$L$37=2</formula>
    </cfRule>
    <cfRule type="expression" dxfId="14" priority="17">
      <formula>$L$37=1</formula>
    </cfRule>
  </conditionalFormatting>
  <conditionalFormatting sqref="K38">
    <cfRule type="expression" dxfId="13" priority="8">
      <formula>$L$38=2</formula>
    </cfRule>
    <cfRule type="expression" dxfId="12" priority="16">
      <formula>$L$38=1</formula>
    </cfRule>
  </conditionalFormatting>
  <conditionalFormatting sqref="K40">
    <cfRule type="expression" dxfId="11" priority="7">
      <formula>$L$40=2</formula>
    </cfRule>
    <cfRule type="expression" dxfId="10" priority="15">
      <formula>$L$40=1</formula>
    </cfRule>
  </conditionalFormatting>
  <conditionalFormatting sqref="K39">
    <cfRule type="expression" dxfId="9" priority="6">
      <formula>$L$39=2</formula>
    </cfRule>
    <cfRule type="expression" dxfId="8" priority="14">
      <formula>$L$39=1</formula>
    </cfRule>
  </conditionalFormatting>
  <conditionalFormatting sqref="K41">
    <cfRule type="expression" dxfId="7" priority="5">
      <formula>$L$41=2</formula>
    </cfRule>
    <cfRule type="expression" dxfId="6" priority="13">
      <formula>$L$41=1</formula>
    </cfRule>
  </conditionalFormatting>
  <conditionalFormatting sqref="K42">
    <cfRule type="expression" dxfId="5" priority="10">
      <formula>$L$42=2</formula>
    </cfRule>
    <cfRule type="expression" dxfId="4" priority="12">
      <formula>$L$42=1</formula>
    </cfRule>
  </conditionalFormatting>
  <conditionalFormatting sqref="K43">
    <cfRule type="expression" dxfId="3" priority="2">
      <formula>minergiea=FALSE</formula>
    </cfRule>
    <cfRule type="expression" dxfId="2" priority="3">
      <formula>$L$43=2</formula>
    </cfRule>
    <cfRule type="expression" dxfId="1" priority="4">
      <formula>$L$43=1</formula>
    </cfRule>
  </conditionalFormatting>
  <conditionalFormatting sqref="A43">
    <cfRule type="expression" dxfId="0" priority="1">
      <formula>minergiea=FALSE</formula>
    </cfRule>
  </conditionalFormatting>
  <pageMargins left="0.55118110236220474" right="0.39370078740157483" top="0.31496062992125984" bottom="0.31496062992125984" header="0.31496062992125984" footer="0.31496062992125984"/>
  <pageSetup paperSize="9" scale="85"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1000"/>
  <sheetViews>
    <sheetView zoomScale="90" zoomScaleNormal="90" workbookViewId="0">
      <pane xSplit="1" topLeftCell="B1" activePane="topRight" state="frozen"/>
      <selection activeCell="A294" sqref="A294"/>
      <selection pane="topRight" activeCell="F540" sqref="F540:F699"/>
    </sheetView>
  </sheetViews>
  <sheetFormatPr baseColWidth="10" defaultColWidth="11.5703125" defaultRowHeight="25.9" customHeight="1"/>
  <cols>
    <col min="1" max="1" width="6.85546875" style="65" customWidth="1"/>
    <col min="2" max="2" width="12.7109375" style="149" customWidth="1"/>
    <col min="3" max="3" width="12.140625" style="149" customWidth="1"/>
    <col min="4" max="4" width="46.28515625" style="65" customWidth="1"/>
    <col min="5" max="5" width="51.28515625" style="66" customWidth="1"/>
    <col min="6" max="6" width="46.28515625" style="125" customWidth="1"/>
    <col min="7" max="7" width="46.28515625" style="67" customWidth="1"/>
    <col min="8" max="16384" width="11.5703125" style="68"/>
  </cols>
  <sheetData>
    <row r="1" spans="1:9" s="60" customFormat="1" ht="25.9" customHeight="1">
      <c r="A1" s="119">
        <f>VLOOKUP(C1,H1:I3,2)</f>
        <v>2</v>
      </c>
      <c r="B1" s="148" t="s">
        <v>405</v>
      </c>
      <c r="C1" s="153" t="s">
        <v>77</v>
      </c>
      <c r="D1" s="57"/>
      <c r="E1" s="58" t="s">
        <v>79</v>
      </c>
      <c r="F1" s="124"/>
      <c r="G1" s="59"/>
      <c r="H1" s="68" t="str">
        <f>E3</f>
        <v>deutsch</v>
      </c>
      <c r="I1" s="120">
        <v>1</v>
      </c>
    </row>
    <row r="2" spans="1:9" ht="34.5" customHeight="1">
      <c r="A2" s="473">
        <v>1</v>
      </c>
      <c r="B2" s="469"/>
      <c r="C2" s="472">
        <v>2018</v>
      </c>
      <c r="D2" s="470" t="s">
        <v>1735</v>
      </c>
      <c r="H2" s="68" t="str">
        <f>F3</f>
        <v>französisch</v>
      </c>
      <c r="I2" s="120">
        <v>2</v>
      </c>
    </row>
    <row r="3" spans="1:9" s="64" customFormat="1" ht="25.9" customHeight="1">
      <c r="A3" s="61"/>
      <c r="B3" s="150" t="s">
        <v>317</v>
      </c>
      <c r="C3" s="150" t="s">
        <v>318</v>
      </c>
      <c r="D3" s="61" t="s">
        <v>341</v>
      </c>
      <c r="E3" s="62" t="s">
        <v>76</v>
      </c>
      <c r="F3" s="126" t="s">
        <v>77</v>
      </c>
      <c r="G3" s="63" t="s">
        <v>78</v>
      </c>
      <c r="H3" s="68" t="str">
        <f>G3</f>
        <v>italienisch</v>
      </c>
      <c r="I3" s="120">
        <v>3</v>
      </c>
    </row>
    <row r="4" spans="1:9" ht="25.9" customHeight="1">
      <c r="A4" s="65">
        <v>1</v>
      </c>
      <c r="B4" s="149" t="s">
        <v>22</v>
      </c>
      <c r="C4" s="149" t="s">
        <v>648</v>
      </c>
      <c r="D4" s="121" t="str">
        <f>INDEX($E$4:$G$503,$A4,$A$1)</f>
        <v>v1.31</v>
      </c>
      <c r="E4" s="531" t="s">
        <v>2751</v>
      </c>
      <c r="F4" s="125" t="str">
        <f>E4</f>
        <v>v1.31</v>
      </c>
      <c r="G4" s="67" t="str">
        <f>E4</f>
        <v>v1.31</v>
      </c>
    </row>
    <row r="5" spans="1:9" ht="25.9" customHeight="1">
      <c r="A5" s="65">
        <v>2</v>
      </c>
      <c r="B5" s="149" t="s">
        <v>22</v>
      </c>
      <c r="C5" s="149" t="s">
        <v>407</v>
      </c>
      <c r="D5" s="121" t="str">
        <f t="shared" ref="D5:D68" si="0">INDEX($E$4:$G$503,$A5,$A$1)</f>
        <v>Formulaire EN101b, v1.31, à utiliser jusqu'au 31. décembre 2017</v>
      </c>
      <c r="E5" s="75" t="str">
        <f>"Formular EN101b, "&amp;E4&amp;", zu verwenden bis 31. Dezember 2017"</f>
        <v>Formular EN101b, v1.31, zu verwenden bis 31. Dezember 2017</v>
      </c>
      <c r="F5" s="125" t="str">
        <f>"Formulaire EN101b, "&amp;E4&amp;", à utiliser jusqu'au 31. décembre 2017"</f>
        <v>Formulaire EN101b, v1.31, à utiliser jusqu'au 31. décembre 2017</v>
      </c>
      <c r="G5" s="67" t="str">
        <f>"Formulario EN101b, "&amp;E4&amp;", da utilizzare fino al 31.12.2017"</f>
        <v>Formulario EN101b, v1.31, da utilizzare fino al 31.12.2017</v>
      </c>
    </row>
    <row r="6" spans="1:9" ht="25.9" customHeight="1">
      <c r="A6" s="65">
        <v>3</v>
      </c>
      <c r="B6" s="149" t="s">
        <v>22</v>
      </c>
      <c r="C6" s="149" t="s">
        <v>408</v>
      </c>
      <c r="D6" s="121" t="str">
        <f t="shared" si="0"/>
        <v>Justificatif énergétique</v>
      </c>
      <c r="E6" s="66" t="s">
        <v>359</v>
      </c>
      <c r="F6" s="125" t="s">
        <v>1068</v>
      </c>
      <c r="G6" s="67" t="s">
        <v>807</v>
      </c>
    </row>
    <row r="7" spans="1:9" ht="25.9" customHeight="1">
      <c r="A7" s="65">
        <v>4</v>
      </c>
      <c r="B7" s="149" t="s">
        <v>22</v>
      </c>
      <c r="C7" s="149" t="s">
        <v>409</v>
      </c>
      <c r="D7" s="121" t="str">
        <f t="shared" si="0"/>
        <v>Besoin d'énergie</v>
      </c>
      <c r="E7" s="66" t="s">
        <v>1275</v>
      </c>
      <c r="F7" s="125" t="s">
        <v>1276</v>
      </c>
      <c r="G7" s="67" t="s">
        <v>1277</v>
      </c>
    </row>
    <row r="8" spans="1:9" ht="25.9" customHeight="1">
      <c r="A8" s="65">
        <v>5</v>
      </c>
      <c r="B8" s="149" t="s">
        <v>22</v>
      </c>
      <c r="C8" s="149" t="s">
        <v>410</v>
      </c>
      <c r="D8" s="121" t="str">
        <f t="shared" si="0"/>
        <v>Preuve calculée</v>
      </c>
      <c r="E8" s="66" t="s">
        <v>360</v>
      </c>
      <c r="F8" s="125" t="s">
        <v>1069</v>
      </c>
      <c r="G8" s="67" t="s">
        <v>808</v>
      </c>
    </row>
    <row r="9" spans="1:9" ht="25.9" customHeight="1">
      <c r="A9" s="65">
        <v>6</v>
      </c>
      <c r="B9" s="149" t="s">
        <v>22</v>
      </c>
      <c r="C9" s="149" t="s">
        <v>411</v>
      </c>
      <c r="D9" s="121" t="str">
        <f t="shared" si="0"/>
        <v>Commune:</v>
      </c>
      <c r="E9" s="66" t="s">
        <v>381</v>
      </c>
      <c r="F9" s="125" t="s">
        <v>1070</v>
      </c>
      <c r="G9" s="67" t="s">
        <v>809</v>
      </c>
    </row>
    <row r="10" spans="1:9" ht="26.1" customHeight="1">
      <c r="A10" s="65">
        <v>7</v>
      </c>
      <c r="B10" s="149" t="s">
        <v>22</v>
      </c>
      <c r="C10" s="149" t="s">
        <v>782</v>
      </c>
      <c r="D10" s="121" t="str">
        <f t="shared" si="0"/>
        <v>N° cadastre:</v>
      </c>
      <c r="E10" s="66" t="s">
        <v>384</v>
      </c>
      <c r="F10" s="125" t="s">
        <v>1071</v>
      </c>
      <c r="G10" s="67" t="s">
        <v>810</v>
      </c>
    </row>
    <row r="11" spans="1:9" ht="26.1" customHeight="1">
      <c r="A11" s="65">
        <v>8</v>
      </c>
      <c r="B11" s="149" t="s">
        <v>22</v>
      </c>
      <c r="C11" s="149" t="s">
        <v>615</v>
      </c>
      <c r="D11" s="121" t="str">
        <f t="shared" si="0"/>
        <v>N° bâtiment:</v>
      </c>
      <c r="E11" s="66" t="s">
        <v>383</v>
      </c>
      <c r="F11" s="125" t="s">
        <v>1072</v>
      </c>
      <c r="G11" s="67" t="s">
        <v>811</v>
      </c>
    </row>
    <row r="12" spans="1:9" ht="26.1" customHeight="1">
      <c r="A12" s="65">
        <v>9</v>
      </c>
      <c r="B12" s="149" t="s">
        <v>22</v>
      </c>
      <c r="C12" s="149" t="s">
        <v>404</v>
      </c>
      <c r="D12" s="121" t="str">
        <f t="shared" si="0"/>
        <v>Canton:</v>
      </c>
      <c r="E12" s="78" t="s">
        <v>316</v>
      </c>
      <c r="F12" s="127" t="s">
        <v>403</v>
      </c>
      <c r="G12" s="67" t="s">
        <v>812</v>
      </c>
    </row>
    <row r="13" spans="1:9" ht="26.1" customHeight="1">
      <c r="A13" s="65">
        <v>10</v>
      </c>
      <c r="B13" s="149" t="s">
        <v>22</v>
      </c>
      <c r="C13" s="149" t="s">
        <v>414</v>
      </c>
      <c r="D13" s="121" t="str">
        <f t="shared" si="0"/>
        <v>Objet:</v>
      </c>
      <c r="E13" s="66" t="s">
        <v>382</v>
      </c>
      <c r="F13" s="125" t="s">
        <v>1073</v>
      </c>
      <c r="G13" s="67" t="s">
        <v>813</v>
      </c>
    </row>
    <row r="14" spans="1:9" ht="26.1" customHeight="1">
      <c r="A14" s="65">
        <v>11</v>
      </c>
      <c r="B14" s="149" t="s">
        <v>22</v>
      </c>
      <c r="C14" s="149" t="s">
        <v>415</v>
      </c>
      <c r="D14" s="121" t="str">
        <f t="shared" si="0"/>
        <v>Données sur le bâtiment</v>
      </c>
      <c r="E14" s="66" t="s">
        <v>239</v>
      </c>
      <c r="F14" s="125" t="s">
        <v>1074</v>
      </c>
      <c r="G14" s="67" t="s">
        <v>814</v>
      </c>
    </row>
    <row r="15" spans="1:9" ht="26.1" customHeight="1">
      <c r="A15" s="65">
        <v>12</v>
      </c>
      <c r="B15" s="149" t="s">
        <v>22</v>
      </c>
      <c r="C15" s="149" t="s">
        <v>197</v>
      </c>
      <c r="D15" s="121" t="str">
        <f t="shared" si="0"/>
        <v xml:space="preserve">Altitude: </v>
      </c>
      <c r="E15" s="66" t="s">
        <v>396</v>
      </c>
      <c r="F15" s="125" t="s">
        <v>1075</v>
      </c>
      <c r="G15" s="67" t="s">
        <v>815</v>
      </c>
    </row>
    <row r="16" spans="1:9" s="133" customFormat="1" ht="26.1" customHeight="1">
      <c r="A16" s="65">
        <v>13</v>
      </c>
      <c r="B16" s="149" t="s">
        <v>22</v>
      </c>
      <c r="C16" s="149" t="s">
        <v>417</v>
      </c>
      <c r="D16" s="121" t="str">
        <f t="shared" si="0"/>
        <v>m</v>
      </c>
      <c r="E16" s="130" t="s">
        <v>135</v>
      </c>
      <c r="F16" s="131" t="s">
        <v>1076</v>
      </c>
      <c r="G16" s="132" t="s">
        <v>816</v>
      </c>
    </row>
    <row r="17" spans="1:7" ht="26.1" customHeight="1">
      <c r="A17" s="65">
        <v>14</v>
      </c>
      <c r="B17" s="149" t="s">
        <v>22</v>
      </c>
      <c r="C17" s="149" t="s">
        <v>229</v>
      </c>
      <c r="D17" s="121" t="str">
        <f t="shared" si="0"/>
        <v>(Selon la norme SIA 380/1)</v>
      </c>
      <c r="E17" s="66" t="s">
        <v>392</v>
      </c>
      <c r="F17" s="125" t="s">
        <v>1077</v>
      </c>
      <c r="G17" s="67" t="s">
        <v>817</v>
      </c>
    </row>
    <row r="18" spans="1:7" ht="26.1" customHeight="1">
      <c r="A18" s="65">
        <v>15</v>
      </c>
      <c r="B18" s="149" t="s">
        <v>22</v>
      </c>
      <c r="C18" s="149" t="s">
        <v>416</v>
      </c>
      <c r="D18" s="121" t="str">
        <f t="shared" si="0"/>
        <v>Justificatif pour:</v>
      </c>
      <c r="E18" s="66" t="s">
        <v>397</v>
      </c>
      <c r="F18" s="125" t="s">
        <v>1078</v>
      </c>
      <c r="G18" s="67" t="s">
        <v>818</v>
      </c>
    </row>
    <row r="19" spans="1:7" ht="26.1" customHeight="1">
      <c r="A19" s="65">
        <v>16</v>
      </c>
      <c r="B19" s="149" t="s">
        <v>319</v>
      </c>
      <c r="C19" s="149" t="s">
        <v>421</v>
      </c>
      <c r="D19" s="121" t="str">
        <f t="shared" si="0"/>
        <v>Preuve officielle</v>
      </c>
      <c r="E19" s="66" t="s">
        <v>394</v>
      </c>
      <c r="F19" s="125" t="s">
        <v>1079</v>
      </c>
      <c r="G19" s="67" t="s">
        <v>819</v>
      </c>
    </row>
    <row r="20" spans="1:7" ht="26.1" customHeight="1">
      <c r="A20" s="65">
        <v>17</v>
      </c>
      <c r="B20" s="149" t="s">
        <v>319</v>
      </c>
      <c r="C20" s="149" t="s">
        <v>422</v>
      </c>
      <c r="D20" s="121" t="str">
        <f t="shared" si="0"/>
        <v>MINERGIE</v>
      </c>
      <c r="E20" s="66" t="s">
        <v>157</v>
      </c>
      <c r="F20" s="125" t="s">
        <v>157</v>
      </c>
      <c r="G20" s="67" t="s">
        <v>157</v>
      </c>
    </row>
    <row r="21" spans="1:7" ht="26.1" customHeight="1">
      <c r="A21" s="65">
        <v>18</v>
      </c>
      <c r="B21" s="149" t="s">
        <v>319</v>
      </c>
      <c r="C21" s="149" t="s">
        <v>423</v>
      </c>
      <c r="D21" s="121" t="str">
        <f t="shared" si="0"/>
        <v>MINERGIE-P</v>
      </c>
      <c r="E21" s="66" t="s">
        <v>331</v>
      </c>
      <c r="F21" s="125" t="s">
        <v>331</v>
      </c>
      <c r="G21" s="67" t="s">
        <v>331</v>
      </c>
    </row>
    <row r="22" spans="1:7" ht="26.1" customHeight="1">
      <c r="A22" s="65">
        <v>19</v>
      </c>
      <c r="B22" s="149" t="s">
        <v>319</v>
      </c>
      <c r="C22" s="149" t="s">
        <v>424</v>
      </c>
      <c r="D22" s="121" t="str">
        <f t="shared" si="0"/>
        <v>MINERGIE-A</v>
      </c>
      <c r="E22" s="66" t="s">
        <v>395</v>
      </c>
      <c r="F22" s="125" t="s">
        <v>395</v>
      </c>
      <c r="G22" s="67" t="s">
        <v>395</v>
      </c>
    </row>
    <row r="23" spans="1:7" ht="26.1" customHeight="1">
      <c r="A23" s="65">
        <v>20</v>
      </c>
      <c r="B23" s="149" t="s">
        <v>157</v>
      </c>
      <c r="C23" s="149" t="s">
        <v>1423</v>
      </c>
      <c r="D23" s="121" t="str">
        <f t="shared" si="0"/>
        <v>satisfait</v>
      </c>
      <c r="E23" s="66" t="s">
        <v>334</v>
      </c>
      <c r="F23" s="125" t="s">
        <v>1080</v>
      </c>
      <c r="G23" s="67" t="s">
        <v>820</v>
      </c>
    </row>
    <row r="24" spans="1:7" ht="26.1" customHeight="1">
      <c r="A24" s="65">
        <v>21</v>
      </c>
      <c r="B24" s="149" t="s">
        <v>157</v>
      </c>
      <c r="C24" s="149" t="s">
        <v>1424</v>
      </c>
      <c r="D24" s="121" t="str">
        <f t="shared" si="0"/>
        <v>non satisfait</v>
      </c>
      <c r="E24" s="66" t="s">
        <v>335</v>
      </c>
      <c r="F24" s="125" t="s">
        <v>1081</v>
      </c>
      <c r="G24" s="67" t="s">
        <v>821</v>
      </c>
    </row>
    <row r="25" spans="1:7" ht="26.1" customHeight="1">
      <c r="A25" s="65">
        <v>22</v>
      </c>
      <c r="B25" s="149" t="s">
        <v>319</v>
      </c>
      <c r="C25" s="149" t="s">
        <v>425</v>
      </c>
      <c r="D25" s="121" t="str">
        <f t="shared" si="0"/>
        <v>oui</v>
      </c>
      <c r="E25" s="66" t="s">
        <v>72</v>
      </c>
      <c r="F25" s="125" t="s">
        <v>170</v>
      </c>
      <c r="G25" s="67" t="s">
        <v>822</v>
      </c>
    </row>
    <row r="26" spans="1:7" ht="26.1" customHeight="1">
      <c r="A26" s="65">
        <v>23</v>
      </c>
      <c r="B26" s="149" t="s">
        <v>319</v>
      </c>
      <c r="C26" s="149" t="s">
        <v>426</v>
      </c>
      <c r="D26" s="121" t="str">
        <f t="shared" si="0"/>
        <v>non</v>
      </c>
      <c r="E26" s="128" t="s">
        <v>73</v>
      </c>
      <c r="F26" s="129" t="s">
        <v>171</v>
      </c>
      <c r="G26" s="67" t="s">
        <v>823</v>
      </c>
    </row>
    <row r="27" spans="1:7" ht="26.1" customHeight="1">
      <c r="A27" s="65">
        <v>24</v>
      </c>
      <c r="B27" s="149" t="s">
        <v>1336</v>
      </c>
      <c r="C27" s="149" t="s">
        <v>206</v>
      </c>
      <c r="D27" s="121" t="str">
        <f t="shared" si="0"/>
        <v>n.a.</v>
      </c>
      <c r="E27" s="66" t="s">
        <v>117</v>
      </c>
      <c r="F27" s="125" t="s">
        <v>117</v>
      </c>
      <c r="G27" s="67" t="s">
        <v>117</v>
      </c>
    </row>
    <row r="28" spans="1:7" ht="26.1" customHeight="1">
      <c r="A28" s="65">
        <v>25</v>
      </c>
      <c r="B28" s="149" t="s">
        <v>22</v>
      </c>
      <c r="C28" s="149" t="s">
        <v>413</v>
      </c>
      <c r="D28" s="121" t="str">
        <f t="shared" si="0"/>
        <v>Station climat.</v>
      </c>
      <c r="E28" s="66" t="s">
        <v>349</v>
      </c>
      <c r="F28" s="125" t="s">
        <v>1082</v>
      </c>
      <c r="G28" s="67" t="s">
        <v>824</v>
      </c>
    </row>
    <row r="29" spans="1:7" ht="26.1" customHeight="1">
      <c r="A29" s="65">
        <v>26</v>
      </c>
      <c r="B29" s="149" t="s">
        <v>22</v>
      </c>
      <c r="C29" s="149" t="s">
        <v>428</v>
      </c>
      <c r="D29" s="121" t="str">
        <f t="shared" si="0"/>
        <v>Zone</v>
      </c>
      <c r="E29" s="66" t="s">
        <v>156</v>
      </c>
      <c r="F29" s="125" t="s">
        <v>156</v>
      </c>
      <c r="G29" s="67" t="s">
        <v>156</v>
      </c>
    </row>
    <row r="30" spans="1:7" ht="26.1" customHeight="1">
      <c r="A30" s="65">
        <v>27</v>
      </c>
      <c r="B30" s="149" t="s">
        <v>22</v>
      </c>
      <c r="C30" s="149" t="s">
        <v>429</v>
      </c>
      <c r="D30" s="121" t="str">
        <f t="shared" si="0"/>
        <v>Somme</v>
      </c>
      <c r="E30" s="66" t="s">
        <v>240</v>
      </c>
      <c r="F30" s="125" t="s">
        <v>1083</v>
      </c>
      <c r="G30" s="67" t="s">
        <v>825</v>
      </c>
    </row>
    <row r="31" spans="1:7" ht="26.1" customHeight="1">
      <c r="A31" s="65">
        <v>28</v>
      </c>
      <c r="B31" s="149" t="s">
        <v>22</v>
      </c>
      <c r="C31" s="149" t="s">
        <v>419</v>
      </c>
      <c r="D31" s="121" t="str">
        <f t="shared" si="0"/>
        <v>Catégorie d'ouvrage</v>
      </c>
      <c r="E31" s="66" t="s">
        <v>172</v>
      </c>
      <c r="F31" s="125" t="s">
        <v>1084</v>
      </c>
      <c r="G31" s="67" t="s">
        <v>826</v>
      </c>
    </row>
    <row r="32" spans="1:7" ht="26.1" customHeight="1">
      <c r="A32" s="65">
        <v>29</v>
      </c>
      <c r="B32" s="149" t="s">
        <v>22</v>
      </c>
      <c r="C32" s="149" t="s">
        <v>420</v>
      </c>
      <c r="D32" s="121" t="str">
        <f t="shared" si="0"/>
        <v>Avec eau chaude?</v>
      </c>
      <c r="E32" s="66" t="s">
        <v>185</v>
      </c>
      <c r="F32" s="125" t="s">
        <v>1085</v>
      </c>
      <c r="G32" s="67" t="s">
        <v>827</v>
      </c>
    </row>
    <row r="33" spans="1:7" ht="26.1" customHeight="1">
      <c r="A33" s="65">
        <v>30</v>
      </c>
      <c r="B33" s="149" t="s">
        <v>22</v>
      </c>
      <c r="C33" s="149" t="s">
        <v>238</v>
      </c>
      <c r="D33" s="121" t="str">
        <f t="shared" si="0"/>
        <v>Surface de référence énergétique SRE</v>
      </c>
      <c r="E33" s="66" t="s">
        <v>80</v>
      </c>
      <c r="F33" s="125" t="s">
        <v>1086</v>
      </c>
      <c r="G33" s="67" t="s">
        <v>828</v>
      </c>
    </row>
    <row r="34" spans="1:7" ht="26.1" customHeight="1">
      <c r="A34" s="65">
        <v>31</v>
      </c>
      <c r="B34" s="149" t="s">
        <v>22</v>
      </c>
      <c r="C34" s="149" t="s">
        <v>273</v>
      </c>
      <c r="D34" s="121" t="str">
        <f t="shared" si="0"/>
        <v>Nouvelle construction</v>
      </c>
      <c r="E34" s="66" t="s">
        <v>330</v>
      </c>
      <c r="F34" s="125" t="s">
        <v>1087</v>
      </c>
      <c r="G34" s="67" t="s">
        <v>829</v>
      </c>
    </row>
    <row r="35" spans="1:7" ht="26.1" customHeight="1">
      <c r="A35" s="65">
        <v>32</v>
      </c>
      <c r="B35" s="149" t="s">
        <v>22</v>
      </c>
      <c r="C35" s="149" t="s">
        <v>430</v>
      </c>
      <c r="D35" s="121" t="str">
        <f t="shared" si="0"/>
        <v>(moyenne)</v>
      </c>
      <c r="E35" s="66" t="s">
        <v>242</v>
      </c>
      <c r="F35" s="125" t="s">
        <v>1088</v>
      </c>
      <c r="G35" s="67" t="s">
        <v>830</v>
      </c>
    </row>
    <row r="36" spans="1:7" ht="26.1" customHeight="1">
      <c r="A36" s="65">
        <v>33</v>
      </c>
      <c r="B36" s="149" t="s">
        <v>22</v>
      </c>
      <c r="C36" s="149" t="s">
        <v>273</v>
      </c>
      <c r="D36" s="121" t="str">
        <f t="shared" si="0"/>
        <v>Nouvelle construction</v>
      </c>
      <c r="E36" s="66" t="s">
        <v>330</v>
      </c>
      <c r="F36" s="125" t="s">
        <v>1087</v>
      </c>
      <c r="G36" s="67" t="s">
        <v>829</v>
      </c>
    </row>
    <row r="37" spans="1:7" ht="26.1" customHeight="1">
      <c r="A37" s="65">
        <v>34</v>
      </c>
      <c r="B37" s="149" t="s">
        <v>22</v>
      </c>
      <c r="C37" s="149" t="s">
        <v>275</v>
      </c>
      <c r="D37" s="121" t="str">
        <f t="shared" si="0"/>
        <v>Besoins pour chauffage avec renouvellement d'air normal</v>
      </c>
      <c r="E37" s="66" t="s">
        <v>343</v>
      </c>
      <c r="F37" s="125" t="s">
        <v>1089</v>
      </c>
      <c r="G37" s="67" t="s">
        <v>831</v>
      </c>
    </row>
    <row r="38" spans="1:7" ht="26.1" customHeight="1">
      <c r="A38" s="65">
        <v>35</v>
      </c>
      <c r="B38" s="149" t="s">
        <v>22</v>
      </c>
      <c r="C38" s="149" t="s">
        <v>431</v>
      </c>
      <c r="D38" s="121" t="str">
        <f t="shared" si="0"/>
        <v>Installations de ventilation et de climatisation</v>
      </c>
      <c r="E38" s="66" t="s">
        <v>251</v>
      </c>
      <c r="F38" s="125" t="s">
        <v>137</v>
      </c>
      <c r="G38" s="67" t="s">
        <v>2452</v>
      </c>
    </row>
    <row r="39" spans="1:7" ht="46.5" customHeight="1">
      <c r="A39" s="65">
        <v>36</v>
      </c>
      <c r="B39" s="149" t="s">
        <v>22</v>
      </c>
      <c r="C39" s="149" t="s">
        <v>432</v>
      </c>
      <c r="D39" s="121" t="str">
        <f t="shared" si="0"/>
        <v>Le débit d'air neuf thermiquement actif calculé en F45-I45, est à introduire dans le calcul des besoins de chaleur pour le chauffage (SIA 380/1)</v>
      </c>
      <c r="E39" s="66" t="s">
        <v>1280</v>
      </c>
      <c r="F39" s="125" t="s">
        <v>2319</v>
      </c>
      <c r="G39" s="67" t="s">
        <v>832</v>
      </c>
    </row>
    <row r="40" spans="1:7" ht="26.1" customHeight="1">
      <c r="A40" s="65">
        <v>37</v>
      </c>
      <c r="B40" s="149" t="s">
        <v>22</v>
      </c>
      <c r="C40" s="149" t="s">
        <v>433</v>
      </c>
      <c r="D40" s="121" t="str">
        <f t="shared" si="0"/>
        <v>Données pour installation de ventilation standard</v>
      </c>
      <c r="E40" s="66" t="s">
        <v>402</v>
      </c>
      <c r="F40" s="125" t="s">
        <v>1090</v>
      </c>
      <c r="G40" s="67" t="s">
        <v>2451</v>
      </c>
    </row>
    <row r="41" spans="1:7" ht="26.1" customHeight="1">
      <c r="A41" s="65">
        <v>38</v>
      </c>
      <c r="B41" s="149" t="s">
        <v>22</v>
      </c>
      <c r="C41" s="149" t="s">
        <v>250</v>
      </c>
      <c r="D41" s="121" t="str">
        <f t="shared" si="0"/>
        <v>Type d'installation de ventilation standard</v>
      </c>
      <c r="E41" s="66" t="s">
        <v>324</v>
      </c>
      <c r="F41" s="125" t="s">
        <v>1091</v>
      </c>
      <c r="G41" s="67" t="s">
        <v>2453</v>
      </c>
    </row>
    <row r="42" spans="1:7" ht="26.1" customHeight="1">
      <c r="A42" s="65">
        <v>39</v>
      </c>
      <c r="B42" s="149" t="s">
        <v>22</v>
      </c>
      <c r="C42" s="149" t="s">
        <v>436</v>
      </c>
      <c r="D42" s="121" t="str">
        <f t="shared" si="0"/>
        <v>Locaux avec air fourni ou nombre de personnes</v>
      </c>
      <c r="E42" s="66" t="s">
        <v>435</v>
      </c>
      <c r="F42" s="125" t="s">
        <v>1092</v>
      </c>
      <c r="G42" s="67" t="s">
        <v>2454</v>
      </c>
    </row>
    <row r="43" spans="1:7" ht="26.1" customHeight="1">
      <c r="A43" s="65">
        <v>40</v>
      </c>
      <c r="B43" s="149" t="s">
        <v>22</v>
      </c>
      <c r="C43" s="149" t="s">
        <v>436</v>
      </c>
      <c r="D43" s="121" t="str">
        <f t="shared" si="0"/>
        <v>Nombre de locaux avec air fourni</v>
      </c>
      <c r="E43" s="66" t="s">
        <v>115</v>
      </c>
      <c r="F43" s="125" t="s">
        <v>1093</v>
      </c>
      <c r="G43" s="67" t="s">
        <v>2455</v>
      </c>
    </row>
    <row r="44" spans="1:7" ht="26.1" customHeight="1">
      <c r="A44" s="65">
        <v>41</v>
      </c>
      <c r="B44" s="149" t="s">
        <v>22</v>
      </c>
      <c r="C44" s="149" t="s">
        <v>436</v>
      </c>
      <c r="D44" s="121" t="str">
        <f t="shared" si="0"/>
        <v>Nombre de personnes</v>
      </c>
      <c r="E44" s="66" t="s">
        <v>10</v>
      </c>
      <c r="F44" s="125" t="s">
        <v>1094</v>
      </c>
      <c r="G44" s="67" t="s">
        <v>2456</v>
      </c>
    </row>
    <row r="45" spans="1:7" ht="26.1" customHeight="1">
      <c r="A45" s="65">
        <v>42</v>
      </c>
      <c r="B45" s="149" t="s">
        <v>22</v>
      </c>
      <c r="C45" s="149" t="s">
        <v>63</v>
      </c>
      <c r="D45" s="121" t="str">
        <f t="shared" si="0"/>
        <v>Récupération de chaleur-Echangeur de chaleur</v>
      </c>
      <c r="E45" s="66" t="s">
        <v>74</v>
      </c>
      <c r="F45" s="125" t="s">
        <v>1095</v>
      </c>
      <c r="G45" s="67" t="s">
        <v>833</v>
      </c>
    </row>
    <row r="46" spans="1:7" ht="26.1" customHeight="1">
      <c r="A46" s="65">
        <v>43</v>
      </c>
      <c r="B46" s="149" t="s">
        <v>22</v>
      </c>
      <c r="C46" s="149" t="s">
        <v>214</v>
      </c>
      <c r="D46" s="121" t="str">
        <f t="shared" si="0"/>
        <v>Débit d'air nominal</v>
      </c>
      <c r="E46" s="66" t="s">
        <v>276</v>
      </c>
      <c r="F46" s="125" t="s">
        <v>1096</v>
      </c>
      <c r="G46" s="67" t="s">
        <v>834</v>
      </c>
    </row>
    <row r="47" spans="1:7" ht="25.9" customHeight="1">
      <c r="A47" s="65">
        <v>44</v>
      </c>
      <c r="B47" s="149" t="s">
        <v>22</v>
      </c>
      <c r="C47" s="149" t="s">
        <v>64</v>
      </c>
      <c r="D47" s="121" t="str">
        <f t="shared" si="0"/>
        <v>Entrainement de ventilateur avec</v>
      </c>
      <c r="E47" s="66" t="s">
        <v>175</v>
      </c>
      <c r="F47" s="125" t="s">
        <v>1097</v>
      </c>
      <c r="G47" s="67" t="s">
        <v>835</v>
      </c>
    </row>
    <row r="48" spans="1:7" ht="25.9" customHeight="1">
      <c r="A48" s="65">
        <v>45</v>
      </c>
      <c r="B48" s="149" t="s">
        <v>22</v>
      </c>
      <c r="C48" s="149" t="s">
        <v>434</v>
      </c>
      <c r="D48" s="121" t="str">
        <f t="shared" si="0"/>
        <v>Petite installation avec valeurs standard</v>
      </c>
      <c r="E48" s="66" t="s">
        <v>105</v>
      </c>
      <c r="F48" s="125" t="s">
        <v>1098</v>
      </c>
      <c r="G48" s="67" t="s">
        <v>836</v>
      </c>
    </row>
    <row r="49" spans="1:7" ht="26.1" customHeight="1">
      <c r="A49" s="65">
        <v>46</v>
      </c>
      <c r="B49" s="149" t="s">
        <v>22</v>
      </c>
      <c r="C49" s="149" t="s">
        <v>439</v>
      </c>
      <c r="D49" s="121" t="str">
        <f t="shared" si="0"/>
        <v>Débit d'air neuf thermiquement actif</v>
      </c>
      <c r="E49" s="66" t="s">
        <v>262</v>
      </c>
      <c r="F49" s="125" t="s">
        <v>1099</v>
      </c>
      <c r="G49" s="67" t="s">
        <v>2457</v>
      </c>
    </row>
    <row r="50" spans="1:7" ht="26.1" customHeight="1">
      <c r="A50" s="65">
        <v>47</v>
      </c>
      <c r="B50" s="149" t="s">
        <v>22</v>
      </c>
      <c r="C50" s="149" t="s">
        <v>438</v>
      </c>
      <c r="D50" s="121" t="str">
        <f t="shared" si="0"/>
        <v>Besoins d'électricité pour la ventilation et la protection antigel</v>
      </c>
      <c r="E50" s="66" t="s">
        <v>104</v>
      </c>
      <c r="F50" s="125" t="s">
        <v>1100</v>
      </c>
      <c r="G50" s="67" t="s">
        <v>837</v>
      </c>
    </row>
    <row r="51" spans="1:7" ht="26.1" customHeight="1">
      <c r="A51" s="65">
        <v>48</v>
      </c>
      <c r="B51" s="149" t="s">
        <v>22</v>
      </c>
      <c r="C51" s="149" t="s">
        <v>437</v>
      </c>
      <c r="D51" s="121" t="str">
        <f t="shared" si="0"/>
        <v>Besoins d'électricité pour la climatisation et l'humidification</v>
      </c>
      <c r="E51" s="66" t="s">
        <v>83</v>
      </c>
      <c r="F51" s="125" t="s">
        <v>138</v>
      </c>
      <c r="G51" s="67" t="s">
        <v>2458</v>
      </c>
    </row>
    <row r="52" spans="1:7" ht="26.1" customHeight="1">
      <c r="A52" s="65">
        <v>49</v>
      </c>
      <c r="B52" s="149" t="s">
        <v>22</v>
      </c>
      <c r="C52" s="149" t="s">
        <v>444</v>
      </c>
      <c r="D52" s="121" t="str">
        <f t="shared" si="0"/>
        <v>Besoins d'électricité exploitation</v>
      </c>
      <c r="E52" s="66" t="s">
        <v>236</v>
      </c>
      <c r="F52" s="125" t="s">
        <v>95</v>
      </c>
      <c r="G52" s="67" t="s">
        <v>838</v>
      </c>
    </row>
    <row r="53" spans="1:7" ht="26.1" customHeight="1">
      <c r="A53" s="65">
        <v>50</v>
      </c>
      <c r="B53" s="149" t="s">
        <v>22</v>
      </c>
      <c r="C53" s="149" t="s">
        <v>195</v>
      </c>
      <c r="D53" s="121" t="str">
        <f t="shared" si="0"/>
        <v>Calcul externe</v>
      </c>
      <c r="E53" s="66" t="s">
        <v>372</v>
      </c>
      <c r="F53" s="125" t="s">
        <v>406</v>
      </c>
      <c r="G53" s="67" t="s">
        <v>839</v>
      </c>
    </row>
    <row r="54" spans="1:7" ht="26.1" customHeight="1">
      <c r="A54" s="65">
        <v>51</v>
      </c>
      <c r="B54" s="149" t="s">
        <v>22</v>
      </c>
      <c r="C54" s="149" t="s">
        <v>237</v>
      </c>
      <c r="D54" s="121" t="str">
        <f t="shared" si="0"/>
        <v>Rafraîchissement et/ou humidification ?</v>
      </c>
      <c r="E54" s="66" t="s">
        <v>84</v>
      </c>
      <c r="F54" s="125" t="s">
        <v>139</v>
      </c>
      <c r="G54" s="67" t="s">
        <v>2459</v>
      </c>
    </row>
    <row r="55" spans="1:7" ht="26.1" customHeight="1">
      <c r="A55" s="65">
        <v>52</v>
      </c>
      <c r="B55" s="149" t="s">
        <v>22</v>
      </c>
      <c r="C55" s="149" t="s">
        <v>447</v>
      </c>
      <c r="D55" s="121" t="str">
        <f t="shared" si="0"/>
        <v>Y aura-t-il un rafraîchissement ou une humidification?</v>
      </c>
      <c r="E55" s="66" t="s">
        <v>85</v>
      </c>
      <c r="F55" s="125" t="s">
        <v>140</v>
      </c>
      <c r="G55" s="67" t="s">
        <v>2460</v>
      </c>
    </row>
    <row r="56" spans="1:7" ht="26.1" customHeight="1">
      <c r="A56" s="65">
        <v>53</v>
      </c>
      <c r="B56" s="149" t="s">
        <v>22</v>
      </c>
      <c r="C56" s="149" t="s">
        <v>444</v>
      </c>
      <c r="D56" s="121" t="str">
        <f t="shared" si="0"/>
        <v>Besoins d'électricité pour le transport du froid</v>
      </c>
      <c r="E56" s="66" t="s">
        <v>2462</v>
      </c>
      <c r="F56" s="125" t="s">
        <v>2463</v>
      </c>
      <c r="G56" s="67" t="s">
        <v>2464</v>
      </c>
    </row>
    <row r="57" spans="1:7" ht="26.1" customHeight="1">
      <c r="A57" s="65">
        <v>54</v>
      </c>
      <c r="B57" s="149" t="s">
        <v>22</v>
      </c>
      <c r="C57" s="149" t="s">
        <v>344</v>
      </c>
      <c r="D57" s="121" t="str">
        <f t="shared" si="0"/>
        <v>Qh avec débit d'air thermiquement actif</v>
      </c>
      <c r="E57" s="66" t="s">
        <v>1278</v>
      </c>
      <c r="F57" s="125" t="s">
        <v>49</v>
      </c>
      <c r="G57" s="67" t="s">
        <v>840</v>
      </c>
    </row>
    <row r="58" spans="1:7" ht="26.1" customHeight="1">
      <c r="A58" s="65">
        <v>55</v>
      </c>
      <c r="B58" s="149" t="s">
        <v>22</v>
      </c>
      <c r="C58" s="149" t="s">
        <v>445</v>
      </c>
      <c r="D58" s="121" t="str">
        <f t="shared" si="0"/>
        <v>Débit d'air neuf thermiquement actif</v>
      </c>
      <c r="E58" s="66" t="s">
        <v>11</v>
      </c>
      <c r="F58" s="125" t="s">
        <v>1099</v>
      </c>
      <c r="G58" s="67" t="s">
        <v>2461</v>
      </c>
    </row>
    <row r="59" spans="1:7" ht="48.75" customHeight="1">
      <c r="A59" s="65">
        <v>56</v>
      </c>
      <c r="B59" s="149" t="s">
        <v>22</v>
      </c>
      <c r="C59" s="149" t="s">
        <v>448</v>
      </c>
      <c r="D59" s="121" t="str">
        <f t="shared" si="0"/>
        <v>Débit d'air spécifique thermiquement actif Vth selon SIA 380/1: cette valeur doit correspondre à celle donnée pour le calcul de la demande d'énergie de chauffage avec aération effective.</v>
      </c>
      <c r="E59" s="66" t="s">
        <v>70</v>
      </c>
      <c r="F59" s="125" t="s">
        <v>21</v>
      </c>
      <c r="G59" s="67" t="s">
        <v>841</v>
      </c>
    </row>
    <row r="60" spans="1:7" ht="25.9" customHeight="1">
      <c r="A60" s="65">
        <v>57</v>
      </c>
      <c r="B60" s="149" t="s">
        <v>22</v>
      </c>
      <c r="C60" s="149" t="s">
        <v>446</v>
      </c>
      <c r="D60" s="121" t="str">
        <f t="shared" si="0"/>
        <v>Besoins pour le chauffage effectif avec l'installation de ventilation</v>
      </c>
      <c r="E60" s="66" t="s">
        <v>108</v>
      </c>
      <c r="F60" s="125" t="s">
        <v>1101</v>
      </c>
      <c r="G60" s="67" t="s">
        <v>842</v>
      </c>
    </row>
    <row r="61" spans="1:7" ht="52.5" customHeight="1">
      <c r="A61" s="65">
        <v>58</v>
      </c>
      <c r="B61" s="149" t="s">
        <v>22</v>
      </c>
      <c r="C61" s="149" t="s">
        <v>450</v>
      </c>
      <c r="D61" s="121" t="str">
        <f t="shared" si="0"/>
        <v xml:space="preserve">Entrée obligatoire: Qh,eff ou Qh,corr
à reporter du calcul SIA 380/1:2009 les besoins de chaleur pour le chauffage Qh,eff avec débit d’air neuf thermiquement actif Vth.
</v>
      </c>
      <c r="E61" s="66" t="s">
        <v>449</v>
      </c>
      <c r="F61" s="125" t="s">
        <v>1102</v>
      </c>
      <c r="G61" s="67" t="s">
        <v>843</v>
      </c>
    </row>
    <row r="62" spans="1:7" ht="40.5" customHeight="1">
      <c r="A62" s="65">
        <v>59</v>
      </c>
      <c r="B62" s="149" t="s">
        <v>22</v>
      </c>
      <c r="C62" s="149" t="s">
        <v>452</v>
      </c>
      <c r="D62" s="121" t="str">
        <f t="shared" si="0"/>
        <v>Indiquer ici le résulat d'un calcul externe (sur une feuille séparée).
Entrée obligatoire pour les installation de climatisation.</v>
      </c>
      <c r="E62" s="66" t="s">
        <v>451</v>
      </c>
      <c r="F62" s="125" t="s">
        <v>1103</v>
      </c>
      <c r="G62" s="67" t="s">
        <v>844</v>
      </c>
    </row>
    <row r="63" spans="1:7" ht="100.5" customHeight="1">
      <c r="A63" s="65">
        <v>60</v>
      </c>
      <c r="B63" s="149" t="s">
        <v>22</v>
      </c>
      <c r="C63" s="149" t="s">
        <v>455</v>
      </c>
      <c r="D63" s="121" t="str">
        <f t="shared" si="0"/>
        <v>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v>
      </c>
      <c r="E63" s="66" t="s">
        <v>454</v>
      </c>
      <c r="F63" s="125" t="s">
        <v>1104</v>
      </c>
      <c r="G63" s="67" t="s">
        <v>845</v>
      </c>
    </row>
    <row r="64" spans="1:7" ht="60" customHeight="1">
      <c r="A64" s="65">
        <v>61</v>
      </c>
      <c r="B64" s="149" t="s">
        <v>22</v>
      </c>
      <c r="C64" s="149" t="s">
        <v>456</v>
      </c>
      <c r="D64" s="121" t="str">
        <f t="shared" si="0"/>
        <v>Justificatif énergétique:
Seules les nouvelles constructions sont considérées dans le justificatif énergétique.
Minergie:
Année de construction (achèvement) à partir de 2000.</v>
      </c>
      <c r="E64" s="66" t="s">
        <v>792</v>
      </c>
      <c r="F64" s="125" t="s">
        <v>2465</v>
      </c>
      <c r="G64" s="67" t="s">
        <v>846</v>
      </c>
    </row>
    <row r="65" spans="1:7" ht="25.9" customHeight="1">
      <c r="A65" s="65">
        <v>62</v>
      </c>
      <c r="B65" s="149" t="s">
        <v>22</v>
      </c>
      <c r="C65" s="149" t="s">
        <v>453</v>
      </c>
      <c r="D65" s="121" t="str">
        <f t="shared" si="0"/>
        <v>Surface de référence énergétique AE, doit être reprise du calcul SIA 380/1.</v>
      </c>
      <c r="E65" s="66" t="s">
        <v>82</v>
      </c>
      <c r="F65" s="125" t="s">
        <v>136</v>
      </c>
      <c r="G65" s="67" t="s">
        <v>847</v>
      </c>
    </row>
    <row r="66" spans="1:7" ht="96" customHeight="1">
      <c r="A66" s="65">
        <v>63</v>
      </c>
      <c r="B66" s="149" t="s">
        <v>22</v>
      </c>
      <c r="C66" s="149" t="s">
        <v>457</v>
      </c>
      <c r="D66" s="121" t="str">
        <f t="shared" si="0"/>
        <v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v>
      </c>
      <c r="E66" s="66" t="s">
        <v>458</v>
      </c>
      <c r="F66" s="125" t="s">
        <v>1105</v>
      </c>
      <c r="G66" s="67" t="s">
        <v>848</v>
      </c>
    </row>
    <row r="67" spans="1:7" ht="25.9" customHeight="1">
      <c r="A67" s="65">
        <v>64</v>
      </c>
      <c r="B67" s="149" t="s">
        <v>22</v>
      </c>
      <c r="C67" s="149" t="s">
        <v>460</v>
      </c>
      <c r="D67" s="121" t="str">
        <f t="shared" si="0"/>
        <v>Entrée possible que pour l'habitat jusqu'à 2000 m2 et l'administration et les écoles jusqu'à 1000 m2.</v>
      </c>
      <c r="E67" s="66" t="s">
        <v>459</v>
      </c>
      <c r="F67" s="125" t="s">
        <v>1106</v>
      </c>
      <c r="G67" s="67" t="s">
        <v>849</v>
      </c>
    </row>
    <row r="68" spans="1:7" ht="133.5" customHeight="1">
      <c r="A68" s="65">
        <v>65</v>
      </c>
      <c r="B68" s="149" t="s">
        <v>22</v>
      </c>
      <c r="C68" s="149" t="s">
        <v>169</v>
      </c>
      <c r="D68" s="121" t="str">
        <f t="shared" si="0"/>
        <v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v>
      </c>
      <c r="E68" s="66" t="s">
        <v>461</v>
      </c>
      <c r="F68" s="125" t="s">
        <v>1107</v>
      </c>
      <c r="G68" s="67" t="s">
        <v>850</v>
      </c>
    </row>
    <row r="69" spans="1:7" ht="67.5" customHeight="1">
      <c r="A69" s="65">
        <v>66</v>
      </c>
      <c r="B69" s="149" t="s">
        <v>22</v>
      </c>
      <c r="C69" s="149" t="s">
        <v>462</v>
      </c>
      <c r="D69" s="121" t="str">
        <f t="shared" ref="D69:D132" si="1">INDEX($E$4:$G$503,$A69,$A$1)</f>
        <v>Nombre de pièces avec air fourni:
Données obligatoires que pour l'habitat.
Nombre de personnes (total par zone).
Données obligatoires pour administration ou écoles.
Seront utilisées pour le calcul de l'air fourni.</v>
      </c>
      <c r="E69" s="66" t="s">
        <v>463</v>
      </c>
      <c r="F69" s="125" t="s">
        <v>1108</v>
      </c>
      <c r="G69" s="67" t="s">
        <v>851</v>
      </c>
    </row>
    <row r="70" spans="1:7" ht="114.75" customHeight="1">
      <c r="A70" s="65">
        <v>67</v>
      </c>
      <c r="B70" s="149" t="s">
        <v>22</v>
      </c>
      <c r="C70" s="149" t="s">
        <v>465</v>
      </c>
      <c r="D70" s="121" t="str">
        <f t="shared" si="1"/>
        <v>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v>
      </c>
      <c r="E70" s="66" t="s">
        <v>464</v>
      </c>
      <c r="F70" s="125" t="s">
        <v>1109</v>
      </c>
      <c r="G70" s="67" t="s">
        <v>852</v>
      </c>
    </row>
    <row r="71" spans="1:7" ht="42" customHeight="1">
      <c r="A71" s="65">
        <v>68</v>
      </c>
      <c r="B71" s="149" t="s">
        <v>22</v>
      </c>
      <c r="C71" s="149" t="s">
        <v>467</v>
      </c>
      <c r="D71" s="121" t="str">
        <f t="shared" si="1"/>
        <v>Données pour les petites installations avec des valeurs standard:
Moteurs des ventilateurs: à courant alternatif (AC) ou à courant continu (DC)</v>
      </c>
      <c r="E71" s="66" t="s">
        <v>466</v>
      </c>
      <c r="F71" s="125" t="s">
        <v>1110</v>
      </c>
      <c r="G71" s="67" t="s">
        <v>853</v>
      </c>
    </row>
    <row r="72" spans="1:7" ht="26.1" customHeight="1">
      <c r="A72" s="65">
        <v>69</v>
      </c>
      <c r="B72" s="149" t="s">
        <v>319</v>
      </c>
      <c r="C72" s="149" t="s">
        <v>468</v>
      </c>
      <c r="D72" s="121" t="str">
        <f t="shared" si="1"/>
        <v>donnée manquante</v>
      </c>
      <c r="E72" s="66" t="s">
        <v>400</v>
      </c>
      <c r="F72" s="125" t="s">
        <v>1111</v>
      </c>
      <c r="G72" s="67" t="s">
        <v>854</v>
      </c>
    </row>
    <row r="73" spans="1:7" ht="26.1" customHeight="1">
      <c r="A73" s="65">
        <v>70</v>
      </c>
      <c r="B73" s="149" t="s">
        <v>319</v>
      </c>
      <c r="C73" s="149" t="s">
        <v>469</v>
      </c>
      <c r="D73" s="121" t="str">
        <f t="shared" si="1"/>
        <v>donnée fausse</v>
      </c>
      <c r="E73" s="66" t="s">
        <v>401</v>
      </c>
      <c r="F73" s="125" t="s">
        <v>1112</v>
      </c>
      <c r="G73" s="67" t="s">
        <v>855</v>
      </c>
    </row>
    <row r="74" spans="1:7" ht="25.9" customHeight="1">
      <c r="A74" s="65">
        <v>71</v>
      </c>
      <c r="B74" s="149" t="s">
        <v>22</v>
      </c>
      <c r="C74" s="149" t="s">
        <v>471</v>
      </c>
      <c r="D74" s="122" t="str">
        <f t="shared" si="1"/>
        <v>Exigence primaire pas requise</v>
      </c>
      <c r="E74" s="134" t="s">
        <v>470</v>
      </c>
      <c r="F74" s="127" t="s">
        <v>1113</v>
      </c>
      <c r="G74" s="79" t="s">
        <v>856</v>
      </c>
    </row>
    <row r="75" spans="1:7" ht="25.9" customHeight="1">
      <c r="A75" s="65">
        <v>72</v>
      </c>
      <c r="B75" s="149" t="s">
        <v>22</v>
      </c>
      <c r="C75" s="149" t="s">
        <v>471</v>
      </c>
      <c r="D75" s="121" t="str">
        <f t="shared" si="1"/>
        <v>Exigence 2 pas satisfaite</v>
      </c>
      <c r="E75" s="66" t="s">
        <v>472</v>
      </c>
      <c r="F75" s="125" t="s">
        <v>1114</v>
      </c>
      <c r="G75" s="67" t="s">
        <v>857</v>
      </c>
    </row>
    <row r="76" spans="1:7" ht="25.9" customHeight="1">
      <c r="A76" s="65">
        <v>73</v>
      </c>
      <c r="D76" s="121" t="str">
        <f t="shared" si="1"/>
        <v>Donnée manque</v>
      </c>
      <c r="E76" s="66" t="s">
        <v>261</v>
      </c>
      <c r="F76" s="125" t="s">
        <v>264</v>
      </c>
      <c r="G76" s="67" t="s">
        <v>854</v>
      </c>
    </row>
    <row r="77" spans="1:7" ht="25.9" customHeight="1">
      <c r="A77" s="65">
        <v>74</v>
      </c>
      <c r="D77" s="121" t="str">
        <f t="shared" si="1"/>
        <v>Remarque: dans la feuille 'Entrée' une installation de ventilation avec PAC intégrée a été choisie</v>
      </c>
      <c r="E77" s="66" t="s">
        <v>5</v>
      </c>
      <c r="F77" s="125" t="s">
        <v>265</v>
      </c>
      <c r="G77" s="67" t="s">
        <v>858</v>
      </c>
    </row>
    <row r="78" spans="1:7" ht="25.9" customHeight="1">
      <c r="A78" s="65">
        <v>75</v>
      </c>
      <c r="B78" s="149" t="s">
        <v>319</v>
      </c>
      <c r="C78" s="149" t="s">
        <v>440</v>
      </c>
      <c r="D78" s="121" t="str">
        <f t="shared" si="1"/>
        <v>Refroidissement</v>
      </c>
      <c r="E78" s="66" t="s">
        <v>186</v>
      </c>
      <c r="F78" s="125" t="s">
        <v>60</v>
      </c>
      <c r="G78" s="67" t="s">
        <v>859</v>
      </c>
    </row>
    <row r="79" spans="1:7" ht="25.9" customHeight="1">
      <c r="A79" s="65">
        <v>76</v>
      </c>
      <c r="B79" s="149" t="s">
        <v>319</v>
      </c>
      <c r="C79" s="149" t="s">
        <v>441</v>
      </c>
      <c r="D79" s="121" t="str">
        <f t="shared" si="1"/>
        <v>Humidification</v>
      </c>
      <c r="E79" s="66" t="s">
        <v>67</v>
      </c>
      <c r="F79" s="125" t="s">
        <v>61</v>
      </c>
      <c r="G79" s="67" t="s">
        <v>860</v>
      </c>
    </row>
    <row r="80" spans="1:7" ht="25.9" customHeight="1">
      <c r="A80" s="65">
        <v>77</v>
      </c>
      <c r="B80" s="149" t="s">
        <v>319</v>
      </c>
      <c r="C80" s="149" t="s">
        <v>442</v>
      </c>
      <c r="D80" s="121" t="str">
        <f t="shared" si="1"/>
        <v>Refr. + humid.</v>
      </c>
      <c r="E80" s="66" t="s">
        <v>68</v>
      </c>
      <c r="F80" s="125" t="s">
        <v>62</v>
      </c>
      <c r="G80" s="67" t="s">
        <v>861</v>
      </c>
    </row>
    <row r="81" spans="1:7" ht="25.9" customHeight="1">
      <c r="A81" s="65">
        <v>78</v>
      </c>
      <c r="B81" s="149" t="s">
        <v>319</v>
      </c>
      <c r="C81" s="149" t="s">
        <v>443</v>
      </c>
      <c r="D81" s="121" t="str">
        <f t="shared" si="1"/>
        <v>aucune</v>
      </c>
      <c r="E81" s="66" t="s">
        <v>347</v>
      </c>
      <c r="F81" s="125" t="s">
        <v>1115</v>
      </c>
      <c r="G81" s="67" t="s">
        <v>862</v>
      </c>
    </row>
    <row r="82" spans="1:7" ht="26.1" customHeight="1">
      <c r="A82" s="65">
        <v>79</v>
      </c>
      <c r="B82" s="149" t="s">
        <v>319</v>
      </c>
      <c r="C82" s="149" t="s">
        <v>473</v>
      </c>
      <c r="D82" s="121" t="str">
        <f t="shared" si="1"/>
        <v>Habitat collectif</v>
      </c>
      <c r="E82" s="66" t="s">
        <v>173</v>
      </c>
      <c r="F82" s="125" t="s">
        <v>1117</v>
      </c>
      <c r="G82" s="67" t="s">
        <v>863</v>
      </c>
    </row>
    <row r="83" spans="1:7" ht="26.1" customHeight="1">
      <c r="A83" s="65">
        <v>80</v>
      </c>
      <c r="B83" s="149" t="s">
        <v>319</v>
      </c>
      <c r="C83" s="149" t="s">
        <v>474</v>
      </c>
      <c r="D83" s="121" t="str">
        <f t="shared" si="1"/>
        <v>Habitat individuel</v>
      </c>
      <c r="E83" s="66" t="s">
        <v>174</v>
      </c>
      <c r="F83" s="125" t="s">
        <v>1116</v>
      </c>
      <c r="G83" s="67" t="s">
        <v>864</v>
      </c>
    </row>
    <row r="84" spans="1:7" ht="26.1" customHeight="1">
      <c r="A84" s="65">
        <v>81</v>
      </c>
      <c r="B84" s="149" t="s">
        <v>319</v>
      </c>
      <c r="C84" s="149" t="s">
        <v>475</v>
      </c>
      <c r="D84" s="121" t="str">
        <f t="shared" si="1"/>
        <v>Administration</v>
      </c>
      <c r="E84" s="66" t="s">
        <v>0</v>
      </c>
      <c r="F84" s="125" t="s">
        <v>1118</v>
      </c>
      <c r="G84" s="67" t="s">
        <v>865</v>
      </c>
    </row>
    <row r="85" spans="1:7" ht="26.1" customHeight="1">
      <c r="A85" s="65">
        <v>82</v>
      </c>
      <c r="B85" s="149" t="s">
        <v>319</v>
      </c>
      <c r="C85" s="149" t="s">
        <v>476</v>
      </c>
      <c r="D85" s="121" t="str">
        <f t="shared" si="1"/>
        <v>Ecole</v>
      </c>
      <c r="E85" s="66" t="s">
        <v>176</v>
      </c>
      <c r="F85" s="125" t="s">
        <v>1119</v>
      </c>
      <c r="G85" s="67" t="s">
        <v>866</v>
      </c>
    </row>
    <row r="86" spans="1:7" ht="26.1" customHeight="1">
      <c r="A86" s="65">
        <v>83</v>
      </c>
      <c r="B86" s="149" t="s">
        <v>319</v>
      </c>
      <c r="C86" s="149" t="s">
        <v>477</v>
      </c>
      <c r="D86" s="121" t="str">
        <f t="shared" si="1"/>
        <v>Commerce</v>
      </c>
      <c r="E86" s="66" t="s">
        <v>129</v>
      </c>
      <c r="F86" s="125" t="s">
        <v>1120</v>
      </c>
      <c r="G86" s="67" t="s">
        <v>867</v>
      </c>
    </row>
    <row r="87" spans="1:7" ht="26.1" customHeight="1">
      <c r="A87" s="65">
        <v>84</v>
      </c>
      <c r="B87" s="149" t="s">
        <v>319</v>
      </c>
      <c r="C87" s="149" t="s">
        <v>478</v>
      </c>
      <c r="D87" s="121" t="str">
        <f t="shared" si="1"/>
        <v>Restaurant</v>
      </c>
      <c r="E87" s="66" t="s">
        <v>398</v>
      </c>
      <c r="F87" s="125" t="s">
        <v>398</v>
      </c>
      <c r="G87" s="67" t="s">
        <v>868</v>
      </c>
    </row>
    <row r="88" spans="1:7" ht="26.1" customHeight="1">
      <c r="A88" s="65">
        <v>85</v>
      </c>
      <c r="B88" s="149" t="s">
        <v>319</v>
      </c>
      <c r="C88" s="149" t="s">
        <v>479</v>
      </c>
      <c r="D88" s="121" t="str">
        <f t="shared" si="1"/>
        <v>Lieu de rassemblement</v>
      </c>
      <c r="E88" s="66" t="s">
        <v>399</v>
      </c>
      <c r="F88" s="125" t="s">
        <v>1121</v>
      </c>
      <c r="G88" s="67" t="s">
        <v>869</v>
      </c>
    </row>
    <row r="89" spans="1:7" ht="25.9" customHeight="1">
      <c r="A89" s="65">
        <v>86</v>
      </c>
      <c r="B89" s="149" t="s">
        <v>319</v>
      </c>
      <c r="C89" s="149" t="s">
        <v>480</v>
      </c>
      <c r="D89" s="121" t="str">
        <f t="shared" si="1"/>
        <v>Hôpital</v>
      </c>
      <c r="E89" s="66" t="s">
        <v>130</v>
      </c>
      <c r="F89" s="125" t="s">
        <v>1122</v>
      </c>
      <c r="G89" s="67" t="s">
        <v>870</v>
      </c>
    </row>
    <row r="90" spans="1:7" ht="25.9" customHeight="1">
      <c r="A90" s="65">
        <v>87</v>
      </c>
      <c r="B90" s="149" t="s">
        <v>319</v>
      </c>
      <c r="C90" s="149" t="s">
        <v>481</v>
      </c>
      <c r="D90" s="121" t="str">
        <f t="shared" si="1"/>
        <v>Industrie</v>
      </c>
      <c r="E90" s="66" t="s">
        <v>241</v>
      </c>
      <c r="F90" s="125" t="s">
        <v>241</v>
      </c>
      <c r="G90" s="67" t="s">
        <v>241</v>
      </c>
    </row>
    <row r="91" spans="1:7" ht="25.9" customHeight="1">
      <c r="A91" s="65">
        <v>88</v>
      </c>
      <c r="B91" s="149" t="s">
        <v>319</v>
      </c>
      <c r="C91" s="149" t="s">
        <v>482</v>
      </c>
      <c r="D91" s="121" t="str">
        <f t="shared" si="1"/>
        <v>Entrepôt</v>
      </c>
      <c r="E91" s="66" t="s">
        <v>131</v>
      </c>
      <c r="F91" s="125" t="s">
        <v>1123</v>
      </c>
      <c r="G91" s="67" t="s">
        <v>871</v>
      </c>
    </row>
    <row r="92" spans="1:7" ht="25.9" customHeight="1">
      <c r="A92" s="65">
        <v>89</v>
      </c>
      <c r="B92" s="149" t="s">
        <v>319</v>
      </c>
      <c r="C92" s="149" t="s">
        <v>483</v>
      </c>
      <c r="D92" s="121" t="str">
        <f t="shared" si="1"/>
        <v>Installation sportive</v>
      </c>
      <c r="E92" s="66" t="s">
        <v>132</v>
      </c>
      <c r="F92" s="125" t="s">
        <v>1124</v>
      </c>
      <c r="G92" s="67" t="s">
        <v>872</v>
      </c>
    </row>
    <row r="93" spans="1:7" ht="25.9" customHeight="1">
      <c r="A93" s="65">
        <v>90</v>
      </c>
      <c r="B93" s="149" t="s">
        <v>319</v>
      </c>
      <c r="C93" s="149" t="s">
        <v>484</v>
      </c>
      <c r="D93" s="121" t="str">
        <f t="shared" si="1"/>
        <v>Piscine couverte</v>
      </c>
      <c r="E93" s="66" t="s">
        <v>380</v>
      </c>
      <c r="F93" s="125" t="s">
        <v>1125</v>
      </c>
      <c r="G93" s="67" t="s">
        <v>873</v>
      </c>
    </row>
    <row r="94" spans="1:7" ht="26.1" customHeight="1">
      <c r="A94" s="65">
        <v>91</v>
      </c>
      <c r="B94" s="149" t="s">
        <v>319</v>
      </c>
      <c r="C94" s="149" t="s">
        <v>485</v>
      </c>
      <c r="D94" s="121" t="str">
        <f t="shared" si="1"/>
        <v>Pas de ventilation</v>
      </c>
      <c r="E94" s="66" t="s">
        <v>386</v>
      </c>
      <c r="F94" s="125" t="s">
        <v>1126</v>
      </c>
      <c r="G94" s="67" t="s">
        <v>874</v>
      </c>
    </row>
    <row r="95" spans="1:7" ht="26.1" customHeight="1">
      <c r="A95" s="65">
        <v>92</v>
      </c>
      <c r="B95" s="149" t="s">
        <v>319</v>
      </c>
      <c r="C95" s="149" t="s">
        <v>486</v>
      </c>
      <c r="D95" s="121" t="str">
        <f t="shared" si="1"/>
        <v>Fourni/repris</v>
      </c>
      <c r="E95" s="66" t="s">
        <v>390</v>
      </c>
      <c r="F95" s="125" t="s">
        <v>1127</v>
      </c>
      <c r="G95" s="67" t="s">
        <v>875</v>
      </c>
    </row>
    <row r="96" spans="1:7" ht="26.1" customHeight="1">
      <c r="A96" s="65">
        <v>93</v>
      </c>
      <c r="B96" s="149" t="s">
        <v>319</v>
      </c>
      <c r="C96" s="149" t="s">
        <v>487</v>
      </c>
      <c r="D96" s="121" t="str">
        <f t="shared" si="1"/>
        <v>Double flux</v>
      </c>
      <c r="E96" s="66" t="s">
        <v>387</v>
      </c>
      <c r="F96" s="125" t="s">
        <v>1128</v>
      </c>
      <c r="G96" s="67" t="s">
        <v>876</v>
      </c>
    </row>
    <row r="97" spans="1:7" ht="26.1" customHeight="1">
      <c r="A97" s="65">
        <v>94</v>
      </c>
      <c r="B97" s="149" t="s">
        <v>319</v>
      </c>
      <c r="C97" s="149" t="s">
        <v>488</v>
      </c>
      <c r="D97" s="121" t="str">
        <f t="shared" si="1"/>
        <v>FOU/REP+PAC</v>
      </c>
      <c r="E97" s="66" t="s">
        <v>388</v>
      </c>
      <c r="F97" s="125" t="s">
        <v>1129</v>
      </c>
      <c r="G97" s="67" t="s">
        <v>877</v>
      </c>
    </row>
    <row r="98" spans="1:7" ht="26.1" customHeight="1">
      <c r="A98" s="65">
        <v>95</v>
      </c>
      <c r="B98" s="149" t="s">
        <v>319</v>
      </c>
      <c r="C98" s="149" t="s">
        <v>489</v>
      </c>
      <c r="D98" s="121" t="str">
        <f t="shared" si="1"/>
        <v>REP</v>
      </c>
      <c r="E98" s="66" t="s">
        <v>391</v>
      </c>
      <c r="F98" s="125" t="s">
        <v>1130</v>
      </c>
      <c r="G98" s="67" t="s">
        <v>878</v>
      </c>
    </row>
    <row r="99" spans="1:7" ht="26.1" customHeight="1">
      <c r="A99" s="65">
        <v>96</v>
      </c>
      <c r="B99" s="149" t="s">
        <v>319</v>
      </c>
      <c r="C99" s="149" t="s">
        <v>490</v>
      </c>
      <c r="D99" s="121" t="str">
        <f t="shared" si="1"/>
        <v>REP+PAC</v>
      </c>
      <c r="E99" s="66" t="s">
        <v>389</v>
      </c>
      <c r="F99" s="125" t="s">
        <v>1131</v>
      </c>
      <c r="G99" s="67" t="s">
        <v>879</v>
      </c>
    </row>
    <row r="100" spans="1:7" ht="26.1" customHeight="1">
      <c r="A100" s="65">
        <v>97</v>
      </c>
      <c r="B100" s="149" t="s">
        <v>319</v>
      </c>
      <c r="C100" s="149" t="s">
        <v>491</v>
      </c>
      <c r="D100" s="121" t="str">
        <f t="shared" si="1"/>
        <v>Local</v>
      </c>
      <c r="E100" s="66" t="s">
        <v>227</v>
      </c>
      <c r="F100" s="125" t="s">
        <v>1132</v>
      </c>
      <c r="G100" s="67" t="s">
        <v>880</v>
      </c>
    </row>
    <row r="101" spans="1:7" ht="26.1" customHeight="1">
      <c r="A101" s="65">
        <v>98</v>
      </c>
      <c r="B101" s="149" t="s">
        <v>319</v>
      </c>
      <c r="C101" s="149" t="s">
        <v>492</v>
      </c>
      <c r="D101" s="121" t="str">
        <f t="shared" si="1"/>
        <v>Fen. auto</v>
      </c>
      <c r="E101" s="66" t="s">
        <v>228</v>
      </c>
      <c r="F101" s="125" t="s">
        <v>1133</v>
      </c>
      <c r="G101" s="67" t="s">
        <v>881</v>
      </c>
    </row>
    <row r="102" spans="1:7" ht="26.1" customHeight="1">
      <c r="A102" s="65">
        <v>99</v>
      </c>
      <c r="B102" s="149" t="s">
        <v>319</v>
      </c>
      <c r="C102" s="149" t="s">
        <v>493</v>
      </c>
      <c r="D102" s="121" t="str">
        <f t="shared" si="1"/>
        <v>Pas de récup.</v>
      </c>
      <c r="E102" s="66" t="s">
        <v>116</v>
      </c>
      <c r="F102" s="125" t="s">
        <v>1134</v>
      </c>
      <c r="G102" s="67" t="s">
        <v>882</v>
      </c>
    </row>
    <row r="103" spans="1:7" ht="26.1" customHeight="1">
      <c r="A103" s="135">
        <v>100</v>
      </c>
      <c r="B103" s="149" t="s">
        <v>319</v>
      </c>
      <c r="C103" s="149" t="s">
        <v>494</v>
      </c>
      <c r="D103" s="136" t="str">
        <f t="shared" si="1"/>
        <v>Courant croisé</v>
      </c>
      <c r="E103" s="66" t="s">
        <v>180</v>
      </c>
      <c r="F103" s="125" t="s">
        <v>1135</v>
      </c>
      <c r="G103" s="139" t="s">
        <v>883</v>
      </c>
    </row>
    <row r="104" spans="1:7" s="140" customFormat="1" ht="26.1" customHeight="1">
      <c r="A104" s="65">
        <v>101</v>
      </c>
      <c r="B104" s="149" t="s">
        <v>319</v>
      </c>
      <c r="C104" s="149" t="s">
        <v>495</v>
      </c>
      <c r="D104" s="121" t="str">
        <f t="shared" si="1"/>
        <v>Contre-courant</v>
      </c>
      <c r="E104" s="66" t="s">
        <v>181</v>
      </c>
      <c r="F104" s="125" t="s">
        <v>1136</v>
      </c>
      <c r="G104" s="67" t="s">
        <v>884</v>
      </c>
    </row>
    <row r="105" spans="1:7" ht="26.1" customHeight="1">
      <c r="A105" s="77">
        <v>102</v>
      </c>
      <c r="B105" s="149" t="s">
        <v>319</v>
      </c>
      <c r="C105" s="149" t="s">
        <v>496</v>
      </c>
      <c r="D105" s="122" t="str">
        <f t="shared" si="1"/>
        <v>Rotatif</v>
      </c>
      <c r="E105" s="66" t="s">
        <v>322</v>
      </c>
      <c r="F105" s="125" t="s">
        <v>1137</v>
      </c>
      <c r="G105" s="79" t="s">
        <v>885</v>
      </c>
    </row>
    <row r="106" spans="1:7" ht="26.1" customHeight="1">
      <c r="A106" s="65">
        <v>103</v>
      </c>
      <c r="B106" s="149" t="s">
        <v>319</v>
      </c>
      <c r="C106" s="149" t="s">
        <v>497</v>
      </c>
      <c r="D106" s="121" t="str">
        <f t="shared" si="1"/>
        <v>Circulation-KVS</v>
      </c>
      <c r="E106" s="66" t="s">
        <v>75</v>
      </c>
      <c r="F106" s="125" t="s">
        <v>1138</v>
      </c>
      <c r="G106" s="67" t="s">
        <v>886</v>
      </c>
    </row>
    <row r="107" spans="1:7" ht="26.1" customHeight="1">
      <c r="A107" s="65">
        <v>104</v>
      </c>
      <c r="B107" s="149" t="s">
        <v>319</v>
      </c>
      <c r="C107" s="149" t="s">
        <v>498</v>
      </c>
      <c r="D107" s="121" t="str">
        <f t="shared" si="1"/>
        <v>Moteur AC</v>
      </c>
      <c r="E107" s="66" t="s">
        <v>326</v>
      </c>
      <c r="F107" s="125" t="s">
        <v>1139</v>
      </c>
      <c r="G107" s="67" t="s">
        <v>887</v>
      </c>
    </row>
    <row r="108" spans="1:7" ht="26.1" customHeight="1">
      <c r="A108" s="65">
        <v>105</v>
      </c>
      <c r="B108" s="149" t="s">
        <v>319</v>
      </c>
      <c r="C108" s="149" t="s">
        <v>499</v>
      </c>
      <c r="D108" s="121" t="str">
        <f t="shared" si="1"/>
        <v>Moteur DC/EC</v>
      </c>
      <c r="E108" s="66" t="s">
        <v>327</v>
      </c>
      <c r="F108" s="125" t="s">
        <v>1140</v>
      </c>
      <c r="G108" s="67" t="s">
        <v>888</v>
      </c>
    </row>
    <row r="109" spans="1:7" ht="26.1" customHeight="1">
      <c r="A109" s="65">
        <v>106</v>
      </c>
      <c r="D109" s="121" t="str">
        <f t="shared" si="1"/>
        <v>Taux de couverture trop haut</v>
      </c>
      <c r="E109" s="66" t="s">
        <v>6</v>
      </c>
      <c r="F109" s="125" t="s">
        <v>266</v>
      </c>
      <c r="G109" s="67" t="s">
        <v>889</v>
      </c>
    </row>
    <row r="110" spans="1:7" ht="26.1" customHeight="1">
      <c r="A110" s="65">
        <v>107</v>
      </c>
      <c r="D110" s="121" t="str">
        <f t="shared" si="1"/>
        <v>Chauffage choisi</v>
      </c>
      <c r="E110" s="66" t="s">
        <v>7</v>
      </c>
      <c r="F110" s="125" t="s">
        <v>267</v>
      </c>
      <c r="G110" s="67" t="s">
        <v>890</v>
      </c>
    </row>
    <row r="111" spans="1:7" ht="26.1" customHeight="1">
      <c r="A111" s="65">
        <v>108</v>
      </c>
      <c r="D111" s="121" t="str">
        <f t="shared" si="1"/>
        <v>Eau chaude choisie</v>
      </c>
      <c r="E111" s="66" t="s">
        <v>8</v>
      </c>
      <c r="F111" s="125" t="s">
        <v>268</v>
      </c>
      <c r="G111" s="67" t="s">
        <v>891</v>
      </c>
    </row>
    <row r="112" spans="1:7" ht="26.1" customHeight="1">
      <c r="A112" s="65">
        <v>109</v>
      </c>
      <c r="D112" s="121" t="str">
        <f t="shared" si="1"/>
        <v>Calcul annexé</v>
      </c>
      <c r="E112" s="66" t="s">
        <v>9</v>
      </c>
      <c r="F112" s="125" t="s">
        <v>269</v>
      </c>
      <c r="G112" s="67" t="s">
        <v>892</v>
      </c>
    </row>
    <row r="113" spans="1:7" ht="26.1" customHeight="1">
      <c r="A113" s="65">
        <v>110</v>
      </c>
      <c r="D113" s="121" t="str">
        <f t="shared" si="1"/>
        <v>Choisir un chauffage électrique complémentaire de l'ECS</v>
      </c>
      <c r="E113" s="66" t="s">
        <v>107</v>
      </c>
      <c r="F113" s="125" t="s">
        <v>270</v>
      </c>
      <c r="G113" s="67" t="s">
        <v>893</v>
      </c>
    </row>
    <row r="114" spans="1:7" ht="26.1" customHeight="1">
      <c r="A114" s="65">
        <v>111</v>
      </c>
      <c r="D114" s="121" t="str">
        <f t="shared" si="1"/>
        <v>Calcul externe annexé</v>
      </c>
      <c r="E114" s="66" t="s">
        <v>215</v>
      </c>
      <c r="F114" s="125" t="s">
        <v>263</v>
      </c>
      <c r="G114" s="67" t="s">
        <v>894</v>
      </c>
    </row>
    <row r="115" spans="1:7" ht="35.25" customHeight="1">
      <c r="A115" s="135">
        <v>112</v>
      </c>
      <c r="B115" s="151"/>
      <c r="C115" s="151"/>
      <c r="D115" s="136" t="str">
        <f t="shared" si="1"/>
        <v>Remarque: dans la feuille 'Entrée' une installation de ventilation avec PAC intégrée a été choisie
-&gt; choisir une PAC avec air fourni comme mode de production de chaleur</v>
      </c>
      <c r="E115" s="66" t="s">
        <v>144</v>
      </c>
      <c r="F115" s="125" t="s">
        <v>94</v>
      </c>
      <c r="G115" s="139" t="s">
        <v>895</v>
      </c>
    </row>
    <row r="116" spans="1:7" s="140" customFormat="1" ht="25.9" customHeight="1">
      <c r="A116" s="65">
        <v>113</v>
      </c>
      <c r="B116" s="149" t="s">
        <v>22</v>
      </c>
      <c r="C116" s="149" t="s">
        <v>514</v>
      </c>
      <c r="D116" s="121" t="str">
        <f t="shared" si="1"/>
        <v>1) Joindre un calcul externe et introduire les valeurs aux cellules F40 - I43</v>
      </c>
      <c r="E116" s="137" t="s">
        <v>688</v>
      </c>
      <c r="F116" s="138" t="s">
        <v>689</v>
      </c>
      <c r="G116" s="67" t="s">
        <v>896</v>
      </c>
    </row>
    <row r="117" spans="1:7" ht="25.9" customHeight="1">
      <c r="A117" s="77">
        <v>114</v>
      </c>
      <c r="B117" s="149" t="s">
        <v>22</v>
      </c>
      <c r="C117" s="123" t="s">
        <v>780</v>
      </c>
      <c r="D117" s="122" t="str">
        <f t="shared" si="1"/>
        <v>EGID:</v>
      </c>
      <c r="E117" s="66" t="s">
        <v>781</v>
      </c>
      <c r="F117" s="125" t="s">
        <v>897</v>
      </c>
      <c r="G117" s="79" t="s">
        <v>897</v>
      </c>
    </row>
    <row r="118" spans="1:7" ht="25.9" customHeight="1">
      <c r="A118" s="65">
        <v>115</v>
      </c>
      <c r="B118" s="149" t="s">
        <v>319</v>
      </c>
      <c r="C118" s="149" t="s">
        <v>23</v>
      </c>
      <c r="D118" s="121" t="str">
        <f t="shared" si="1"/>
        <v>Argovie</v>
      </c>
      <c r="E118" s="66" t="s">
        <v>309</v>
      </c>
      <c r="F118" s="125" t="s">
        <v>280</v>
      </c>
      <c r="G118" s="67" t="s">
        <v>898</v>
      </c>
    </row>
    <row r="119" spans="1:7" ht="25.9" customHeight="1">
      <c r="A119" s="65">
        <v>116</v>
      </c>
      <c r="B119" s="149" t="s">
        <v>319</v>
      </c>
      <c r="C119" s="149" t="s">
        <v>24</v>
      </c>
      <c r="D119" s="121" t="str">
        <f t="shared" si="1"/>
        <v>Appenzell Rhodes-Intérieures</v>
      </c>
      <c r="E119" s="66" t="s">
        <v>310</v>
      </c>
      <c r="F119" s="125" t="s">
        <v>281</v>
      </c>
      <c r="G119" s="67" t="s">
        <v>899</v>
      </c>
    </row>
    <row r="120" spans="1:7" ht="25.9" customHeight="1">
      <c r="A120" s="65">
        <v>117</v>
      </c>
      <c r="B120" s="149" t="s">
        <v>319</v>
      </c>
      <c r="C120" s="149" t="s">
        <v>25</v>
      </c>
      <c r="D120" s="121" t="str">
        <f t="shared" si="1"/>
        <v>Appenzell Rhodes-Extérieures</v>
      </c>
      <c r="E120" s="66" t="s">
        <v>311</v>
      </c>
      <c r="F120" s="125" t="s">
        <v>1297</v>
      </c>
      <c r="G120" s="67" t="s">
        <v>900</v>
      </c>
    </row>
    <row r="121" spans="1:7" ht="25.9" customHeight="1">
      <c r="A121" s="65">
        <v>118</v>
      </c>
      <c r="B121" s="149" t="s">
        <v>319</v>
      </c>
      <c r="C121" s="149" t="s">
        <v>26</v>
      </c>
      <c r="D121" s="121" t="str">
        <f t="shared" si="1"/>
        <v>Berne</v>
      </c>
      <c r="E121" s="66" t="s">
        <v>148</v>
      </c>
      <c r="F121" s="125" t="s">
        <v>282</v>
      </c>
      <c r="G121" s="67" t="s">
        <v>901</v>
      </c>
    </row>
    <row r="122" spans="1:7" ht="25.9" customHeight="1">
      <c r="A122" s="65">
        <v>119</v>
      </c>
      <c r="B122" s="149" t="s">
        <v>319</v>
      </c>
      <c r="C122" s="149" t="s">
        <v>27</v>
      </c>
      <c r="D122" s="121" t="str">
        <f t="shared" si="1"/>
        <v>Bâle-Campagne</v>
      </c>
      <c r="E122" s="66" t="s">
        <v>312</v>
      </c>
      <c r="F122" s="125" t="s">
        <v>283</v>
      </c>
      <c r="G122" s="67" t="s">
        <v>902</v>
      </c>
    </row>
    <row r="123" spans="1:7" ht="25.9" customHeight="1">
      <c r="A123" s="65">
        <v>120</v>
      </c>
      <c r="B123" s="149" t="s">
        <v>319</v>
      </c>
      <c r="C123" s="149" t="s">
        <v>28</v>
      </c>
      <c r="D123" s="121" t="str">
        <f t="shared" si="1"/>
        <v>Bâle-Ville</v>
      </c>
      <c r="E123" s="66" t="s">
        <v>313</v>
      </c>
      <c r="F123" s="125" t="s">
        <v>284</v>
      </c>
      <c r="G123" s="67" t="s">
        <v>903</v>
      </c>
    </row>
    <row r="124" spans="1:7" ht="25.9" customHeight="1">
      <c r="A124" s="65">
        <v>121</v>
      </c>
      <c r="B124" s="149" t="s">
        <v>319</v>
      </c>
      <c r="C124" s="149" t="s">
        <v>29</v>
      </c>
      <c r="D124" s="121" t="str">
        <f t="shared" si="1"/>
        <v>Fribourg</v>
      </c>
      <c r="E124" s="66" t="s">
        <v>150</v>
      </c>
      <c r="F124" s="125" t="s">
        <v>150</v>
      </c>
      <c r="G124" s="67" t="s">
        <v>904</v>
      </c>
    </row>
    <row r="125" spans="1:7" ht="25.9" customHeight="1">
      <c r="A125" s="65">
        <v>122</v>
      </c>
      <c r="B125" s="149" t="s">
        <v>319</v>
      </c>
      <c r="C125" s="149" t="s">
        <v>30</v>
      </c>
      <c r="D125" s="121" t="str">
        <f t="shared" si="1"/>
        <v>Genève</v>
      </c>
      <c r="E125" s="66" t="s">
        <v>151</v>
      </c>
      <c r="F125" s="125" t="s">
        <v>151</v>
      </c>
      <c r="G125" s="67" t="s">
        <v>905</v>
      </c>
    </row>
    <row r="126" spans="1:7" ht="25.9" customHeight="1">
      <c r="A126" s="65">
        <v>123</v>
      </c>
      <c r="B126" s="149" t="s">
        <v>319</v>
      </c>
      <c r="C126" s="149" t="s">
        <v>31</v>
      </c>
      <c r="D126" s="121" t="str">
        <f t="shared" si="1"/>
        <v>Glaris</v>
      </c>
      <c r="E126" s="66" t="s">
        <v>153</v>
      </c>
      <c r="F126" s="125" t="s">
        <v>285</v>
      </c>
      <c r="G126" s="67" t="s">
        <v>906</v>
      </c>
    </row>
    <row r="127" spans="1:7" ht="25.9" customHeight="1">
      <c r="A127" s="65">
        <v>124</v>
      </c>
      <c r="B127" s="149" t="s">
        <v>319</v>
      </c>
      <c r="C127" s="149" t="s">
        <v>32</v>
      </c>
      <c r="D127" s="121" t="str">
        <f t="shared" si="1"/>
        <v>Grisons</v>
      </c>
      <c r="E127" s="66" t="s">
        <v>220</v>
      </c>
      <c r="F127" s="125" t="s">
        <v>1298</v>
      </c>
      <c r="G127" s="67" t="s">
        <v>907</v>
      </c>
    </row>
    <row r="128" spans="1:7" ht="25.9" customHeight="1">
      <c r="A128" s="65">
        <v>125</v>
      </c>
      <c r="B128" s="149" t="s">
        <v>319</v>
      </c>
      <c r="C128" s="149" t="s">
        <v>427</v>
      </c>
      <c r="D128" s="121" t="str">
        <f t="shared" si="1"/>
        <v>Jura</v>
      </c>
      <c r="E128" s="66" t="s">
        <v>211</v>
      </c>
      <c r="F128" s="125" t="s">
        <v>211</v>
      </c>
      <c r="G128" s="67" t="s">
        <v>908</v>
      </c>
    </row>
    <row r="129" spans="1:7" ht="25.9" customHeight="1">
      <c r="A129" s="65">
        <v>126</v>
      </c>
      <c r="B129" s="149" t="s">
        <v>319</v>
      </c>
      <c r="C129" s="149" t="s">
        <v>33</v>
      </c>
      <c r="D129" s="121" t="str">
        <f t="shared" si="1"/>
        <v>Lucerne</v>
      </c>
      <c r="E129" s="66" t="s">
        <v>149</v>
      </c>
      <c r="F129" s="125" t="s">
        <v>286</v>
      </c>
      <c r="G129" s="67" t="s">
        <v>909</v>
      </c>
    </row>
    <row r="130" spans="1:7" ht="25.9" customHeight="1">
      <c r="A130" s="65">
        <v>127</v>
      </c>
      <c r="B130" s="149" t="s">
        <v>319</v>
      </c>
      <c r="C130" s="149" t="s">
        <v>34</v>
      </c>
      <c r="D130" s="121" t="str">
        <f t="shared" si="1"/>
        <v>Neuchâtel</v>
      </c>
      <c r="E130" s="66" t="s">
        <v>212</v>
      </c>
      <c r="F130" s="125" t="s">
        <v>152</v>
      </c>
      <c r="G130" s="67" t="s">
        <v>152</v>
      </c>
    </row>
    <row r="131" spans="1:7" ht="25.9" customHeight="1">
      <c r="A131" s="65">
        <v>128</v>
      </c>
      <c r="B131" s="149" t="s">
        <v>319</v>
      </c>
      <c r="C131" s="149" t="s">
        <v>35</v>
      </c>
      <c r="D131" s="121" t="str">
        <f t="shared" si="1"/>
        <v>Nidwald</v>
      </c>
      <c r="E131" s="66" t="s">
        <v>218</v>
      </c>
      <c r="F131" s="125" t="s">
        <v>287</v>
      </c>
      <c r="G131" s="67" t="s">
        <v>910</v>
      </c>
    </row>
    <row r="132" spans="1:7" ht="25.9" customHeight="1">
      <c r="A132" s="65">
        <v>129</v>
      </c>
      <c r="B132" s="149" t="s">
        <v>319</v>
      </c>
      <c r="C132" s="149" t="s">
        <v>36</v>
      </c>
      <c r="D132" s="121" t="str">
        <f t="shared" si="1"/>
        <v>Obwald</v>
      </c>
      <c r="E132" s="66" t="s">
        <v>217</v>
      </c>
      <c r="F132" s="125" t="s">
        <v>288</v>
      </c>
      <c r="G132" s="67" t="s">
        <v>911</v>
      </c>
    </row>
    <row r="133" spans="1:7" ht="25.9" customHeight="1">
      <c r="A133" s="65">
        <v>130</v>
      </c>
      <c r="B133" s="149" t="s">
        <v>319</v>
      </c>
      <c r="C133" s="149" t="s">
        <v>37</v>
      </c>
      <c r="D133" s="121" t="str">
        <f t="shared" ref="D133:D196" si="2">INDEX($E$4:$G$503,$A133,$A$1)</f>
        <v>St-Gall</v>
      </c>
      <c r="E133" s="66" t="s">
        <v>147</v>
      </c>
      <c r="F133" s="125" t="s">
        <v>289</v>
      </c>
      <c r="G133" s="67" t="s">
        <v>912</v>
      </c>
    </row>
    <row r="134" spans="1:7" ht="25.9" customHeight="1">
      <c r="A134" s="65">
        <v>131</v>
      </c>
      <c r="B134" s="149" t="s">
        <v>319</v>
      </c>
      <c r="C134" s="149" t="s">
        <v>38</v>
      </c>
      <c r="D134" s="121" t="str">
        <f t="shared" si="2"/>
        <v>Schaffhouse</v>
      </c>
      <c r="E134" s="66" t="s">
        <v>146</v>
      </c>
      <c r="F134" s="125" t="s">
        <v>290</v>
      </c>
      <c r="G134" s="67" t="s">
        <v>913</v>
      </c>
    </row>
    <row r="135" spans="1:7" ht="25.9" customHeight="1">
      <c r="A135" s="65">
        <v>132</v>
      </c>
      <c r="B135" s="149" t="s">
        <v>319</v>
      </c>
      <c r="C135" s="149" t="s">
        <v>39</v>
      </c>
      <c r="D135" s="121" t="str">
        <f t="shared" si="2"/>
        <v>Soleure</v>
      </c>
      <c r="E135" s="66" t="s">
        <v>145</v>
      </c>
      <c r="F135" s="125" t="s">
        <v>291</v>
      </c>
      <c r="G135" s="67" t="s">
        <v>914</v>
      </c>
    </row>
    <row r="136" spans="1:7" ht="25.9" customHeight="1">
      <c r="A136" s="65">
        <v>133</v>
      </c>
      <c r="B136" s="149" t="s">
        <v>319</v>
      </c>
      <c r="C136" s="149" t="s">
        <v>40</v>
      </c>
      <c r="D136" s="121" t="str">
        <f t="shared" si="2"/>
        <v>Schwytz</v>
      </c>
      <c r="E136" s="66" t="s">
        <v>216</v>
      </c>
      <c r="F136" s="125" t="s">
        <v>292</v>
      </c>
      <c r="G136" s="67" t="s">
        <v>915</v>
      </c>
    </row>
    <row r="137" spans="1:7" ht="25.9" customHeight="1">
      <c r="A137" s="65">
        <v>134</v>
      </c>
      <c r="B137" s="149" t="s">
        <v>319</v>
      </c>
      <c r="C137" s="149" t="s">
        <v>41</v>
      </c>
      <c r="D137" s="121" t="str">
        <f t="shared" si="2"/>
        <v>Thurgovie</v>
      </c>
      <c r="E137" s="66" t="s">
        <v>210</v>
      </c>
      <c r="F137" s="125" t="s">
        <v>293</v>
      </c>
      <c r="G137" s="67" t="s">
        <v>916</v>
      </c>
    </row>
    <row r="138" spans="1:7" ht="25.9" customHeight="1">
      <c r="A138" s="65">
        <v>135</v>
      </c>
      <c r="B138" s="149" t="s">
        <v>319</v>
      </c>
      <c r="C138" s="149" t="s">
        <v>42</v>
      </c>
      <c r="D138" s="121" t="str">
        <f t="shared" si="2"/>
        <v>Tessin</v>
      </c>
      <c r="E138" s="66" t="s">
        <v>221</v>
      </c>
      <c r="F138" s="125" t="s">
        <v>221</v>
      </c>
      <c r="G138" s="67" t="s">
        <v>917</v>
      </c>
    </row>
    <row r="139" spans="1:7" ht="25.9" customHeight="1">
      <c r="A139" s="65">
        <v>136</v>
      </c>
      <c r="B139" s="149" t="s">
        <v>319</v>
      </c>
      <c r="C139" s="149" t="s">
        <v>43</v>
      </c>
      <c r="D139" s="121" t="str">
        <f t="shared" si="2"/>
        <v>Uri</v>
      </c>
      <c r="E139" s="66" t="s">
        <v>219</v>
      </c>
      <c r="F139" s="125" t="s">
        <v>219</v>
      </c>
      <c r="G139" s="67" t="s">
        <v>219</v>
      </c>
    </row>
    <row r="140" spans="1:7" ht="25.9" customHeight="1">
      <c r="A140" s="65">
        <v>137</v>
      </c>
      <c r="B140" s="149" t="s">
        <v>319</v>
      </c>
      <c r="C140" s="149" t="s">
        <v>44</v>
      </c>
      <c r="D140" s="121" t="str">
        <f t="shared" si="2"/>
        <v>Vaud</v>
      </c>
      <c r="E140" s="66" t="s">
        <v>314</v>
      </c>
      <c r="F140" s="125" t="s">
        <v>294</v>
      </c>
      <c r="G140" s="67" t="s">
        <v>294</v>
      </c>
    </row>
    <row r="141" spans="1:7" ht="25.9" customHeight="1">
      <c r="A141" s="65">
        <v>138</v>
      </c>
      <c r="B141" s="149" t="s">
        <v>319</v>
      </c>
      <c r="C141" s="149" t="s">
        <v>45</v>
      </c>
      <c r="D141" s="121" t="str">
        <f t="shared" si="2"/>
        <v>Valais</v>
      </c>
      <c r="E141" s="66" t="s">
        <v>207</v>
      </c>
      <c r="F141" s="125" t="s">
        <v>295</v>
      </c>
      <c r="G141" s="67" t="s">
        <v>918</v>
      </c>
    </row>
    <row r="142" spans="1:7" ht="25.9" customHeight="1">
      <c r="A142" s="65">
        <v>139</v>
      </c>
      <c r="B142" s="149" t="s">
        <v>319</v>
      </c>
      <c r="C142" s="149" t="s">
        <v>46</v>
      </c>
      <c r="D142" s="121" t="str">
        <f t="shared" si="2"/>
        <v>Zoug</v>
      </c>
      <c r="E142" s="66" t="s">
        <v>208</v>
      </c>
      <c r="F142" s="125" t="s">
        <v>296</v>
      </c>
      <c r="G142" s="67" t="s">
        <v>919</v>
      </c>
    </row>
    <row r="143" spans="1:7" ht="25.9" customHeight="1">
      <c r="A143" s="65">
        <v>140</v>
      </c>
      <c r="B143" s="149" t="s">
        <v>319</v>
      </c>
      <c r="C143" s="149" t="s">
        <v>47</v>
      </c>
      <c r="D143" s="121" t="str">
        <f t="shared" si="2"/>
        <v>Zurich</v>
      </c>
      <c r="E143" s="66" t="s">
        <v>209</v>
      </c>
      <c r="F143" s="125" t="s">
        <v>297</v>
      </c>
      <c r="G143" s="67" t="s">
        <v>920</v>
      </c>
    </row>
    <row r="144" spans="1:7" ht="25.9" customHeight="1">
      <c r="A144" s="65">
        <v>141</v>
      </c>
      <c r="B144" s="149" t="s">
        <v>319</v>
      </c>
      <c r="C144" s="149" t="s">
        <v>48</v>
      </c>
      <c r="D144" s="121" t="str">
        <f t="shared" si="2"/>
        <v>Principauté du Liechtenstein</v>
      </c>
      <c r="E144" s="66" t="s">
        <v>315</v>
      </c>
      <c r="F144" s="125" t="s">
        <v>298</v>
      </c>
      <c r="G144" s="67" t="s">
        <v>921</v>
      </c>
    </row>
    <row r="145" spans="1:7" ht="25.9" customHeight="1">
      <c r="A145" s="65">
        <v>142</v>
      </c>
      <c r="B145" s="149" t="s">
        <v>319</v>
      </c>
      <c r="C145" s="149" t="s">
        <v>272</v>
      </c>
      <c r="D145" s="121" t="str">
        <f t="shared" si="2"/>
        <v>spécial</v>
      </c>
      <c r="E145" s="66" t="s">
        <v>271</v>
      </c>
      <c r="F145" s="125" t="s">
        <v>299</v>
      </c>
      <c r="G145" s="67" t="s">
        <v>922</v>
      </c>
    </row>
    <row r="146" spans="1:7" ht="25.9" customHeight="1">
      <c r="A146" s="65">
        <v>143</v>
      </c>
      <c r="B146" s="149" t="s">
        <v>22</v>
      </c>
      <c r="C146" s="149" t="s">
        <v>500</v>
      </c>
      <c r="D146" s="121" t="str">
        <f t="shared" si="2"/>
        <v>Signature</v>
      </c>
      <c r="E146" s="66" t="s">
        <v>363</v>
      </c>
      <c r="F146" s="125" t="s">
        <v>1141</v>
      </c>
      <c r="G146" s="67" t="s">
        <v>923</v>
      </c>
    </row>
    <row r="147" spans="1:7" ht="25.9" customHeight="1">
      <c r="A147" s="65">
        <v>144</v>
      </c>
      <c r="B147" s="149" t="s">
        <v>22</v>
      </c>
      <c r="C147" s="149" t="s">
        <v>501</v>
      </c>
      <c r="D147" s="121" t="str">
        <f t="shared" si="2"/>
        <v>Justificatif établi par:</v>
      </c>
      <c r="E147" s="66" t="s">
        <v>364</v>
      </c>
      <c r="F147" s="125" t="s">
        <v>1142</v>
      </c>
      <c r="G147" s="67" t="s">
        <v>924</v>
      </c>
    </row>
    <row r="148" spans="1:7" ht="25.9" customHeight="1">
      <c r="A148" s="65">
        <v>145</v>
      </c>
      <c r="B148" s="149" t="s">
        <v>22</v>
      </c>
      <c r="C148" s="149" t="s">
        <v>502</v>
      </c>
      <c r="D148" s="121" t="str">
        <f t="shared" si="2"/>
        <v>Contrôle du justificatif/Contrôle privé:</v>
      </c>
      <c r="E148" s="66" t="s">
        <v>365</v>
      </c>
      <c r="F148" s="125" t="s">
        <v>1143</v>
      </c>
      <c r="G148" s="67" t="s">
        <v>925</v>
      </c>
    </row>
    <row r="149" spans="1:7" ht="25.9" customHeight="1">
      <c r="A149" s="65">
        <v>146</v>
      </c>
      <c r="B149" s="149" t="s">
        <v>22</v>
      </c>
      <c r="C149" s="149" t="s">
        <v>503</v>
      </c>
      <c r="D149" s="121" t="str">
        <f t="shared" si="2"/>
        <v>Certifié complet et correct</v>
      </c>
      <c r="E149" s="66" t="s">
        <v>366</v>
      </c>
      <c r="F149" s="125" t="s">
        <v>1144</v>
      </c>
      <c r="G149" s="67" t="s">
        <v>926</v>
      </c>
    </row>
    <row r="150" spans="1:7" ht="25.9" customHeight="1">
      <c r="A150" s="65">
        <v>147</v>
      </c>
      <c r="B150" s="149" t="s">
        <v>22</v>
      </c>
      <c r="C150" s="149" t="s">
        <v>504</v>
      </c>
      <c r="D150" s="121" t="str">
        <f t="shared" si="2"/>
        <v>Nom et adresse</v>
      </c>
      <c r="E150" s="66" t="s">
        <v>367</v>
      </c>
      <c r="F150" s="125" t="s">
        <v>1145</v>
      </c>
      <c r="G150" s="67" t="s">
        <v>927</v>
      </c>
    </row>
    <row r="151" spans="1:7" ht="25.9" customHeight="1">
      <c r="A151" s="65">
        <v>148</v>
      </c>
      <c r="B151" s="149" t="s">
        <v>22</v>
      </c>
      <c r="C151" s="149" t="s">
        <v>505</v>
      </c>
      <c r="D151" s="121" t="str">
        <f t="shared" si="2"/>
        <v>ou tampon de l'entreprise</v>
      </c>
      <c r="E151" s="66" t="s">
        <v>368</v>
      </c>
      <c r="F151" s="125" t="s">
        <v>1146</v>
      </c>
      <c r="G151" s="67" t="s">
        <v>928</v>
      </c>
    </row>
    <row r="152" spans="1:7" ht="25.9" customHeight="1">
      <c r="A152" s="65">
        <v>149</v>
      </c>
      <c r="B152" s="149" t="s">
        <v>22</v>
      </c>
      <c r="C152" s="149" t="s">
        <v>506</v>
      </c>
      <c r="D152" s="121" t="str">
        <f t="shared" si="2"/>
        <v>Responsable, tél.:</v>
      </c>
      <c r="E152" s="66" t="s">
        <v>369</v>
      </c>
      <c r="F152" s="125" t="s">
        <v>1147</v>
      </c>
      <c r="G152" s="67" t="s">
        <v>929</v>
      </c>
    </row>
    <row r="153" spans="1:7" ht="25.9" customHeight="1">
      <c r="A153" s="65">
        <v>150</v>
      </c>
      <c r="B153" s="149" t="s">
        <v>22</v>
      </c>
      <c r="C153" s="149" t="s">
        <v>509</v>
      </c>
      <c r="D153" s="121" t="str">
        <f t="shared" si="2"/>
        <v>Lieu, date, signature:</v>
      </c>
      <c r="E153" s="66" t="s">
        <v>370</v>
      </c>
      <c r="F153" s="125" t="s">
        <v>1148</v>
      </c>
      <c r="G153" s="67" t="s">
        <v>930</v>
      </c>
    </row>
    <row r="154" spans="1:7" ht="25.9" customHeight="1">
      <c r="A154" s="65">
        <v>151</v>
      </c>
      <c r="B154" s="149" t="s">
        <v>22</v>
      </c>
      <c r="C154" s="149" t="s">
        <v>510</v>
      </c>
      <c r="D154" s="121" t="str">
        <f t="shared" si="2"/>
        <v>Contrôle d'exécution</v>
      </c>
      <c r="E154" s="66" t="s">
        <v>371</v>
      </c>
      <c r="F154" s="125" t="s">
        <v>1149</v>
      </c>
      <c r="G154" s="67" t="s">
        <v>931</v>
      </c>
    </row>
    <row r="155" spans="1:7" ht="25.9" customHeight="1">
      <c r="A155" s="65">
        <v>152</v>
      </c>
      <c r="B155" s="149" t="s">
        <v>22</v>
      </c>
      <c r="C155" s="149" t="s">
        <v>512</v>
      </c>
      <c r="D155" s="121" t="str">
        <f t="shared" si="2"/>
        <v>même personne</v>
      </c>
      <c r="E155" s="66" t="s">
        <v>376</v>
      </c>
      <c r="F155" s="125" t="s">
        <v>1150</v>
      </c>
      <c r="G155" s="67" t="s">
        <v>932</v>
      </c>
    </row>
    <row r="156" spans="1:7" ht="25.9" customHeight="1">
      <c r="A156" s="142">
        <v>153</v>
      </c>
      <c r="B156" s="152" t="s">
        <v>22</v>
      </c>
      <c r="C156" s="152" t="s">
        <v>513</v>
      </c>
      <c r="D156" s="143" t="str">
        <f t="shared" si="2"/>
        <v>ou:</v>
      </c>
      <c r="E156" s="144" t="s">
        <v>377</v>
      </c>
      <c r="F156" s="145" t="s">
        <v>1151</v>
      </c>
      <c r="G156" s="146" t="s">
        <v>933</v>
      </c>
    </row>
    <row r="157" spans="1:7" ht="25.9" customHeight="1">
      <c r="A157" s="77">
        <v>154</v>
      </c>
      <c r="B157" s="149" t="s">
        <v>319</v>
      </c>
      <c r="C157" s="149" t="s">
        <v>515</v>
      </c>
      <c r="D157" s="122" t="str">
        <f t="shared" si="2"/>
        <v>Chaudière à mazout</v>
      </c>
      <c r="E157" s="78" t="s">
        <v>112</v>
      </c>
      <c r="F157" s="127" t="s">
        <v>1152</v>
      </c>
      <c r="G157" s="79" t="s">
        <v>934</v>
      </c>
    </row>
    <row r="158" spans="1:7" ht="25.9" customHeight="1">
      <c r="A158" s="65">
        <v>155</v>
      </c>
      <c r="B158" s="149" t="s">
        <v>319</v>
      </c>
      <c r="C158" s="149" t="s">
        <v>516</v>
      </c>
      <c r="D158" s="121" t="str">
        <f t="shared" si="2"/>
        <v>Chaudière à mazout à condensation, que chauffage</v>
      </c>
      <c r="E158" s="66" t="s">
        <v>52</v>
      </c>
      <c r="F158" s="125" t="s">
        <v>1153</v>
      </c>
      <c r="G158" s="67" t="s">
        <v>935</v>
      </c>
    </row>
    <row r="159" spans="1:7" ht="25.9" customHeight="1">
      <c r="A159" s="65">
        <v>156</v>
      </c>
      <c r="B159" s="149" t="s">
        <v>319</v>
      </c>
      <c r="C159" s="149" t="s">
        <v>517</v>
      </c>
      <c r="D159" s="121" t="str">
        <f t="shared" si="2"/>
        <v xml:space="preserve">Chaudière à mazout à condensation, qu'eau chaude </v>
      </c>
      <c r="E159" s="66" t="s">
        <v>53</v>
      </c>
      <c r="F159" s="125" t="s">
        <v>1154</v>
      </c>
      <c r="G159" s="67" t="s">
        <v>936</v>
      </c>
    </row>
    <row r="160" spans="1:7" ht="25.9" customHeight="1">
      <c r="A160" s="65">
        <v>157</v>
      </c>
      <c r="B160" s="149" t="s">
        <v>319</v>
      </c>
      <c r="C160" s="149" t="s">
        <v>518</v>
      </c>
      <c r="D160" s="121" t="str">
        <f t="shared" si="2"/>
        <v>Chaudière à gaz</v>
      </c>
      <c r="E160" s="66" t="s">
        <v>113</v>
      </c>
      <c r="F160" s="125" t="s">
        <v>1155</v>
      </c>
      <c r="G160" s="67" t="s">
        <v>937</v>
      </c>
    </row>
    <row r="161" spans="1:7" ht="25.9" customHeight="1">
      <c r="A161" s="65">
        <v>158</v>
      </c>
      <c r="B161" s="149" t="s">
        <v>319</v>
      </c>
      <c r="C161" s="149" t="s">
        <v>519</v>
      </c>
      <c r="D161" s="121" t="str">
        <f t="shared" si="2"/>
        <v>Chaudière à gaz à condensation, que chauffage</v>
      </c>
      <c r="E161" s="66" t="s">
        <v>54</v>
      </c>
      <c r="F161" s="125" t="s">
        <v>1156</v>
      </c>
      <c r="G161" s="67" t="s">
        <v>938</v>
      </c>
    </row>
    <row r="162" spans="1:7" ht="25.9" customHeight="1">
      <c r="A162" s="65">
        <v>159</v>
      </c>
      <c r="B162" s="149" t="s">
        <v>319</v>
      </c>
      <c r="C162" s="149" t="s">
        <v>520</v>
      </c>
      <c r="D162" s="121" t="str">
        <f t="shared" si="2"/>
        <v>Chaudière à gaz à condensation, qu'eau chaude</v>
      </c>
      <c r="E162" s="66" t="s">
        <v>55</v>
      </c>
      <c r="F162" s="125" t="s">
        <v>1157</v>
      </c>
      <c r="G162" s="67" t="s">
        <v>939</v>
      </c>
    </row>
    <row r="163" spans="1:7" ht="26.1" customHeight="1">
      <c r="A163" s="65">
        <v>160</v>
      </c>
      <c r="B163" s="149" t="s">
        <v>319</v>
      </c>
      <c r="C163" s="149" t="s">
        <v>521</v>
      </c>
      <c r="D163" s="121" t="str">
        <f t="shared" si="2"/>
        <v>Chauffe-eau à gaz</v>
      </c>
      <c r="E163" s="66" t="s">
        <v>114</v>
      </c>
      <c r="F163" s="125" t="s">
        <v>1158</v>
      </c>
      <c r="G163" s="67" t="s">
        <v>940</v>
      </c>
    </row>
    <row r="164" spans="1:7" ht="26.1" customHeight="1">
      <c r="A164" s="65">
        <v>161</v>
      </c>
      <c r="B164" s="149" t="s">
        <v>319</v>
      </c>
      <c r="C164" s="149" t="s">
        <v>522</v>
      </c>
      <c r="D164" s="121" t="str">
        <f t="shared" si="2"/>
        <v>Chauffage au bois</v>
      </c>
      <c r="E164" s="66" t="s">
        <v>160</v>
      </c>
      <c r="F164" s="125" t="s">
        <v>1159</v>
      </c>
      <c r="G164" s="67" t="s">
        <v>941</v>
      </c>
    </row>
    <row r="165" spans="1:7" ht="26.1" customHeight="1">
      <c r="A165" s="65">
        <v>162</v>
      </c>
      <c r="B165" s="149" t="s">
        <v>319</v>
      </c>
      <c r="C165" s="149" t="s">
        <v>523</v>
      </c>
      <c r="D165" s="121" t="str">
        <f t="shared" si="2"/>
        <v>Chauffage au pellets</v>
      </c>
      <c r="E165" s="66" t="s">
        <v>4</v>
      </c>
      <c r="F165" s="125" t="s">
        <v>1160</v>
      </c>
      <c r="G165" s="67" t="s">
        <v>942</v>
      </c>
    </row>
    <row r="166" spans="1:7" ht="26.1" customHeight="1">
      <c r="A166" s="65">
        <v>163</v>
      </c>
      <c r="B166" s="149" t="s">
        <v>319</v>
      </c>
      <c r="C166" s="149" t="s">
        <v>524</v>
      </c>
      <c r="D166" s="121" t="str">
        <f t="shared" si="2"/>
        <v>Chaleur à distance (min. 50% énergies ren., rejets, CCF)</v>
      </c>
      <c r="E166" s="66" t="s">
        <v>800</v>
      </c>
      <c r="F166" s="125" t="s">
        <v>1161</v>
      </c>
      <c r="G166" s="67" t="s">
        <v>1059</v>
      </c>
    </row>
    <row r="167" spans="1:7" ht="26.1" customHeight="1">
      <c r="A167" s="65">
        <v>164</v>
      </c>
      <c r="B167" s="149" t="s">
        <v>319</v>
      </c>
      <c r="C167" s="149" t="s">
        <v>525</v>
      </c>
      <c r="D167" s="121" t="str">
        <f t="shared" si="2"/>
        <v>Chauffage central électrique</v>
      </c>
      <c r="E167" s="66" t="s">
        <v>106</v>
      </c>
      <c r="F167" s="125" t="s">
        <v>1162</v>
      </c>
      <c r="G167" s="67" t="s">
        <v>943</v>
      </c>
    </row>
    <row r="168" spans="1:7" ht="26.1" customHeight="1">
      <c r="A168" s="65">
        <v>165</v>
      </c>
      <c r="B168" s="149" t="s">
        <v>319</v>
      </c>
      <c r="C168" s="149" t="s">
        <v>526</v>
      </c>
      <c r="D168" s="121" t="str">
        <f t="shared" si="2"/>
        <v>Chauffage électrique direct</v>
      </c>
      <c r="E168" s="66" t="s">
        <v>20</v>
      </c>
      <c r="F168" s="125" t="s">
        <v>1163</v>
      </c>
      <c r="G168" s="67" t="s">
        <v>944</v>
      </c>
    </row>
    <row r="169" spans="1:7" ht="26.1" customHeight="1">
      <c r="A169" s="65">
        <v>166</v>
      </c>
      <c r="B169" s="149" t="s">
        <v>319</v>
      </c>
      <c r="C169" s="149" t="s">
        <v>527</v>
      </c>
      <c r="D169" s="121" t="str">
        <f t="shared" si="2"/>
        <v>Chauffe-eau électrique</v>
      </c>
      <c r="E169" s="66" t="s">
        <v>86</v>
      </c>
      <c r="F169" s="125" t="s">
        <v>1164</v>
      </c>
      <c r="G169" s="67" t="s">
        <v>945</v>
      </c>
    </row>
    <row r="170" spans="1:7" ht="26.1" customHeight="1">
      <c r="A170" s="65">
        <v>167</v>
      </c>
      <c r="B170" s="149" t="s">
        <v>319</v>
      </c>
      <c r="C170" s="149" t="s">
        <v>528</v>
      </c>
      <c r="D170" s="121" t="str">
        <f t="shared" si="2"/>
        <v>CCF (fossile) - part thermique et électrique</v>
      </c>
      <c r="E170" s="66" t="s">
        <v>346</v>
      </c>
      <c r="F170" s="125" t="s">
        <v>1165</v>
      </c>
      <c r="G170" s="67" t="s">
        <v>946</v>
      </c>
    </row>
    <row r="171" spans="1:7" ht="26.1" customHeight="1">
      <c r="A171" s="65">
        <v>168</v>
      </c>
      <c r="B171" s="149" t="s">
        <v>319</v>
      </c>
      <c r="C171" s="149" t="s">
        <v>529</v>
      </c>
      <c r="D171" s="121" t="str">
        <f t="shared" si="2"/>
        <v>CCF (bois) - part thermique et électrique</v>
      </c>
      <c r="E171" s="66" t="s">
        <v>225</v>
      </c>
      <c r="F171" s="125" t="s">
        <v>1166</v>
      </c>
      <c r="G171" s="67" t="s">
        <v>947</v>
      </c>
    </row>
    <row r="172" spans="1:7" ht="25.9" customHeight="1">
      <c r="A172" s="65">
        <v>169</v>
      </c>
      <c r="B172" s="149" t="s">
        <v>319</v>
      </c>
      <c r="C172" s="149" t="s">
        <v>530</v>
      </c>
      <c r="D172" s="121" t="str">
        <f t="shared" si="2"/>
        <v>Pompe à chaleur air-eau, que chauffage</v>
      </c>
      <c r="E172" s="66" t="s">
        <v>56</v>
      </c>
      <c r="F172" s="125" t="s">
        <v>1299</v>
      </c>
      <c r="G172" s="67" t="s">
        <v>2466</v>
      </c>
    </row>
    <row r="173" spans="1:7" ht="25.9" customHeight="1">
      <c r="A173" s="65">
        <v>170</v>
      </c>
      <c r="B173" s="149" t="s">
        <v>319</v>
      </c>
      <c r="C173" s="149" t="s">
        <v>531</v>
      </c>
      <c r="D173" s="121" t="str">
        <f t="shared" si="2"/>
        <v>Pompe à chaleur air-eau, qu'eau chaude</v>
      </c>
      <c r="E173" s="66" t="s">
        <v>57</v>
      </c>
      <c r="F173" s="125" t="s">
        <v>1300</v>
      </c>
      <c r="G173" s="67" t="s">
        <v>2467</v>
      </c>
    </row>
    <row r="174" spans="1:7" ht="25.9" customHeight="1">
      <c r="A174" s="65">
        <v>171</v>
      </c>
      <c r="B174" s="149" t="s">
        <v>319</v>
      </c>
      <c r="C174" s="149" t="s">
        <v>532</v>
      </c>
      <c r="D174" s="121" t="str">
        <f t="shared" si="2"/>
        <v>Pompe à chaleur géothermique, que chauffage</v>
      </c>
      <c r="E174" s="66" t="s">
        <v>58</v>
      </c>
      <c r="F174" s="125" t="s">
        <v>1167</v>
      </c>
      <c r="G174" s="67" t="s">
        <v>948</v>
      </c>
    </row>
    <row r="175" spans="1:7" ht="26.1" customHeight="1">
      <c r="A175" s="65">
        <v>172</v>
      </c>
      <c r="B175" s="149" t="s">
        <v>319</v>
      </c>
      <c r="C175" s="149" t="s">
        <v>533</v>
      </c>
      <c r="D175" s="121" t="str">
        <f t="shared" si="2"/>
        <v>Pompe à chaleur géothermique, qu'eau chaude</v>
      </c>
      <c r="E175" s="66" t="s">
        <v>59</v>
      </c>
      <c r="F175" s="125" t="s">
        <v>1168</v>
      </c>
      <c r="G175" s="67" t="s">
        <v>949</v>
      </c>
    </row>
    <row r="176" spans="1:7" ht="26.1" customHeight="1">
      <c r="A176" s="65">
        <v>173</v>
      </c>
      <c r="B176" s="149" t="s">
        <v>319</v>
      </c>
      <c r="C176" s="149" t="s">
        <v>534</v>
      </c>
      <c r="D176" s="121" t="str">
        <f t="shared" si="2"/>
        <v>Pompe à chaleur eau usée, que chauffage</v>
      </c>
      <c r="E176" s="66" t="s">
        <v>222</v>
      </c>
      <c r="F176" s="125" t="s">
        <v>1169</v>
      </c>
      <c r="G176" s="67" t="s">
        <v>950</v>
      </c>
    </row>
    <row r="177" spans="1:7" ht="26.1" customHeight="1">
      <c r="A177" s="65">
        <v>174</v>
      </c>
      <c r="B177" s="149" t="s">
        <v>319</v>
      </c>
      <c r="C177" s="149" t="s">
        <v>535</v>
      </c>
      <c r="D177" s="121" t="str">
        <f t="shared" si="2"/>
        <v>Pompe à chaleur eau usée, qu'eau chaude</v>
      </c>
      <c r="E177" s="66" t="s">
        <v>223</v>
      </c>
      <c r="F177" s="125" t="s">
        <v>1170</v>
      </c>
      <c r="G177" s="67" t="s">
        <v>951</v>
      </c>
    </row>
    <row r="178" spans="1:7" ht="26.1" customHeight="1">
      <c r="A178" s="65">
        <v>175</v>
      </c>
      <c r="B178" s="149" t="s">
        <v>319</v>
      </c>
      <c r="C178" s="149" t="s">
        <v>536</v>
      </c>
      <c r="D178" s="121" t="str">
        <f t="shared" si="2"/>
        <v>Pompe à chaleur eau-eau, que chauffage</v>
      </c>
      <c r="E178" s="66" t="s">
        <v>224</v>
      </c>
      <c r="F178" s="125" t="s">
        <v>1171</v>
      </c>
      <c r="G178" s="67" t="s">
        <v>2468</v>
      </c>
    </row>
    <row r="179" spans="1:7" ht="26.1" customHeight="1">
      <c r="A179" s="65">
        <v>176</v>
      </c>
      <c r="B179" s="149" t="s">
        <v>319</v>
      </c>
      <c r="C179" s="149" t="s">
        <v>537</v>
      </c>
      <c r="D179" s="121" t="str">
        <f t="shared" si="2"/>
        <v>Pompe à chaleur eau-eau, qu'eau chaude</v>
      </c>
      <c r="E179" s="66" t="s">
        <v>118</v>
      </c>
      <c r="F179" s="125" t="s">
        <v>1172</v>
      </c>
      <c r="G179" s="67" t="s">
        <v>2469</v>
      </c>
    </row>
    <row r="180" spans="1:7" ht="26.1" customHeight="1">
      <c r="A180" s="65">
        <v>177</v>
      </c>
      <c r="B180" s="149" t="s">
        <v>319</v>
      </c>
      <c r="C180" s="149" t="s">
        <v>538</v>
      </c>
      <c r="D180" s="121" t="str">
        <f t="shared" si="2"/>
        <v>Pompe à chaleur eau souterraine, directe, que chauffage</v>
      </c>
      <c r="E180" s="66" t="s">
        <v>119</v>
      </c>
      <c r="F180" s="125" t="s">
        <v>1173</v>
      </c>
      <c r="G180" s="67" t="s">
        <v>952</v>
      </c>
    </row>
    <row r="181" spans="1:7" ht="26.1" customHeight="1">
      <c r="A181" s="65">
        <v>178</v>
      </c>
      <c r="B181" s="149" t="s">
        <v>319</v>
      </c>
      <c r="C181" s="149" t="s">
        <v>539</v>
      </c>
      <c r="D181" s="121" t="str">
        <f t="shared" si="2"/>
        <v>Pompe à chaleur eau souterraine, directe, qu'eau chaude</v>
      </c>
      <c r="E181" s="66" t="s">
        <v>120</v>
      </c>
      <c r="F181" s="125" t="s">
        <v>1174</v>
      </c>
      <c r="G181" s="67" t="s">
        <v>953</v>
      </c>
    </row>
    <row r="182" spans="1:7" ht="26.1" customHeight="1">
      <c r="A182" s="65">
        <v>179</v>
      </c>
      <c r="B182" s="149" t="s">
        <v>319</v>
      </c>
      <c r="C182" s="149" t="s">
        <v>540</v>
      </c>
      <c r="D182" s="121" t="str">
        <f t="shared" si="2"/>
        <v>Pompe à chaleur eau souterraine, indirecte, que chauffage</v>
      </c>
      <c r="E182" s="66" t="s">
        <v>121</v>
      </c>
      <c r="F182" s="125" t="s">
        <v>1175</v>
      </c>
      <c r="G182" s="67" t="s">
        <v>954</v>
      </c>
    </row>
    <row r="183" spans="1:7" ht="26.1" customHeight="1">
      <c r="A183" s="65">
        <v>180</v>
      </c>
      <c r="B183" s="149" t="s">
        <v>319</v>
      </c>
      <c r="C183" s="149" t="s">
        <v>541</v>
      </c>
      <c r="D183" s="121" t="str">
        <f t="shared" si="2"/>
        <v>Pompe à chaleur eau souterraine, indirecte, qu'eau chaude</v>
      </c>
      <c r="E183" s="66" t="s">
        <v>122</v>
      </c>
      <c r="F183" s="125" t="s">
        <v>1176</v>
      </c>
      <c r="G183" s="67" t="s">
        <v>955</v>
      </c>
    </row>
    <row r="184" spans="1:7" ht="26.1" customHeight="1">
      <c r="A184" s="65">
        <v>181</v>
      </c>
      <c r="B184" s="149" t="s">
        <v>319</v>
      </c>
      <c r="C184" s="149" t="s">
        <v>542</v>
      </c>
      <c r="D184" s="121" t="str">
        <f t="shared" si="2"/>
        <v>Pompe à chaleur registre terrestre, que chauffage</v>
      </c>
      <c r="E184" s="66" t="s">
        <v>123</v>
      </c>
      <c r="F184" s="125" t="s">
        <v>1177</v>
      </c>
      <c r="G184" s="67" t="s">
        <v>956</v>
      </c>
    </row>
    <row r="185" spans="1:7" ht="26.1" customHeight="1">
      <c r="A185" s="65">
        <v>182</v>
      </c>
      <c r="B185" s="149" t="s">
        <v>319</v>
      </c>
      <c r="C185" s="149" t="s">
        <v>543</v>
      </c>
      <c r="D185" s="121" t="str">
        <f t="shared" si="2"/>
        <v>Pompe à chaleur registre terrestre, qu'eau chaude</v>
      </c>
      <c r="E185" s="66" t="s">
        <v>124</v>
      </c>
      <c r="F185" s="125" t="s">
        <v>1178</v>
      </c>
      <c r="G185" s="67" t="s">
        <v>957</v>
      </c>
    </row>
    <row r="186" spans="1:7" ht="26.1" customHeight="1">
      <c r="A186" s="65">
        <v>183</v>
      </c>
      <c r="B186" s="149" t="s">
        <v>319</v>
      </c>
      <c r="C186" s="149" t="s">
        <v>544</v>
      </c>
      <c r="D186" s="121" t="str">
        <f t="shared" si="2"/>
        <v>Capteurs solaires thermiques, que chauffage</v>
      </c>
      <c r="E186" s="66" t="s">
        <v>125</v>
      </c>
      <c r="F186" s="125" t="s">
        <v>1179</v>
      </c>
      <c r="G186" s="67" t="s">
        <v>958</v>
      </c>
    </row>
    <row r="187" spans="1:7" ht="26.1" customHeight="1">
      <c r="A187" s="65">
        <v>184</v>
      </c>
      <c r="B187" s="149" t="s">
        <v>319</v>
      </c>
      <c r="C187" s="149" t="s">
        <v>545</v>
      </c>
      <c r="D187" s="121" t="str">
        <f t="shared" si="2"/>
        <v>Capteurs solaires thermiques, qu'eau chaude</v>
      </c>
      <c r="E187" s="66" t="s">
        <v>126</v>
      </c>
      <c r="F187" s="125" t="s">
        <v>1180</v>
      </c>
      <c r="G187" s="67" t="s">
        <v>959</v>
      </c>
    </row>
    <row r="188" spans="1:7" ht="26.1" customHeight="1">
      <c r="A188" s="65">
        <v>185</v>
      </c>
      <c r="B188" s="149" t="s">
        <v>319</v>
      </c>
      <c r="C188" s="149" t="s">
        <v>546</v>
      </c>
      <c r="D188" s="121" t="str">
        <f t="shared" si="2"/>
        <v>Capteurs solaires thermiques, chauffage et eau chaude</v>
      </c>
      <c r="E188" s="66" t="s">
        <v>88</v>
      </c>
      <c r="F188" s="125" t="s">
        <v>1181</v>
      </c>
      <c r="G188" s="67" t="s">
        <v>960</v>
      </c>
    </row>
    <row r="189" spans="1:7" ht="26.1" customHeight="1">
      <c r="A189" s="65">
        <v>186</v>
      </c>
      <c r="B189" s="149" t="s">
        <v>319</v>
      </c>
      <c r="C189" s="149" t="s">
        <v>547</v>
      </c>
      <c r="D189" s="121" t="str">
        <f t="shared" si="2"/>
        <v>Installation photovoltaïque</v>
      </c>
      <c r="E189" s="66" t="s">
        <v>161</v>
      </c>
      <c r="F189" s="125" t="s">
        <v>1182</v>
      </c>
      <c r="G189" s="67" t="s">
        <v>961</v>
      </c>
    </row>
    <row r="190" spans="1:7" ht="26.1" customHeight="1">
      <c r="A190" s="65">
        <v>187</v>
      </c>
      <c r="B190" s="149" t="s">
        <v>319</v>
      </c>
      <c r="C190" s="149" t="s">
        <v>548</v>
      </c>
      <c r="D190" s="121" t="str">
        <f t="shared" si="2"/>
        <v>Autre</v>
      </c>
      <c r="E190" s="66" t="s">
        <v>162</v>
      </c>
      <c r="F190" s="125" t="s">
        <v>1183</v>
      </c>
      <c r="G190" s="67" t="s">
        <v>962</v>
      </c>
    </row>
    <row r="191" spans="1:7" ht="26.1" customHeight="1">
      <c r="A191" s="65">
        <v>188</v>
      </c>
      <c r="B191" s="149" t="s">
        <v>319</v>
      </c>
      <c r="C191" s="149" t="s">
        <v>549</v>
      </c>
      <c r="D191" s="121" t="str">
        <f t="shared" si="2"/>
        <v>Report</v>
      </c>
      <c r="E191" s="66" t="s">
        <v>336</v>
      </c>
      <c r="F191" s="125" t="s">
        <v>1184</v>
      </c>
      <c r="G191" s="67" t="s">
        <v>963</v>
      </c>
    </row>
    <row r="192" spans="1:7" ht="26.1" customHeight="1">
      <c r="A192" s="65">
        <v>189</v>
      </c>
      <c r="B192" s="149" t="s">
        <v>319</v>
      </c>
      <c r="C192" s="149" t="s">
        <v>550</v>
      </c>
      <c r="D192" s="121" t="str">
        <f t="shared" si="2"/>
        <v>Aération avec PAC air repris/fourni et récup. de chaleur</v>
      </c>
      <c r="E192" s="66" t="s">
        <v>190</v>
      </c>
      <c r="F192" s="125" t="s">
        <v>300</v>
      </c>
      <c r="G192" s="67" t="s">
        <v>964</v>
      </c>
    </row>
    <row r="193" spans="1:7" ht="26.1" customHeight="1">
      <c r="A193" s="65">
        <v>190</v>
      </c>
      <c r="B193" s="149" t="s">
        <v>319</v>
      </c>
      <c r="C193" s="149" t="s">
        <v>551</v>
      </c>
      <c r="D193" s="136" t="str">
        <f t="shared" si="2"/>
        <v>Aération avec PAC air repris/fourni sans récup. de chaleur</v>
      </c>
      <c r="E193" s="66" t="s">
        <v>189</v>
      </c>
      <c r="F193" s="125" t="s">
        <v>301</v>
      </c>
      <c r="G193" s="67" t="s">
        <v>965</v>
      </c>
    </row>
    <row r="194" spans="1:7" ht="26.1" customHeight="1">
      <c r="A194" s="147">
        <v>191</v>
      </c>
      <c r="B194" s="149" t="s">
        <v>319</v>
      </c>
      <c r="C194" s="149" t="s">
        <v>552</v>
      </c>
      <c r="D194" s="121" t="str">
        <f t="shared" si="2"/>
        <v>Aération air repris avec PAC (sans air fourni)</v>
      </c>
      <c r="E194" s="66" t="s">
        <v>179</v>
      </c>
      <c r="F194" s="125" t="s">
        <v>302</v>
      </c>
      <c r="G194" s="67" t="s">
        <v>966</v>
      </c>
    </row>
    <row r="195" spans="1:7" ht="26.1" customHeight="1">
      <c r="A195" s="65">
        <v>192</v>
      </c>
      <c r="B195" s="149" t="s">
        <v>319</v>
      </c>
      <c r="C195" s="149" t="s">
        <v>553</v>
      </c>
      <c r="D195" s="122" t="str">
        <f t="shared" si="2"/>
        <v>PAC compacte avec air fourni/repris avec récup. de chaleur</v>
      </c>
      <c r="E195" s="66" t="s">
        <v>183</v>
      </c>
      <c r="F195" s="125" t="s">
        <v>1185</v>
      </c>
      <c r="G195" s="67" t="s">
        <v>967</v>
      </c>
    </row>
    <row r="196" spans="1:7" ht="26.1" customHeight="1">
      <c r="A196" s="65">
        <v>193</v>
      </c>
      <c r="B196" s="149" t="s">
        <v>319</v>
      </c>
      <c r="C196" s="149" t="s">
        <v>554</v>
      </c>
      <c r="D196" s="121" t="str">
        <f t="shared" si="2"/>
        <v>PAC compacte avec air fourni/repris sans récup. de chaleur (que chauffage)</v>
      </c>
      <c r="E196" s="66" t="s">
        <v>187</v>
      </c>
      <c r="F196" s="125" t="s">
        <v>1186</v>
      </c>
      <c r="G196" s="67" t="s">
        <v>968</v>
      </c>
    </row>
    <row r="197" spans="1:7" ht="26.1" customHeight="1">
      <c r="A197" s="65">
        <v>194</v>
      </c>
      <c r="B197" s="149" t="s">
        <v>319</v>
      </c>
      <c r="C197" s="149" t="s">
        <v>555</v>
      </c>
      <c r="D197" s="121" t="str">
        <f t="shared" ref="D197:D260" si="3">INDEX($E$4:$G$503,$A197,$A$1)</f>
        <v>PAC compacte avec air fourni/repris sans récup. de chaleur (qu'eau chaude)</v>
      </c>
      <c r="E197" s="66" t="s">
        <v>188</v>
      </c>
      <c r="F197" s="125" t="s">
        <v>1187</v>
      </c>
      <c r="G197" s="67" t="s">
        <v>969</v>
      </c>
    </row>
    <row r="198" spans="1:7" ht="26.1" customHeight="1">
      <c r="A198" s="65">
        <v>195</v>
      </c>
      <c r="B198" s="149" t="s">
        <v>319</v>
      </c>
      <c r="C198" s="149" t="s">
        <v>556</v>
      </c>
      <c r="D198" s="121" t="str">
        <f t="shared" si="3"/>
        <v>Biomasse, connectée au réseau hydraulique</v>
      </c>
      <c r="E198" s="66" t="s">
        <v>248</v>
      </c>
      <c r="F198" s="125" t="s">
        <v>97</v>
      </c>
      <c r="G198" s="67" t="s">
        <v>970</v>
      </c>
    </row>
    <row r="199" spans="1:7" ht="26.1" customHeight="1">
      <c r="A199" s="65">
        <v>196</v>
      </c>
      <c r="B199" s="149" t="s">
        <v>319</v>
      </c>
      <c r="C199" s="149" t="s">
        <v>557</v>
      </c>
      <c r="D199" s="121" t="str">
        <f t="shared" si="3"/>
        <v>Chaleur à distance (max. 25% énergies ren., rejets, CCF)</v>
      </c>
      <c r="E199" s="66" t="s">
        <v>798</v>
      </c>
      <c r="F199" s="125" t="s">
        <v>1188</v>
      </c>
      <c r="G199" s="67" t="s">
        <v>1060</v>
      </c>
    </row>
    <row r="200" spans="1:7" ht="26.1" customHeight="1">
      <c r="A200" s="65">
        <v>197</v>
      </c>
      <c r="B200" s="149" t="s">
        <v>319</v>
      </c>
      <c r="C200" s="149" t="s">
        <v>558</v>
      </c>
      <c r="D200" s="121" t="str">
        <f t="shared" si="3"/>
        <v>Chaleur à distance (min. 25% énergies ren., rejets, CCF)</v>
      </c>
      <c r="E200" s="66" t="s">
        <v>797</v>
      </c>
      <c r="F200" s="125" t="s">
        <v>1189</v>
      </c>
      <c r="G200" s="67" t="s">
        <v>1061</v>
      </c>
    </row>
    <row r="201" spans="1:7" ht="26.1" customHeight="1">
      <c r="A201" s="65">
        <v>198</v>
      </c>
      <c r="B201" s="149" t="s">
        <v>319</v>
      </c>
      <c r="C201" s="149" t="s">
        <v>559</v>
      </c>
      <c r="D201" s="121" t="str">
        <f t="shared" si="3"/>
        <v>Chaleur à distance (min. 75% énergies ren., rejets, CCF)</v>
      </c>
      <c r="E201" s="66" t="s">
        <v>796</v>
      </c>
      <c r="F201" s="125" t="s">
        <v>1190</v>
      </c>
      <c r="G201" s="67" t="s">
        <v>1062</v>
      </c>
    </row>
    <row r="202" spans="1:7" ht="26.1" customHeight="1">
      <c r="A202" s="65">
        <v>199</v>
      </c>
      <c r="B202" s="149" t="s">
        <v>319</v>
      </c>
      <c r="C202" s="149" t="s">
        <v>560</v>
      </c>
      <c r="D202" s="121" t="str">
        <f t="shared" si="3"/>
        <v>Chaudière à mazout</v>
      </c>
      <c r="E202" s="66" t="s">
        <v>112</v>
      </c>
      <c r="F202" s="125" t="s">
        <v>1152</v>
      </c>
      <c r="G202" s="67" t="s">
        <v>934</v>
      </c>
    </row>
    <row r="203" spans="1:7" ht="26.1" customHeight="1">
      <c r="A203" s="65">
        <v>200</v>
      </c>
      <c r="B203" s="149" t="s">
        <v>319</v>
      </c>
      <c r="C203" s="149" t="s">
        <v>561</v>
      </c>
      <c r="D203" s="121" t="str">
        <f t="shared" si="3"/>
        <v>Chaudière à mazout à condensation</v>
      </c>
      <c r="E203" s="66" t="s">
        <v>230</v>
      </c>
      <c r="F203" s="125" t="s">
        <v>1191</v>
      </c>
      <c r="G203" s="67" t="s">
        <v>971</v>
      </c>
    </row>
    <row r="204" spans="1:7" ht="26.1" customHeight="1">
      <c r="A204" s="65">
        <v>201</v>
      </c>
      <c r="B204" s="149" t="s">
        <v>319</v>
      </c>
      <c r="C204" s="149" t="s">
        <v>562</v>
      </c>
      <c r="D204" s="121" t="str">
        <f t="shared" si="3"/>
        <v xml:space="preserve">Chaudière à mazout à condensation. Eau chaude. </v>
      </c>
      <c r="E204" s="66" t="s">
        <v>231</v>
      </c>
      <c r="F204" s="125" t="s">
        <v>1192</v>
      </c>
      <c r="G204" s="67" t="s">
        <v>972</v>
      </c>
    </row>
    <row r="205" spans="1:7" ht="26.1" customHeight="1">
      <c r="A205" s="65">
        <v>202</v>
      </c>
      <c r="B205" s="149" t="s">
        <v>319</v>
      </c>
      <c r="C205" s="149" t="s">
        <v>563</v>
      </c>
      <c r="D205" s="121" t="str">
        <f t="shared" si="3"/>
        <v>Chaudière à gaz</v>
      </c>
      <c r="E205" s="66" t="s">
        <v>113</v>
      </c>
      <c r="F205" s="125" t="s">
        <v>1155</v>
      </c>
      <c r="G205" s="67" t="s">
        <v>937</v>
      </c>
    </row>
    <row r="206" spans="1:7" ht="26.1" customHeight="1">
      <c r="A206" s="65">
        <v>203</v>
      </c>
      <c r="B206" s="149" t="s">
        <v>319</v>
      </c>
      <c r="C206" s="149" t="s">
        <v>564</v>
      </c>
      <c r="D206" s="121" t="str">
        <f t="shared" si="3"/>
        <v>Chaudière à gaz à condensation</v>
      </c>
      <c r="E206" s="66" t="s">
        <v>232</v>
      </c>
      <c r="F206" s="125" t="s">
        <v>1193</v>
      </c>
      <c r="G206" s="67" t="s">
        <v>973</v>
      </c>
    </row>
    <row r="207" spans="1:7" ht="26.1" customHeight="1">
      <c r="A207" s="65">
        <v>204</v>
      </c>
      <c r="B207" s="149" t="s">
        <v>319</v>
      </c>
      <c r="C207" s="149" t="s">
        <v>565</v>
      </c>
      <c r="D207" s="121" t="str">
        <f t="shared" si="3"/>
        <v>Chaudière à gaz à condensation. Eau chaude</v>
      </c>
      <c r="E207" s="66" t="s">
        <v>233</v>
      </c>
      <c r="F207" s="125" t="s">
        <v>1194</v>
      </c>
      <c r="G207" s="67" t="s">
        <v>974</v>
      </c>
    </row>
    <row r="208" spans="1:7" ht="26.1" customHeight="1">
      <c r="A208" s="65">
        <v>205</v>
      </c>
      <c r="B208" s="149" t="s">
        <v>319</v>
      </c>
      <c r="C208" s="149" t="s">
        <v>566</v>
      </c>
      <c r="D208" s="121" t="str">
        <f t="shared" si="3"/>
        <v>Chauffe-eau à gaz</v>
      </c>
      <c r="E208" s="66" t="s">
        <v>114</v>
      </c>
      <c r="F208" s="125" t="s">
        <v>1158</v>
      </c>
      <c r="G208" s="67" t="s">
        <v>940</v>
      </c>
    </row>
    <row r="209" spans="1:7" ht="26.1" customHeight="1">
      <c r="A209" s="65">
        <v>206</v>
      </c>
      <c r="B209" s="149" t="s">
        <v>319</v>
      </c>
      <c r="C209" s="149" t="s">
        <v>567</v>
      </c>
      <c r="D209" s="121" t="str">
        <f t="shared" si="3"/>
        <v>Chauffage au bois</v>
      </c>
      <c r="E209" s="66" t="s">
        <v>160</v>
      </c>
      <c r="F209" s="125" t="s">
        <v>1159</v>
      </c>
      <c r="G209" s="67" t="s">
        <v>975</v>
      </c>
    </row>
    <row r="210" spans="1:7" ht="26.1" customHeight="1">
      <c r="A210" s="65">
        <v>207</v>
      </c>
      <c r="B210" s="149" t="s">
        <v>319</v>
      </c>
      <c r="C210" s="149" t="s">
        <v>568</v>
      </c>
      <c r="D210" s="121" t="str">
        <f t="shared" si="3"/>
        <v>Chauffage au pellets</v>
      </c>
      <c r="E210" s="66" t="s">
        <v>4</v>
      </c>
      <c r="F210" s="125" t="s">
        <v>1160</v>
      </c>
      <c r="G210" s="67" t="s">
        <v>976</v>
      </c>
    </row>
    <row r="211" spans="1:7" ht="26.1" customHeight="1">
      <c r="A211" s="65">
        <v>208</v>
      </c>
      <c r="B211" s="149" t="s">
        <v>319</v>
      </c>
      <c r="C211" s="149" t="s">
        <v>569</v>
      </c>
      <c r="D211" s="121" t="str">
        <f t="shared" si="3"/>
        <v>Chaleur à distance (min. 50% énergies ren.)</v>
      </c>
      <c r="E211" s="66" t="s">
        <v>799</v>
      </c>
      <c r="F211" s="125" t="s">
        <v>1195</v>
      </c>
      <c r="G211" s="67" t="s">
        <v>1063</v>
      </c>
    </row>
    <row r="212" spans="1:7" ht="26.1" customHeight="1">
      <c r="A212" s="65">
        <v>209</v>
      </c>
      <c r="B212" s="149" t="s">
        <v>319</v>
      </c>
      <c r="C212" s="149" t="s">
        <v>570</v>
      </c>
      <c r="D212" s="121" t="str">
        <f t="shared" si="3"/>
        <v>Chauffage central électrique</v>
      </c>
      <c r="E212" s="66" t="s">
        <v>106</v>
      </c>
      <c r="F212" s="125" t="s">
        <v>1162</v>
      </c>
      <c r="G212" s="67" t="s">
        <v>943</v>
      </c>
    </row>
    <row r="213" spans="1:7" ht="26.1" customHeight="1">
      <c r="A213" s="65">
        <v>210</v>
      </c>
      <c r="B213" s="149" t="s">
        <v>319</v>
      </c>
      <c r="C213" s="149" t="s">
        <v>571</v>
      </c>
      <c r="D213" s="121" t="str">
        <f t="shared" si="3"/>
        <v>Chauffage électrique direct</v>
      </c>
      <c r="E213" s="66" t="s">
        <v>20</v>
      </c>
      <c r="F213" s="125" t="s">
        <v>1163</v>
      </c>
      <c r="G213" s="67" t="s">
        <v>944</v>
      </c>
    </row>
    <row r="214" spans="1:7" ht="26.1" customHeight="1">
      <c r="A214" s="65">
        <v>211</v>
      </c>
      <c r="B214" s="149" t="s">
        <v>319</v>
      </c>
      <c r="C214" s="149" t="s">
        <v>572</v>
      </c>
      <c r="D214" s="121" t="str">
        <f t="shared" si="3"/>
        <v>Chauffe-eau électrique</v>
      </c>
      <c r="E214" s="66" t="s">
        <v>86</v>
      </c>
      <c r="F214" s="125" t="s">
        <v>1164</v>
      </c>
      <c r="G214" s="67" t="s">
        <v>945</v>
      </c>
    </row>
    <row r="215" spans="1:7" ht="26.1" customHeight="1">
      <c r="A215" s="65">
        <v>212</v>
      </c>
      <c r="B215" s="149" t="s">
        <v>319</v>
      </c>
      <c r="C215" s="149" t="s">
        <v>573</v>
      </c>
      <c r="D215" s="121" t="str">
        <f t="shared" si="3"/>
        <v>CCF (fossile) - part thermique et électrique</v>
      </c>
      <c r="E215" s="66" t="s">
        <v>196</v>
      </c>
      <c r="F215" s="125" t="s">
        <v>1165</v>
      </c>
      <c r="G215" s="67" t="s">
        <v>977</v>
      </c>
    </row>
    <row r="216" spans="1:7" ht="26.1" customHeight="1">
      <c r="A216" s="65">
        <v>213</v>
      </c>
      <c r="B216" s="149" t="s">
        <v>319</v>
      </c>
      <c r="C216" s="149" t="s">
        <v>574</v>
      </c>
      <c r="D216" s="121" t="str">
        <f t="shared" si="3"/>
        <v>CCF (bois) - part thermique et électrique</v>
      </c>
      <c r="E216" s="66" t="s">
        <v>226</v>
      </c>
      <c r="F216" s="125" t="s">
        <v>1166</v>
      </c>
      <c r="G216" s="67" t="s">
        <v>978</v>
      </c>
    </row>
    <row r="217" spans="1:7" ht="26.1" customHeight="1">
      <c r="A217" s="65">
        <v>214</v>
      </c>
      <c r="B217" s="149" t="s">
        <v>319</v>
      </c>
      <c r="C217" s="149" t="s">
        <v>575</v>
      </c>
      <c r="D217" s="121" t="str">
        <f t="shared" si="3"/>
        <v>Pompe à chaleur air-air, chauffage</v>
      </c>
      <c r="E217" s="66" t="s">
        <v>234</v>
      </c>
      <c r="F217" s="125" t="s">
        <v>1196</v>
      </c>
      <c r="G217" s="67" t="s">
        <v>979</v>
      </c>
    </row>
    <row r="218" spans="1:7" ht="26.1" customHeight="1">
      <c r="A218" s="65">
        <v>215</v>
      </c>
      <c r="B218" s="149" t="s">
        <v>319</v>
      </c>
      <c r="C218" s="149" t="s">
        <v>576</v>
      </c>
      <c r="D218" s="121" t="str">
        <f t="shared" si="3"/>
        <v>Pompe à chaleur air-air, eau chaude</v>
      </c>
      <c r="E218" s="66" t="s">
        <v>235</v>
      </c>
      <c r="F218" s="125" t="s">
        <v>1197</v>
      </c>
      <c r="G218" s="67" t="s">
        <v>980</v>
      </c>
    </row>
    <row r="219" spans="1:7" ht="26.1" customHeight="1">
      <c r="A219" s="65">
        <v>216</v>
      </c>
      <c r="B219" s="149" t="s">
        <v>319</v>
      </c>
      <c r="C219" s="149" t="s">
        <v>577</v>
      </c>
      <c r="D219" s="121" t="str">
        <f t="shared" si="3"/>
        <v>Pompe à chaleur géothermique, chauffage</v>
      </c>
      <c r="E219" s="66" t="s">
        <v>89</v>
      </c>
      <c r="F219" s="125" t="s">
        <v>1198</v>
      </c>
      <c r="G219" s="67" t="s">
        <v>981</v>
      </c>
    </row>
    <row r="220" spans="1:7" ht="26.1" customHeight="1">
      <c r="A220" s="65">
        <v>217</v>
      </c>
      <c r="B220" s="149" t="s">
        <v>319</v>
      </c>
      <c r="C220" s="149" t="s">
        <v>578</v>
      </c>
      <c r="D220" s="121" t="str">
        <f t="shared" si="3"/>
        <v>Pompe à chaleur géothermique, eau chaude</v>
      </c>
      <c r="E220" s="66" t="s">
        <v>90</v>
      </c>
      <c r="F220" s="125" t="s">
        <v>1199</v>
      </c>
      <c r="G220" s="67" t="s">
        <v>982</v>
      </c>
    </row>
    <row r="221" spans="1:7" ht="26.1" customHeight="1">
      <c r="A221" s="65">
        <v>218</v>
      </c>
      <c r="B221" s="149" t="s">
        <v>319</v>
      </c>
      <c r="C221" s="149" t="s">
        <v>579</v>
      </c>
      <c r="D221" s="121" t="str">
        <f t="shared" si="3"/>
        <v>Pompe à chaleur eau usée (directe), chauffage</v>
      </c>
      <c r="E221" s="66" t="s">
        <v>91</v>
      </c>
      <c r="F221" s="125" t="s">
        <v>1200</v>
      </c>
      <c r="G221" s="67" t="s">
        <v>983</v>
      </c>
    </row>
    <row r="222" spans="1:7" ht="26.1" customHeight="1">
      <c r="A222" s="65">
        <v>219</v>
      </c>
      <c r="B222" s="149" t="s">
        <v>319</v>
      </c>
      <c r="C222" s="149" t="s">
        <v>580</v>
      </c>
      <c r="D222" s="121" t="str">
        <f t="shared" si="3"/>
        <v>Pompe à chaleur eau usée directe, eau chaude</v>
      </c>
      <c r="E222" s="66" t="s">
        <v>92</v>
      </c>
      <c r="F222" s="125" t="s">
        <v>1201</v>
      </c>
      <c r="G222" s="67" t="s">
        <v>984</v>
      </c>
    </row>
    <row r="223" spans="1:7" ht="26.1" customHeight="1">
      <c r="A223" s="65">
        <v>220</v>
      </c>
      <c r="B223" s="149" t="s">
        <v>319</v>
      </c>
      <c r="C223" s="149" t="s">
        <v>581</v>
      </c>
      <c r="D223" s="121" t="str">
        <f t="shared" si="3"/>
        <v>Pompe à chaleur eau-eau, chauffage</v>
      </c>
      <c r="E223" s="66" t="s">
        <v>87</v>
      </c>
      <c r="F223" s="125" t="s">
        <v>1202</v>
      </c>
      <c r="G223" s="67" t="s">
        <v>985</v>
      </c>
    </row>
    <row r="224" spans="1:7" ht="26.1" customHeight="1">
      <c r="A224" s="65">
        <v>221</v>
      </c>
      <c r="B224" s="149" t="s">
        <v>319</v>
      </c>
      <c r="C224" s="149" t="s">
        <v>582</v>
      </c>
      <c r="D224" s="121" t="str">
        <f t="shared" si="3"/>
        <v>Pompe à chaleur eau-eau, eau chaude</v>
      </c>
      <c r="E224" s="66" t="s">
        <v>93</v>
      </c>
      <c r="F224" s="125" t="s">
        <v>1203</v>
      </c>
      <c r="G224" s="67" t="s">
        <v>986</v>
      </c>
    </row>
    <row r="225" spans="1:7" ht="26.1" customHeight="1">
      <c r="A225" s="65">
        <v>222</v>
      </c>
      <c r="B225" s="149" t="s">
        <v>319</v>
      </c>
      <c r="C225" s="149" t="s">
        <v>583</v>
      </c>
      <c r="D225" s="121" t="str">
        <f t="shared" si="3"/>
        <v>Pompe à chaleur eau souterraine, directe, chauffage</v>
      </c>
      <c r="E225" s="66" t="s">
        <v>252</v>
      </c>
      <c r="F225" s="125" t="s">
        <v>1204</v>
      </c>
      <c r="G225" s="67" t="s">
        <v>987</v>
      </c>
    </row>
    <row r="226" spans="1:7" ht="26.1" customHeight="1">
      <c r="A226" s="65">
        <v>223</v>
      </c>
      <c r="B226" s="149" t="s">
        <v>319</v>
      </c>
      <c r="C226" s="149" t="s">
        <v>584</v>
      </c>
      <c r="D226" s="121" t="str">
        <f t="shared" si="3"/>
        <v>Pompe à chaleur eau souterraine, directe, eau chaude</v>
      </c>
      <c r="E226" s="66" t="s">
        <v>253</v>
      </c>
      <c r="F226" s="125" t="s">
        <v>1205</v>
      </c>
      <c r="G226" s="67" t="s">
        <v>988</v>
      </c>
    </row>
    <row r="227" spans="1:7" ht="26.1" customHeight="1">
      <c r="A227" s="65">
        <v>224</v>
      </c>
      <c r="B227" s="149" t="s">
        <v>319</v>
      </c>
      <c r="C227" s="149" t="s">
        <v>585</v>
      </c>
      <c r="D227" s="121" t="str">
        <f t="shared" si="3"/>
        <v>Pompe à chaleur eau souterraine, indirecte, chauffage</v>
      </c>
      <c r="E227" s="66" t="s">
        <v>143</v>
      </c>
      <c r="F227" s="125" t="s">
        <v>1206</v>
      </c>
      <c r="G227" s="67" t="s">
        <v>989</v>
      </c>
    </row>
    <row r="228" spans="1:7" ht="26.1" customHeight="1">
      <c r="A228" s="65">
        <v>225</v>
      </c>
      <c r="B228" s="149" t="s">
        <v>319</v>
      </c>
      <c r="C228" s="149" t="s">
        <v>586</v>
      </c>
      <c r="D228" s="121" t="str">
        <f t="shared" si="3"/>
        <v>Pompe à chaleur eau souterraine, indirecte, eau chaude</v>
      </c>
      <c r="E228" s="66" t="s">
        <v>213</v>
      </c>
      <c r="F228" s="125" t="s">
        <v>1207</v>
      </c>
      <c r="G228" s="67" t="s">
        <v>990</v>
      </c>
    </row>
    <row r="229" spans="1:7" ht="26.1" customHeight="1">
      <c r="A229" s="65">
        <v>226</v>
      </c>
      <c r="B229" s="149" t="s">
        <v>319</v>
      </c>
      <c r="C229" s="149" t="s">
        <v>587</v>
      </c>
      <c r="D229" s="121" t="str">
        <f t="shared" si="3"/>
        <v>Pompe à chaleur registre terrestre, chauffage</v>
      </c>
      <c r="E229" s="66" t="s">
        <v>141</v>
      </c>
      <c r="F229" s="125" t="s">
        <v>1208</v>
      </c>
      <c r="G229" s="67" t="s">
        <v>991</v>
      </c>
    </row>
    <row r="230" spans="1:7" ht="25.9" customHeight="1">
      <c r="A230" s="65">
        <v>227</v>
      </c>
      <c r="B230" s="149" t="s">
        <v>319</v>
      </c>
      <c r="C230" s="149" t="s">
        <v>588</v>
      </c>
      <c r="D230" s="121" t="str">
        <f t="shared" si="3"/>
        <v>Pompe à chaleur registre terrestre, eau chaude</v>
      </c>
      <c r="E230" s="66" t="s">
        <v>142</v>
      </c>
      <c r="F230" s="125" t="s">
        <v>1209</v>
      </c>
      <c r="G230" s="67" t="s">
        <v>992</v>
      </c>
    </row>
    <row r="231" spans="1:7" ht="25.9" customHeight="1">
      <c r="A231" s="65">
        <v>228</v>
      </c>
      <c r="B231" s="149" t="s">
        <v>319</v>
      </c>
      <c r="C231" s="149" t="s">
        <v>589</v>
      </c>
      <c r="D231" s="121" t="str">
        <f t="shared" si="3"/>
        <v>Capteurs solaires thermiques, chauffage</v>
      </c>
      <c r="E231" s="66" t="s">
        <v>164</v>
      </c>
      <c r="F231" s="125" t="s">
        <v>1210</v>
      </c>
      <c r="G231" s="67" t="s">
        <v>993</v>
      </c>
    </row>
    <row r="232" spans="1:7" ht="25.9" customHeight="1">
      <c r="A232" s="65">
        <v>229</v>
      </c>
      <c r="B232" s="149" t="s">
        <v>319</v>
      </c>
      <c r="C232" s="149" t="s">
        <v>590</v>
      </c>
      <c r="D232" s="121" t="str">
        <f t="shared" si="3"/>
        <v>Capteurs solaires thermiques, eau chaude</v>
      </c>
      <c r="E232" s="66" t="s">
        <v>254</v>
      </c>
      <c r="F232" s="125" t="s">
        <v>1211</v>
      </c>
      <c r="G232" s="67" t="s">
        <v>994</v>
      </c>
    </row>
    <row r="233" spans="1:7" ht="25.9" customHeight="1">
      <c r="A233" s="65">
        <v>230</v>
      </c>
      <c r="B233" s="149" t="s">
        <v>319</v>
      </c>
      <c r="C233" s="149" t="s">
        <v>591</v>
      </c>
      <c r="D233" s="121" t="str">
        <f t="shared" si="3"/>
        <v>Capteurs solaires thermiques, chauffage et eau chaude</v>
      </c>
      <c r="E233" s="66" t="s">
        <v>255</v>
      </c>
      <c r="F233" s="125" t="s">
        <v>1181</v>
      </c>
      <c r="G233" s="67" t="s">
        <v>995</v>
      </c>
    </row>
    <row r="234" spans="1:7" ht="25.9" customHeight="1">
      <c r="A234" s="65">
        <v>231</v>
      </c>
      <c r="B234" s="149" t="s">
        <v>319</v>
      </c>
      <c r="C234" s="149" t="s">
        <v>592</v>
      </c>
      <c r="D234" s="121" t="str">
        <f t="shared" si="3"/>
        <v>Installation photovoltaïque</v>
      </c>
      <c r="E234" s="66" t="s">
        <v>161</v>
      </c>
      <c r="F234" s="125" t="s">
        <v>1182</v>
      </c>
      <c r="G234" s="67" t="s">
        <v>961</v>
      </c>
    </row>
    <row r="235" spans="1:7" ht="25.9" customHeight="1">
      <c r="A235" s="65">
        <v>232</v>
      </c>
      <c r="B235" s="149" t="s">
        <v>319</v>
      </c>
      <c r="C235" s="149" t="s">
        <v>593</v>
      </c>
      <c r="D235" s="121" t="str">
        <f t="shared" si="3"/>
        <v>Autre</v>
      </c>
      <c r="E235" s="66" t="s">
        <v>162</v>
      </c>
      <c r="F235" s="125" t="s">
        <v>1183</v>
      </c>
      <c r="G235" s="67" t="s">
        <v>962</v>
      </c>
    </row>
    <row r="236" spans="1:7" ht="25.9" customHeight="1">
      <c r="A236" s="65">
        <v>233</v>
      </c>
      <c r="B236" s="149" t="s">
        <v>319</v>
      </c>
      <c r="C236" s="149" t="s">
        <v>594</v>
      </c>
      <c r="D236" s="121" t="str">
        <f t="shared" si="3"/>
        <v>Report</v>
      </c>
      <c r="E236" s="66" t="s">
        <v>336</v>
      </c>
      <c r="F236" s="125" t="s">
        <v>1184</v>
      </c>
      <c r="G236" s="67" t="s">
        <v>963</v>
      </c>
    </row>
    <row r="237" spans="1:7" ht="25.9" customHeight="1">
      <c r="A237" s="65">
        <v>234</v>
      </c>
      <c r="B237" s="149" t="s">
        <v>319</v>
      </c>
      <c r="C237" s="149" t="s">
        <v>595</v>
      </c>
      <c r="D237" s="121" t="str">
        <f t="shared" si="3"/>
        <v>PAC air fourni/repris avec récup. de chaleur</v>
      </c>
      <c r="E237" s="66" t="s">
        <v>191</v>
      </c>
      <c r="F237" s="125" t="s">
        <v>303</v>
      </c>
      <c r="G237" s="67" t="s">
        <v>964</v>
      </c>
    </row>
    <row r="238" spans="1:7" ht="25.9" customHeight="1">
      <c r="A238" s="65">
        <v>235</v>
      </c>
      <c r="B238" s="149" t="s">
        <v>319</v>
      </c>
      <c r="C238" s="149" t="s">
        <v>596</v>
      </c>
      <c r="D238" s="121" t="str">
        <f t="shared" si="3"/>
        <v>PAC air fourni/repris sans récup. de chaleur</v>
      </c>
      <c r="E238" s="66" t="s">
        <v>192</v>
      </c>
      <c r="F238" s="125" t="s">
        <v>304</v>
      </c>
      <c r="G238" s="67" t="s">
        <v>965</v>
      </c>
    </row>
    <row r="239" spans="1:7" ht="25.9" customHeight="1">
      <c r="A239" s="65">
        <v>236</v>
      </c>
      <c r="B239" s="149" t="s">
        <v>319</v>
      </c>
      <c r="C239" s="149" t="s">
        <v>597</v>
      </c>
      <c r="D239" s="121" t="str">
        <f t="shared" si="3"/>
        <v>PAC air repris sans air fourni</v>
      </c>
      <c r="E239" s="66" t="s">
        <v>16</v>
      </c>
      <c r="F239" s="125" t="s">
        <v>305</v>
      </c>
      <c r="G239" s="67" t="s">
        <v>996</v>
      </c>
    </row>
    <row r="240" spans="1:7" ht="25.9" customHeight="1">
      <c r="A240" s="65">
        <v>237</v>
      </c>
      <c r="B240" s="149" t="s">
        <v>319</v>
      </c>
      <c r="C240" s="149" t="s">
        <v>598</v>
      </c>
      <c r="D240" s="121" t="str">
        <f t="shared" si="3"/>
        <v>PAC compacte avec récup. de chaleur</v>
      </c>
      <c r="E240" s="66" t="s">
        <v>193</v>
      </c>
      <c r="F240" s="125" t="s">
        <v>306</v>
      </c>
      <c r="G240" s="67" t="s">
        <v>997</v>
      </c>
    </row>
    <row r="241" spans="1:7" ht="25.9" customHeight="1">
      <c r="A241" s="65">
        <v>238</v>
      </c>
      <c r="B241" s="149" t="s">
        <v>319</v>
      </c>
      <c r="C241" s="149" t="s">
        <v>599</v>
      </c>
      <c r="D241" s="121" t="str">
        <f t="shared" si="3"/>
        <v>PAC compacte sans récup. de chaleur, chauffage</v>
      </c>
      <c r="E241" s="66" t="s">
        <v>194</v>
      </c>
      <c r="F241" s="125" t="s">
        <v>307</v>
      </c>
      <c r="G241" s="67" t="s">
        <v>998</v>
      </c>
    </row>
    <row r="242" spans="1:7" ht="25.9" customHeight="1">
      <c r="A242" s="65">
        <v>239</v>
      </c>
      <c r="B242" s="149" t="s">
        <v>319</v>
      </c>
      <c r="C242" s="149" t="s">
        <v>600</v>
      </c>
      <c r="D242" s="121" t="str">
        <f t="shared" si="3"/>
        <v>PAC compacte sans récup. de chaleur, eau chaude</v>
      </c>
      <c r="E242" s="66" t="s">
        <v>182</v>
      </c>
      <c r="F242" s="125" t="s">
        <v>1212</v>
      </c>
      <c r="G242" s="67" t="s">
        <v>999</v>
      </c>
    </row>
    <row r="243" spans="1:7" ht="26.1" customHeight="1">
      <c r="A243" s="65">
        <v>240</v>
      </c>
      <c r="B243" s="149" t="s">
        <v>319</v>
      </c>
      <c r="C243" s="149" t="s">
        <v>601</v>
      </c>
      <c r="D243" s="121" t="str">
        <f t="shared" si="3"/>
        <v>Biomasse, connectée</v>
      </c>
      <c r="E243" s="66" t="s">
        <v>247</v>
      </c>
      <c r="F243" s="125" t="s">
        <v>96</v>
      </c>
      <c r="G243" s="67" t="s">
        <v>1000</v>
      </c>
    </row>
    <row r="244" spans="1:7" ht="25.9" customHeight="1">
      <c r="A244" s="65">
        <v>241</v>
      </c>
      <c r="B244" s="149" t="s">
        <v>319</v>
      </c>
      <c r="C244" s="149" t="s">
        <v>602</v>
      </c>
      <c r="D244" s="121" t="str">
        <f t="shared" si="3"/>
        <v>Chaleur à distance (&lt;=25% renouvelable)</v>
      </c>
      <c r="E244" s="66" t="s">
        <v>793</v>
      </c>
      <c r="F244" s="125" t="s">
        <v>1213</v>
      </c>
      <c r="G244" s="67" t="s">
        <v>1064</v>
      </c>
    </row>
    <row r="245" spans="1:7" ht="25.9" customHeight="1">
      <c r="A245" s="65">
        <v>242</v>
      </c>
      <c r="B245" s="149" t="s">
        <v>319</v>
      </c>
      <c r="C245" s="149" t="s">
        <v>603</v>
      </c>
      <c r="D245" s="121" t="str">
        <f t="shared" si="3"/>
        <v>Chaleur à distance (&gt;25% renouvelable)</v>
      </c>
      <c r="E245" s="66" t="s">
        <v>795</v>
      </c>
      <c r="F245" s="125" t="s">
        <v>1214</v>
      </c>
      <c r="G245" s="67" t="s">
        <v>1065</v>
      </c>
    </row>
    <row r="246" spans="1:7" ht="25.9" customHeight="1">
      <c r="A246" s="65">
        <v>243</v>
      </c>
      <c r="B246" s="149" t="s">
        <v>319</v>
      </c>
      <c r="C246" s="149" t="s">
        <v>604</v>
      </c>
      <c r="D246" s="121" t="str">
        <f t="shared" si="3"/>
        <v>Chaleur à distance (&gt;75% renouvelable)</v>
      </c>
      <c r="E246" s="66" t="s">
        <v>794</v>
      </c>
      <c r="F246" s="125" t="s">
        <v>1215</v>
      </c>
      <c r="G246" s="67" t="s">
        <v>1066</v>
      </c>
    </row>
    <row r="247" spans="1:7" ht="25.9" customHeight="1">
      <c r="A247" s="65">
        <v>244</v>
      </c>
      <c r="B247" s="149" t="s">
        <v>319</v>
      </c>
      <c r="C247" s="149" t="s">
        <v>803</v>
      </c>
      <c r="D247" s="121" t="str">
        <f t="shared" si="3"/>
        <v>L'électricité pour les PAC doit être pondérée double</v>
      </c>
      <c r="E247" s="66" t="s">
        <v>804</v>
      </c>
      <c r="F247" s="125" t="s">
        <v>1268</v>
      </c>
      <c r="G247" s="67" t="s">
        <v>1067</v>
      </c>
    </row>
    <row r="248" spans="1:7" ht="25.9" customHeight="1">
      <c r="A248" s="65">
        <v>245</v>
      </c>
      <c r="D248" s="121">
        <f t="shared" si="3"/>
        <v>0</v>
      </c>
    </row>
    <row r="249" spans="1:7" ht="25.9" customHeight="1">
      <c r="A249" s="65">
        <v>246</v>
      </c>
      <c r="B249" s="149" t="s">
        <v>319</v>
      </c>
      <c r="C249" s="149" t="s">
        <v>606</v>
      </c>
      <c r="D249" s="121" t="str">
        <f t="shared" si="3"/>
        <v>Rendement électrique (joindre calcul)</v>
      </c>
      <c r="E249" s="66" t="s">
        <v>355</v>
      </c>
      <c r="F249" s="125" t="s">
        <v>1216</v>
      </c>
      <c r="G249" s="67" t="s">
        <v>1001</v>
      </c>
    </row>
    <row r="250" spans="1:7" ht="25.9" customHeight="1">
      <c r="A250" s="65">
        <v>247</v>
      </c>
      <c r="B250" s="149" t="s">
        <v>319</v>
      </c>
      <c r="C250" s="149" t="s">
        <v>607</v>
      </c>
      <c r="D250" s="121" t="str">
        <f t="shared" si="3"/>
        <v>Surface d'absorbeur [m2]</v>
      </c>
      <c r="E250" s="66" t="s">
        <v>356</v>
      </c>
      <c r="F250" s="125" t="s">
        <v>1217</v>
      </c>
      <c r="G250" s="67" t="s">
        <v>1002</v>
      </c>
    </row>
    <row r="251" spans="1:7" ht="25.9" customHeight="1">
      <c r="A251" s="65">
        <v>248</v>
      </c>
      <c r="B251" s="149" t="s">
        <v>319</v>
      </c>
      <c r="C251" s="149" t="s">
        <v>608</v>
      </c>
      <c r="D251" s="121" t="str">
        <f t="shared" si="3"/>
        <v>Puissance nominale [kWp]</v>
      </c>
      <c r="E251" s="66" t="s">
        <v>358</v>
      </c>
      <c r="F251" s="125" t="s">
        <v>1218</v>
      </c>
      <c r="G251" s="67" t="s">
        <v>1003</v>
      </c>
    </row>
    <row r="252" spans="1:7" ht="25.9" customHeight="1">
      <c r="A252" s="65">
        <v>249</v>
      </c>
      <c r="B252" s="149" t="s">
        <v>319</v>
      </c>
      <c r="C252" s="149" t="s">
        <v>609</v>
      </c>
      <c r="D252" s="121" t="str">
        <f t="shared" si="3"/>
        <v>Apport net par m2 d'absorbeur [kWh/m2]</v>
      </c>
      <c r="E252" s="66" t="s">
        <v>357</v>
      </c>
      <c r="F252" s="125" t="s">
        <v>1219</v>
      </c>
      <c r="G252" s="67" t="s">
        <v>1004</v>
      </c>
    </row>
    <row r="253" spans="1:7" ht="25.9" customHeight="1">
      <c r="A253" s="65">
        <v>250</v>
      </c>
      <c r="B253" s="149" t="s">
        <v>319</v>
      </c>
      <c r="C253" s="149" t="s">
        <v>610</v>
      </c>
      <c r="D253" s="121" t="str">
        <f t="shared" si="3"/>
        <v>Apport net annuel [kWh/kWp] (joindre clacul)</v>
      </c>
      <c r="E253" s="66" t="s">
        <v>725</v>
      </c>
      <c r="F253" s="125" t="s">
        <v>1220</v>
      </c>
      <c r="G253" s="67" t="s">
        <v>1005</v>
      </c>
    </row>
    <row r="254" spans="1:7" ht="25.9" customHeight="1">
      <c r="A254" s="65">
        <v>251</v>
      </c>
      <c r="B254" s="149" t="s">
        <v>319</v>
      </c>
      <c r="C254" s="149" t="s">
        <v>498</v>
      </c>
      <c r="D254" s="121" t="str">
        <f t="shared" si="3"/>
        <v>Moteur AC</v>
      </c>
      <c r="E254" s="66" t="s">
        <v>326</v>
      </c>
      <c r="F254" s="125" t="s">
        <v>1139</v>
      </c>
      <c r="G254" s="67" t="s">
        <v>887</v>
      </c>
    </row>
    <row r="255" spans="1:7" ht="25.9" customHeight="1">
      <c r="A255" s="65">
        <v>252</v>
      </c>
      <c r="B255" s="149" t="s">
        <v>319</v>
      </c>
      <c r="C255" s="149" t="s">
        <v>499</v>
      </c>
      <c r="D255" s="121" t="str">
        <f t="shared" si="3"/>
        <v>Moteur DC/EC</v>
      </c>
      <c r="E255" s="66" t="s">
        <v>327</v>
      </c>
      <c r="F255" s="125" t="s">
        <v>1140</v>
      </c>
      <c r="G255" s="67" t="s">
        <v>888</v>
      </c>
    </row>
    <row r="256" spans="1:7" ht="25.9" customHeight="1">
      <c r="A256" s="65">
        <v>253</v>
      </c>
      <c r="B256" s="149" t="s">
        <v>345</v>
      </c>
      <c r="C256" s="149" t="s">
        <v>605</v>
      </c>
      <c r="D256" s="121" t="str">
        <f t="shared" si="3"/>
        <v>Production de chaleur:</v>
      </c>
      <c r="E256" s="66" t="s">
        <v>98</v>
      </c>
      <c r="F256" s="125" t="s">
        <v>1221</v>
      </c>
      <c r="G256" s="67" t="s">
        <v>1006</v>
      </c>
    </row>
    <row r="257" spans="1:7" ht="25.9" customHeight="1">
      <c r="A257" s="65">
        <v>254</v>
      </c>
      <c r="B257" s="149" t="s">
        <v>345</v>
      </c>
      <c r="C257" s="149" t="s">
        <v>611</v>
      </c>
      <c r="D257" s="121" t="str">
        <f t="shared" si="3"/>
        <v>Rendement / COPa</v>
      </c>
      <c r="E257" s="66" t="s">
        <v>375</v>
      </c>
      <c r="F257" s="125" t="s">
        <v>1222</v>
      </c>
      <c r="G257" s="688" t="s">
        <v>2762</v>
      </c>
    </row>
    <row r="258" spans="1:7" ht="25.9" customHeight="1">
      <c r="A258" s="65">
        <v>255</v>
      </c>
      <c r="B258" s="149" t="s">
        <v>345</v>
      </c>
      <c r="C258" s="149" t="s">
        <v>612</v>
      </c>
      <c r="D258" s="121" t="str">
        <f t="shared" si="3"/>
        <v>Taux de couverture [%]</v>
      </c>
      <c r="E258" s="66" t="s">
        <v>158</v>
      </c>
      <c r="F258" s="125" t="s">
        <v>1223</v>
      </c>
      <c r="G258" s="67" t="s">
        <v>1007</v>
      </c>
    </row>
    <row r="259" spans="1:7" ht="25.9" customHeight="1">
      <c r="A259" s="65">
        <v>256</v>
      </c>
      <c r="B259" s="149" t="s">
        <v>345</v>
      </c>
      <c r="C259" s="149" t="s">
        <v>411</v>
      </c>
      <c r="D259" s="121" t="str">
        <f t="shared" si="3"/>
        <v>Production de chaleur A</v>
      </c>
      <c r="E259" s="66" t="s">
        <v>165</v>
      </c>
      <c r="F259" s="125" t="s">
        <v>1224</v>
      </c>
      <c r="G259" s="67" t="s">
        <v>1008</v>
      </c>
    </row>
    <row r="260" spans="1:7" ht="25.9" customHeight="1">
      <c r="A260" s="65">
        <v>257</v>
      </c>
      <c r="B260" s="149" t="s">
        <v>345</v>
      </c>
      <c r="C260" s="149" t="s">
        <v>614</v>
      </c>
      <c r="D260" s="121" t="str">
        <f t="shared" si="3"/>
        <v>Production de chaleur B</v>
      </c>
      <c r="E260" s="66" t="s">
        <v>168</v>
      </c>
      <c r="F260" s="125" t="s">
        <v>1225</v>
      </c>
      <c r="G260" s="67" t="s">
        <v>1009</v>
      </c>
    </row>
    <row r="261" spans="1:7" ht="25.9" customHeight="1">
      <c r="A261" s="65">
        <v>258</v>
      </c>
      <c r="B261" s="149" t="s">
        <v>345</v>
      </c>
      <c r="C261" s="149" t="s">
        <v>418</v>
      </c>
      <c r="D261" s="121" t="str">
        <f t="shared" ref="D261:D324" si="4">INDEX($E$4:$G$503,$A261,$A$1)</f>
        <v>Production de chaleur C</v>
      </c>
      <c r="E261" s="66" t="s">
        <v>167</v>
      </c>
      <c r="F261" s="125" t="s">
        <v>1226</v>
      </c>
      <c r="G261" s="67" t="s">
        <v>1010</v>
      </c>
    </row>
    <row r="262" spans="1:7" ht="25.9" customHeight="1">
      <c r="A262" s="65">
        <v>259</v>
      </c>
      <c r="B262" s="149" t="s">
        <v>345</v>
      </c>
      <c r="C262" s="149" t="s">
        <v>238</v>
      </c>
      <c r="D262" s="121" t="str">
        <f t="shared" si="4"/>
        <v>Production de chaleur D</v>
      </c>
      <c r="E262" s="66" t="s">
        <v>166</v>
      </c>
      <c r="F262" s="125" t="s">
        <v>1227</v>
      </c>
      <c r="G262" s="67" t="s">
        <v>1011</v>
      </c>
    </row>
    <row r="263" spans="1:7" ht="25.9" customHeight="1">
      <c r="A263" s="65">
        <v>260</v>
      </c>
      <c r="B263" s="149" t="s">
        <v>345</v>
      </c>
      <c r="C263" s="149" t="s">
        <v>412</v>
      </c>
      <c r="D263" s="121" t="str">
        <f t="shared" si="4"/>
        <v>Entrée</v>
      </c>
      <c r="E263" s="66" t="s">
        <v>352</v>
      </c>
      <c r="F263" s="125" t="s">
        <v>1228</v>
      </c>
      <c r="G263" s="67" t="s">
        <v>1012</v>
      </c>
    </row>
    <row r="264" spans="1:7" ht="25.9" customHeight="1">
      <c r="A264" s="65">
        <v>261</v>
      </c>
      <c r="B264" s="149" t="s">
        <v>345</v>
      </c>
      <c r="C264" s="149" t="s">
        <v>615</v>
      </c>
      <c r="D264" s="121" t="str">
        <f t="shared" si="4"/>
        <v>Valeur calculée</v>
      </c>
      <c r="E264" s="66" t="s">
        <v>353</v>
      </c>
      <c r="F264" s="125" t="s">
        <v>1229</v>
      </c>
      <c r="G264" s="67" t="s">
        <v>1013</v>
      </c>
    </row>
    <row r="265" spans="1:7" ht="25.9" customHeight="1">
      <c r="A265" s="65">
        <v>262</v>
      </c>
      <c r="B265" s="149" t="s">
        <v>345</v>
      </c>
      <c r="C265" s="149" t="s">
        <v>613</v>
      </c>
      <c r="D265" s="121" t="str">
        <f t="shared" si="4"/>
        <v>Chauffage</v>
      </c>
      <c r="E265" s="66" t="s">
        <v>133</v>
      </c>
      <c r="F265" s="125" t="s">
        <v>1230</v>
      </c>
      <c r="G265" s="67" t="s">
        <v>1014</v>
      </c>
    </row>
    <row r="266" spans="1:7" ht="25.9" customHeight="1">
      <c r="A266" s="65">
        <v>263</v>
      </c>
      <c r="B266" s="149" t="s">
        <v>345</v>
      </c>
      <c r="C266" s="149" t="s">
        <v>348</v>
      </c>
      <c r="D266" s="121" t="str">
        <f t="shared" si="4"/>
        <v>Eau chaude</v>
      </c>
      <c r="E266" s="66" t="s">
        <v>134</v>
      </c>
      <c r="F266" s="125" t="s">
        <v>1231</v>
      </c>
      <c r="G266" s="67" t="s">
        <v>1015</v>
      </c>
    </row>
    <row r="267" spans="1:7" ht="25.9" customHeight="1">
      <c r="A267" s="65">
        <v>264</v>
      </c>
      <c r="B267" s="149" t="s">
        <v>345</v>
      </c>
      <c r="C267" s="149" t="s">
        <v>274</v>
      </c>
      <c r="D267" s="121" t="str">
        <f t="shared" si="4"/>
        <v>Report autres productions de chaleur</v>
      </c>
      <c r="E267" s="66" t="s">
        <v>342</v>
      </c>
      <c r="F267" s="125" t="s">
        <v>1232</v>
      </c>
      <c r="G267" s="67" t="s">
        <v>1016</v>
      </c>
    </row>
    <row r="268" spans="1:7" ht="25.9" customHeight="1">
      <c r="A268" s="65">
        <v>265</v>
      </c>
      <c r="B268" s="149" t="s">
        <v>345</v>
      </c>
      <c r="C268" s="149" t="s">
        <v>246</v>
      </c>
      <c r="D268" s="121" t="str">
        <f t="shared" si="4"/>
        <v>Electricité fournie (non pondérée)</v>
      </c>
      <c r="E268" s="66" t="s">
        <v>378</v>
      </c>
      <c r="F268" s="125" t="s">
        <v>1233</v>
      </c>
      <c r="G268" s="67" t="s">
        <v>1017</v>
      </c>
    </row>
    <row r="269" spans="1:7" ht="25.9" customHeight="1">
      <c r="A269" s="65">
        <v>266</v>
      </c>
      <c r="B269" s="149" t="s">
        <v>345</v>
      </c>
      <c r="C269" s="149" t="s">
        <v>431</v>
      </c>
      <c r="D269" s="121" t="str">
        <f t="shared" si="4"/>
        <v>Energie fournie (sans électricité, pondérée)</v>
      </c>
      <c r="E269" s="66" t="s">
        <v>379</v>
      </c>
      <c r="F269" s="125" t="s">
        <v>1234</v>
      </c>
      <c r="G269" s="67" t="s">
        <v>1018</v>
      </c>
    </row>
    <row r="270" spans="1:7" ht="25.9" customHeight="1">
      <c r="A270" s="65">
        <v>267</v>
      </c>
      <c r="B270" s="149" t="s">
        <v>345</v>
      </c>
      <c r="C270" s="149" t="s">
        <v>616</v>
      </c>
      <c r="D270" s="121" t="str">
        <f t="shared" si="4"/>
        <v>Taux de couverture total</v>
      </c>
      <c r="E270" s="66" t="s">
        <v>354</v>
      </c>
      <c r="F270" s="125" t="s">
        <v>1235</v>
      </c>
      <c r="G270" s="67" t="s">
        <v>1019</v>
      </c>
    </row>
    <row r="271" spans="1:7" ht="25.9" customHeight="1">
      <c r="A271" s="65">
        <v>268</v>
      </c>
      <c r="B271" s="149" t="s">
        <v>345</v>
      </c>
      <c r="C271" s="149" t="s">
        <v>433</v>
      </c>
      <c r="D271" s="121" t="str">
        <f t="shared" si="4"/>
        <v>Données du bâtiment, ventilation et valeur limite</v>
      </c>
      <c r="E271" s="66" t="s">
        <v>111</v>
      </c>
      <c r="F271" s="125" t="s">
        <v>1236</v>
      </c>
      <c r="G271" s="67" t="s">
        <v>1020</v>
      </c>
    </row>
    <row r="272" spans="1:7" ht="25.9" customHeight="1">
      <c r="A272" s="65">
        <v>269</v>
      </c>
      <c r="B272" s="149" t="s">
        <v>345</v>
      </c>
      <c r="C272" s="149" t="s">
        <v>617</v>
      </c>
      <c r="D272" s="121" t="str">
        <f t="shared" si="4"/>
        <v>Total /
Moyenne</v>
      </c>
      <c r="E272" s="66" t="s">
        <v>329</v>
      </c>
      <c r="F272" s="125" t="s">
        <v>2120</v>
      </c>
      <c r="G272" s="67" t="s">
        <v>1021</v>
      </c>
    </row>
    <row r="273" spans="1:7" ht="25.9" customHeight="1">
      <c r="A273" s="65">
        <v>270</v>
      </c>
      <c r="B273" s="149" t="s">
        <v>345</v>
      </c>
      <c r="C273" s="149" t="s">
        <v>63</v>
      </c>
      <c r="D273" s="121" t="str">
        <f t="shared" si="4"/>
        <v>Besoin pour chauffage Qh,eff</v>
      </c>
      <c r="E273" s="66" t="s">
        <v>618</v>
      </c>
      <c r="F273" s="125" t="s">
        <v>1237</v>
      </c>
      <c r="G273" s="67" t="s">
        <v>1022</v>
      </c>
    </row>
    <row r="274" spans="1:7" ht="25.9" customHeight="1">
      <c r="A274" s="65">
        <v>271</v>
      </c>
      <c r="B274" s="149" t="s">
        <v>345</v>
      </c>
      <c r="C274" s="149" t="s">
        <v>63</v>
      </c>
      <c r="D274" s="121" t="str">
        <f t="shared" si="4"/>
        <v>Qh avec renouvelement d'air effectif</v>
      </c>
      <c r="E274" s="66" t="s">
        <v>619</v>
      </c>
      <c r="F274" s="125" t="s">
        <v>1238</v>
      </c>
      <c r="G274" s="67" t="s">
        <v>1023</v>
      </c>
    </row>
    <row r="275" spans="1:7" ht="25.9" customHeight="1">
      <c r="A275" s="65">
        <v>272</v>
      </c>
      <c r="B275" s="149" t="s">
        <v>345</v>
      </c>
      <c r="C275" s="149" t="s">
        <v>64</v>
      </c>
      <c r="D275" s="121" t="str">
        <f t="shared" si="4"/>
        <v>Besoin pour eau chaude Qww SIA 380/1</v>
      </c>
      <c r="E275" s="66" t="s">
        <v>2244</v>
      </c>
      <c r="F275" s="125" t="s">
        <v>2245</v>
      </c>
      <c r="G275" s="67" t="s">
        <v>2246</v>
      </c>
    </row>
    <row r="276" spans="1:7" ht="25.9" customHeight="1">
      <c r="A276" s="65">
        <v>273</v>
      </c>
      <c r="B276" s="149" t="s">
        <v>345</v>
      </c>
      <c r="C276" s="149" t="s">
        <v>237</v>
      </c>
      <c r="D276" s="121" t="str">
        <f t="shared" si="4"/>
        <v>Besoin en électricité pour la ventilation</v>
      </c>
      <c r="E276" s="66" t="s">
        <v>245</v>
      </c>
      <c r="F276" s="125" t="s">
        <v>1239</v>
      </c>
      <c r="G276" s="67" t="s">
        <v>1024</v>
      </c>
    </row>
    <row r="277" spans="1:7" ht="25.9" customHeight="1">
      <c r="A277" s="65">
        <v>274</v>
      </c>
      <c r="B277" s="149" t="s">
        <v>345</v>
      </c>
      <c r="C277" s="149" t="s">
        <v>439</v>
      </c>
      <c r="D277" s="121" t="str">
        <f t="shared" si="4"/>
        <v>Electricité pour les auxiliaires / le refroidissement</v>
      </c>
      <c r="E277" s="66" t="s">
        <v>620</v>
      </c>
      <c r="F277" s="125" t="s">
        <v>1240</v>
      </c>
      <c r="G277" s="67" t="s">
        <v>1025</v>
      </c>
    </row>
    <row r="278" spans="1:7" ht="25.9" customHeight="1">
      <c r="A278" s="65">
        <v>275</v>
      </c>
      <c r="B278" s="149" t="s">
        <v>345</v>
      </c>
      <c r="C278" s="149" t="s">
        <v>439</v>
      </c>
      <c r="D278" s="121" t="str">
        <f t="shared" si="4"/>
        <v>Besoin en électricité pour la climatisation + auxiliaires</v>
      </c>
      <c r="E278" s="66" t="s">
        <v>757</v>
      </c>
      <c r="F278" s="125" t="s">
        <v>1241</v>
      </c>
      <c r="G278" s="67" t="s">
        <v>1026</v>
      </c>
    </row>
    <row r="279" spans="1:7" ht="25.9" customHeight="1">
      <c r="A279" s="65">
        <v>276</v>
      </c>
      <c r="B279" s="149" t="s">
        <v>345</v>
      </c>
      <c r="C279" s="149" t="s">
        <v>444</v>
      </c>
      <c r="D279" s="121" t="str">
        <f t="shared" si="4"/>
        <v>Valeur limite déterminante</v>
      </c>
      <c r="E279" s="66" t="s">
        <v>277</v>
      </c>
      <c r="F279" s="125" t="s">
        <v>1242</v>
      </c>
      <c r="G279" s="67" t="s">
        <v>1027</v>
      </c>
    </row>
    <row r="280" spans="1:7" ht="25.9" customHeight="1">
      <c r="A280" s="65">
        <v>277</v>
      </c>
      <c r="B280" s="149" t="s">
        <v>345</v>
      </c>
      <c r="C280" s="149" t="s">
        <v>445</v>
      </c>
      <c r="D280" s="121" t="str">
        <f t="shared" si="4"/>
        <v>Production de chaleur:</v>
      </c>
      <c r="E280" s="66" t="s">
        <v>98</v>
      </c>
      <c r="F280" s="125" t="s">
        <v>1221</v>
      </c>
      <c r="G280" s="67" t="s">
        <v>1006</v>
      </c>
    </row>
    <row r="281" spans="1:7" ht="25.9" customHeight="1">
      <c r="A281" s="65">
        <v>278</v>
      </c>
      <c r="B281" s="149" t="s">
        <v>345</v>
      </c>
      <c r="C281" s="149" t="s">
        <v>446</v>
      </c>
      <c r="D281" s="121" t="str">
        <f t="shared" si="4"/>
        <v>(chauffage et eau chaude)</v>
      </c>
      <c r="E281" s="66" t="s">
        <v>328</v>
      </c>
      <c r="F281" s="125" t="s">
        <v>1243</v>
      </c>
      <c r="G281" s="67" t="s">
        <v>1028</v>
      </c>
    </row>
    <row r="282" spans="1:7" ht="25.9" customHeight="1">
      <c r="A282" s="65">
        <v>279</v>
      </c>
      <c r="B282" s="149" t="s">
        <v>345</v>
      </c>
      <c r="C282" s="149" t="s">
        <v>621</v>
      </c>
      <c r="D282" s="121" t="str">
        <f t="shared" si="4"/>
        <v>ou COPa</v>
      </c>
      <c r="E282" s="66" t="s">
        <v>339</v>
      </c>
      <c r="F282" s="125" t="s">
        <v>1244</v>
      </c>
      <c r="G282" s="67" t="s">
        <v>1029</v>
      </c>
    </row>
    <row r="283" spans="1:7" ht="25.9" customHeight="1">
      <c r="A283" s="65">
        <v>280</v>
      </c>
      <c r="B283" s="149" t="s">
        <v>345</v>
      </c>
      <c r="C283" s="149" t="s">
        <v>623</v>
      </c>
      <c r="D283" s="121" t="str">
        <f t="shared" si="4"/>
        <v>Pondération</v>
      </c>
      <c r="E283" s="66" t="s">
        <v>622</v>
      </c>
      <c r="F283" s="125" t="s">
        <v>1245</v>
      </c>
      <c r="G283" s="67" t="s">
        <v>2119</v>
      </c>
    </row>
    <row r="284" spans="1:7" ht="25.9" customHeight="1">
      <c r="A284" s="65">
        <v>281</v>
      </c>
      <c r="B284" s="149" t="s">
        <v>345</v>
      </c>
      <c r="C284" s="149" t="s">
        <v>624</v>
      </c>
      <c r="D284" s="121" t="str">
        <f t="shared" si="4"/>
        <v>Taux de couverture</v>
      </c>
      <c r="E284" s="66" t="s">
        <v>337</v>
      </c>
      <c r="F284" s="125" t="s">
        <v>1246</v>
      </c>
      <c r="G284" s="67" t="s">
        <v>1030</v>
      </c>
    </row>
    <row r="285" spans="1:7" ht="25.9" customHeight="1">
      <c r="A285" s="65">
        <v>282</v>
      </c>
      <c r="B285" s="149" t="s">
        <v>345</v>
      </c>
      <c r="C285" s="149" t="s">
        <v>626</v>
      </c>
      <c r="D285" s="121" t="str">
        <f t="shared" si="4"/>
        <v>Energie finale pondérée kWh/m2</v>
      </c>
      <c r="E285" s="66" t="s">
        <v>625</v>
      </c>
      <c r="F285" s="125" t="s">
        <v>1247</v>
      </c>
      <c r="G285" s="67" t="s">
        <v>1031</v>
      </c>
    </row>
    <row r="286" spans="1:7" ht="25.9" customHeight="1">
      <c r="A286" s="65">
        <v>283</v>
      </c>
      <c r="B286" s="149" t="s">
        <v>345</v>
      </c>
      <c r="C286" s="149" t="s">
        <v>627</v>
      </c>
      <c r="D286" s="121" t="str">
        <f t="shared" si="4"/>
        <v>Courant</v>
      </c>
      <c r="E286" s="66" t="s">
        <v>351</v>
      </c>
      <c r="F286" s="125" t="s">
        <v>1248</v>
      </c>
      <c r="G286" s="67" t="s">
        <v>1032</v>
      </c>
    </row>
    <row r="287" spans="1:7" ht="25.9" customHeight="1">
      <c r="A287" s="65">
        <v>284</v>
      </c>
      <c r="B287" s="149" t="s">
        <v>345</v>
      </c>
      <c r="C287" s="149" t="s">
        <v>628</v>
      </c>
      <c r="D287" s="121" t="str">
        <f t="shared" si="4"/>
        <v>autre</v>
      </c>
      <c r="E287" s="66" t="s">
        <v>103</v>
      </c>
      <c r="F287" s="125" t="s">
        <v>1249</v>
      </c>
      <c r="G287" s="67" t="s">
        <v>1033</v>
      </c>
    </row>
    <row r="288" spans="1:7" ht="25.9" customHeight="1">
      <c r="A288" s="65">
        <v>285</v>
      </c>
      <c r="B288" s="149" t="s">
        <v>345</v>
      </c>
      <c r="C288" s="149" t="s">
        <v>629</v>
      </c>
      <c r="D288" s="121" t="str">
        <f t="shared" si="4"/>
        <v>Chaleur</v>
      </c>
      <c r="E288" s="66" t="s">
        <v>350</v>
      </c>
      <c r="F288" s="125" t="s">
        <v>1250</v>
      </c>
      <c r="G288" s="67" t="s">
        <v>1034</v>
      </c>
    </row>
    <row r="289" spans="1:7" ht="25.9" customHeight="1">
      <c r="A289" s="65">
        <v>286</v>
      </c>
      <c r="B289" s="149" t="s">
        <v>345</v>
      </c>
      <c r="C289" s="149" t="s">
        <v>505</v>
      </c>
      <c r="D289" s="121" t="str">
        <f t="shared" si="4"/>
        <v>Besoin d'électricité ventilation</v>
      </c>
      <c r="E289" s="66" t="s">
        <v>245</v>
      </c>
      <c r="F289" s="125" t="s">
        <v>1251</v>
      </c>
      <c r="G289" s="67" t="s">
        <v>1035</v>
      </c>
    </row>
    <row r="290" spans="1:7" ht="25.9" customHeight="1">
      <c r="A290" s="65">
        <v>287</v>
      </c>
      <c r="B290" s="149" t="s">
        <v>345</v>
      </c>
      <c r="C290" s="149" t="s">
        <v>630</v>
      </c>
      <c r="D290" s="121" t="str">
        <f t="shared" si="4"/>
        <v>Electricité climatisation + auxiliaires</v>
      </c>
      <c r="E290" s="66" t="s">
        <v>249</v>
      </c>
      <c r="F290" s="125" t="s">
        <v>1252</v>
      </c>
      <c r="G290" s="67" t="s">
        <v>1036</v>
      </c>
    </row>
    <row r="291" spans="1:7" ht="25.9" customHeight="1">
      <c r="A291" s="65">
        <v>288</v>
      </c>
      <c r="B291" s="149" t="s">
        <v>345</v>
      </c>
      <c r="C291" s="149" t="s">
        <v>630</v>
      </c>
      <c r="D291" s="121" t="str">
        <f t="shared" si="4"/>
        <v>Electricité climatisation + auxiliaires</v>
      </c>
      <c r="E291" s="66" t="s">
        <v>764</v>
      </c>
      <c r="F291" s="125" t="s">
        <v>1252</v>
      </c>
      <c r="G291" s="67" t="s">
        <v>1036</v>
      </c>
    </row>
    <row r="292" spans="1:7" ht="25.9" customHeight="1">
      <c r="A292" s="65">
        <v>289</v>
      </c>
      <c r="B292" s="149" t="s">
        <v>345</v>
      </c>
      <c r="C292" s="149" t="s">
        <v>631</v>
      </c>
      <c r="D292" s="121" t="str">
        <f t="shared" si="4"/>
        <v>Total:</v>
      </c>
      <c r="E292" s="66" t="s">
        <v>338</v>
      </c>
      <c r="F292" s="125" t="s">
        <v>338</v>
      </c>
      <c r="G292" s="67" t="s">
        <v>1037</v>
      </c>
    </row>
    <row r="293" spans="1:7" ht="25.9" customHeight="1">
      <c r="A293" s="65">
        <v>290</v>
      </c>
      <c r="B293" s="149" t="s">
        <v>345</v>
      </c>
      <c r="C293" s="149" t="s">
        <v>507</v>
      </c>
      <c r="D293" s="121" t="str">
        <f t="shared" si="4"/>
        <v>Respect des exigences:</v>
      </c>
      <c r="E293" s="66" t="s">
        <v>1</v>
      </c>
      <c r="F293" s="125" t="s">
        <v>1253</v>
      </c>
      <c r="G293" s="67" t="s">
        <v>1038</v>
      </c>
    </row>
    <row r="294" spans="1:7" ht="25.9" customHeight="1">
      <c r="A294" s="65">
        <v>291</v>
      </c>
      <c r="B294" s="149" t="s">
        <v>345</v>
      </c>
      <c r="C294" s="149" t="s">
        <v>308</v>
      </c>
      <c r="D294" s="121" t="str">
        <f t="shared" si="4"/>
        <v>Exigences</v>
      </c>
      <c r="E294" s="66" t="s">
        <v>244</v>
      </c>
      <c r="F294" s="125" t="s">
        <v>1254</v>
      </c>
      <c r="G294" s="67" t="s">
        <v>1039</v>
      </c>
    </row>
    <row r="295" spans="1:7" ht="25.9" customHeight="1">
      <c r="A295" s="65">
        <v>292</v>
      </c>
      <c r="B295" s="149" t="s">
        <v>345</v>
      </c>
      <c r="C295" s="149" t="s">
        <v>632</v>
      </c>
      <c r="D295" s="121" t="str">
        <f t="shared" si="4"/>
        <v>Valeur calculée</v>
      </c>
      <c r="E295" s="66" t="s">
        <v>12</v>
      </c>
      <c r="F295" s="125" t="s">
        <v>1229</v>
      </c>
      <c r="G295" s="67" t="s">
        <v>1040</v>
      </c>
    </row>
    <row r="296" spans="1:7" ht="25.9" customHeight="1">
      <c r="A296" s="65">
        <v>293</v>
      </c>
      <c r="B296" s="149" t="s">
        <v>345</v>
      </c>
      <c r="C296" s="149" t="s">
        <v>508</v>
      </c>
      <c r="D296" s="121" t="str">
        <f t="shared" si="4"/>
        <v>Minergie - Indice chaleur</v>
      </c>
      <c r="E296" s="66" t="s">
        <v>633</v>
      </c>
      <c r="F296" s="125" t="s">
        <v>1255</v>
      </c>
      <c r="G296" s="67" t="s">
        <v>1041</v>
      </c>
    </row>
    <row r="297" spans="1:7" ht="25.9" customHeight="1">
      <c r="A297" s="65">
        <v>294</v>
      </c>
      <c r="B297" s="149" t="s">
        <v>345</v>
      </c>
      <c r="C297" s="149" t="s">
        <v>508</v>
      </c>
      <c r="D297" s="121" t="str">
        <f t="shared" si="4"/>
        <v>Valeur limite MINERGIE-P</v>
      </c>
      <c r="E297" s="66" t="s">
        <v>634</v>
      </c>
      <c r="F297" s="125" t="s">
        <v>1256</v>
      </c>
      <c r="G297" s="67" t="s">
        <v>1042</v>
      </c>
    </row>
    <row r="298" spans="1:7" ht="25.9" customHeight="1">
      <c r="A298" s="65">
        <v>295</v>
      </c>
      <c r="B298" s="149" t="s">
        <v>345</v>
      </c>
      <c r="C298" s="149" t="s">
        <v>508</v>
      </c>
      <c r="D298" s="121" t="str">
        <f t="shared" si="4"/>
        <v>Valeur limite</v>
      </c>
      <c r="E298" s="66" t="s">
        <v>332</v>
      </c>
      <c r="F298" s="125" t="s">
        <v>1257</v>
      </c>
      <c r="G298" s="67" t="s">
        <v>1043</v>
      </c>
    </row>
    <row r="299" spans="1:7" ht="25.9" customHeight="1">
      <c r="A299" s="65">
        <v>296</v>
      </c>
      <c r="B299" s="149" t="s">
        <v>345</v>
      </c>
      <c r="C299" s="149" t="s">
        <v>635</v>
      </c>
      <c r="D299" s="121" t="str">
        <f t="shared" si="4"/>
        <v>Respectée?</v>
      </c>
      <c r="E299" s="66" t="s">
        <v>13</v>
      </c>
      <c r="F299" s="125" t="s">
        <v>1258</v>
      </c>
      <c r="G299" s="67" t="s">
        <v>1044</v>
      </c>
    </row>
    <row r="300" spans="1:7" ht="25.9" customHeight="1">
      <c r="A300" s="65">
        <v>297</v>
      </c>
      <c r="B300" s="149" t="s">
        <v>345</v>
      </c>
      <c r="C300" s="149" t="s">
        <v>504</v>
      </c>
      <c r="D300" s="121" t="str">
        <f t="shared" si="4"/>
        <v>autre production de chaleur</v>
      </c>
      <c r="E300" s="66" t="s">
        <v>636</v>
      </c>
      <c r="F300" s="125" t="s">
        <v>1259</v>
      </c>
      <c r="G300" s="67" t="s">
        <v>1045</v>
      </c>
    </row>
    <row r="301" spans="1:7" ht="25.9" customHeight="1">
      <c r="A301" s="65">
        <v>298</v>
      </c>
      <c r="B301" s="149" t="s">
        <v>345</v>
      </c>
      <c r="C301" s="149" t="s">
        <v>511</v>
      </c>
      <c r="D301" s="121" t="str">
        <f t="shared" si="4"/>
        <v>Annexes (déposer toute celles de la colonne de gauche)</v>
      </c>
      <c r="E301" s="66" t="s">
        <v>361</v>
      </c>
      <c r="F301" s="125" t="s">
        <v>1260</v>
      </c>
      <c r="G301" s="67" t="s">
        <v>1046</v>
      </c>
    </row>
    <row r="302" spans="1:7" ht="25.9" customHeight="1">
      <c r="A302" s="65">
        <v>299</v>
      </c>
      <c r="B302" s="149" t="s">
        <v>345</v>
      </c>
      <c r="C302" s="149" t="s">
        <v>637</v>
      </c>
      <c r="D302" s="121" t="str">
        <f t="shared" si="4"/>
        <v>Marquer d'une croix ce qui convient</v>
      </c>
      <c r="E302" s="66" t="s">
        <v>362</v>
      </c>
      <c r="F302" s="125" t="s">
        <v>1261</v>
      </c>
      <c r="G302" s="67" t="s">
        <v>1047</v>
      </c>
    </row>
    <row r="303" spans="1:7" ht="25.9" customHeight="1">
      <c r="A303" s="65">
        <v>300</v>
      </c>
      <c r="B303" s="149" t="s">
        <v>345</v>
      </c>
      <c r="C303" s="149" t="s">
        <v>638</v>
      </c>
      <c r="D303" s="121" t="str">
        <f t="shared" si="4"/>
        <v>Schéma chauffage et ventilation</v>
      </c>
      <c r="E303" s="66" t="s">
        <v>373</v>
      </c>
      <c r="F303" s="125" t="s">
        <v>1262</v>
      </c>
      <c r="G303" s="67" t="s">
        <v>1048</v>
      </c>
    </row>
    <row r="304" spans="1:7" ht="25.9" customHeight="1">
      <c r="A304" s="65">
        <v>301</v>
      </c>
      <c r="B304" s="149" t="s">
        <v>345</v>
      </c>
      <c r="C304" s="149" t="s">
        <v>639</v>
      </c>
      <c r="D304" s="121" t="str">
        <f t="shared" si="4"/>
        <v>Calculs externes et fiches techniques</v>
      </c>
      <c r="E304" s="66" t="s">
        <v>374</v>
      </c>
      <c r="F304" s="125" t="s">
        <v>1263</v>
      </c>
      <c r="G304" s="67" t="s">
        <v>1049</v>
      </c>
    </row>
    <row r="305" spans="1:7" ht="25.9" customHeight="1">
      <c r="A305" s="65">
        <v>302</v>
      </c>
      <c r="B305" s="149" t="s">
        <v>345</v>
      </c>
      <c r="C305" s="149" t="s">
        <v>641</v>
      </c>
      <c r="D305" s="121" t="str">
        <f t="shared" si="4"/>
        <v>Besoin pas couvert</v>
      </c>
      <c r="E305" s="66" t="s">
        <v>640</v>
      </c>
      <c r="F305" s="125" t="s">
        <v>1264</v>
      </c>
      <c r="G305" s="67" t="s">
        <v>1050</v>
      </c>
    </row>
    <row r="306" spans="1:7" ht="25.9" customHeight="1">
      <c r="A306" s="65">
        <v>303</v>
      </c>
      <c r="B306" s="149" t="s">
        <v>345</v>
      </c>
      <c r="C306" s="149" t="s">
        <v>641</v>
      </c>
      <c r="D306" s="121" t="str">
        <f t="shared" si="4"/>
        <v>sans piscine couverte</v>
      </c>
      <c r="E306" s="66" t="s">
        <v>642</v>
      </c>
      <c r="F306" s="125" t="s">
        <v>1265</v>
      </c>
      <c r="G306" s="67" t="s">
        <v>1051</v>
      </c>
    </row>
    <row r="307" spans="1:7" ht="29.25" customHeight="1">
      <c r="A307" s="65">
        <v>304</v>
      </c>
      <c r="B307" s="149" t="s">
        <v>345</v>
      </c>
      <c r="C307" s="149" t="s">
        <v>643</v>
      </c>
      <c r="D307" s="121" t="str">
        <f t="shared" si="4"/>
        <v>Eau chaude avec min. 20% d'énergie renouvelable (pour restaurants, installations sportives, piscines couvertes)</v>
      </c>
      <c r="E307" s="66" t="s">
        <v>385</v>
      </c>
      <c r="F307" s="125" t="s">
        <v>1266</v>
      </c>
      <c r="G307" s="67" t="s">
        <v>1052</v>
      </c>
    </row>
    <row r="308" spans="1:7" ht="25.9" customHeight="1">
      <c r="A308" s="65">
        <v>305</v>
      </c>
      <c r="B308" s="149" t="s">
        <v>345</v>
      </c>
      <c r="C308" s="149" t="s">
        <v>724</v>
      </c>
      <c r="D308" s="121" t="str">
        <f t="shared" si="4"/>
        <v>Taux de couverture &lt;&gt; 100%</v>
      </c>
      <c r="E308" s="66" t="s">
        <v>723</v>
      </c>
      <c r="F308" s="125" t="s">
        <v>1267</v>
      </c>
      <c r="G308" s="67" t="s">
        <v>1053</v>
      </c>
    </row>
    <row r="309" spans="1:7" ht="25.9" customHeight="1">
      <c r="A309" s="65">
        <v>306</v>
      </c>
      <c r="D309" s="121" t="str">
        <f t="shared" si="4"/>
        <v>Apport annuel net par kWp (valeur standard)</v>
      </c>
      <c r="E309" s="66" t="s">
        <v>51</v>
      </c>
      <c r="F309" s="125" t="s">
        <v>321</v>
      </c>
      <c r="G309" s="67" t="s">
        <v>1054</v>
      </c>
    </row>
    <row r="310" spans="1:7" ht="92.25" customHeight="1">
      <c r="A310" s="65">
        <v>307</v>
      </c>
      <c r="B310" s="149" t="s">
        <v>22</v>
      </c>
      <c r="C310" s="149" t="s">
        <v>450</v>
      </c>
      <c r="D310" s="121" t="str">
        <f t="shared" si="4"/>
        <v>Entrée obligatoire: Qh,eff ou Qh,corr
à reporter du calcul SIA 380/1:2009 les besoins de chaleur pour le chauffage Qh,eff avec débit d’air neuf thermiquement actif Vth.
Facultatif: la valeur corrigée pour la hauteur d'étage Qh,corr (correction selon indications MINERGIE) peut être introduite à la place de Qh,eff</v>
      </c>
      <c r="E310" s="66" t="s">
        <v>644</v>
      </c>
      <c r="F310" s="125" t="s">
        <v>645</v>
      </c>
      <c r="G310" s="67" t="s">
        <v>1055</v>
      </c>
    </row>
    <row r="311" spans="1:7" ht="25.9" customHeight="1">
      <c r="A311" s="65">
        <v>308</v>
      </c>
      <c r="D311" s="121" t="str">
        <f t="shared" si="4"/>
        <v>Choisir "Aération avec PAC air repris"</v>
      </c>
      <c r="E311" s="66" t="s">
        <v>17</v>
      </c>
      <c r="F311" s="125" t="s">
        <v>65</v>
      </c>
      <c r="G311" s="67" t="s">
        <v>1056</v>
      </c>
    </row>
    <row r="312" spans="1:7" ht="25.9" customHeight="1">
      <c r="A312" s="65">
        <v>309</v>
      </c>
      <c r="D312" s="121" t="str">
        <f t="shared" si="4"/>
        <v>Choisir "Aération avec PAC air repris/fourni sans récup. de chaleur" ou PAC compacte avec air fourni/repris et ECS sans récup. de chaleur"</v>
      </c>
      <c r="E312" s="66" t="s">
        <v>18</v>
      </c>
      <c r="F312" s="125" t="s">
        <v>66</v>
      </c>
      <c r="G312" s="67" t="s">
        <v>1057</v>
      </c>
    </row>
    <row r="313" spans="1:7" ht="25.9" customHeight="1">
      <c r="A313" s="65">
        <v>310</v>
      </c>
      <c r="D313" s="121" t="str">
        <f t="shared" si="4"/>
        <v>Choisir "Aération avec PAC air repris/fourni avec récup. de chaleur" ou PAC compacte avec air fourni/repris et ECS avec récup. de chaleur"</v>
      </c>
      <c r="E313" s="66" t="s">
        <v>19</v>
      </c>
      <c r="F313" s="125" t="s">
        <v>320</v>
      </c>
      <c r="G313" s="67" t="s">
        <v>1058</v>
      </c>
    </row>
    <row r="314" spans="1:7" ht="45" customHeight="1">
      <c r="A314" s="65">
        <v>311</v>
      </c>
      <c r="B314" s="149" t="s">
        <v>1336</v>
      </c>
      <c r="C314" s="149" t="s">
        <v>1353</v>
      </c>
      <c r="D314" s="121" t="str">
        <f t="shared" si="4"/>
        <v>Si la description est exacte, la condition "taux de surface vitrée" n'est pas significative. Si l'une des caractéristiques ne correspond pas, "n.a." doit être sélectionné.</v>
      </c>
      <c r="E314" s="66" t="s">
        <v>1352</v>
      </c>
      <c r="F314" s="125" t="s">
        <v>1903</v>
      </c>
      <c r="G314" s="67" t="s">
        <v>1494</v>
      </c>
    </row>
    <row r="315" spans="1:7" ht="25.9" customHeight="1">
      <c r="A315" s="65">
        <v>312</v>
      </c>
      <c r="B315" s="149" t="s">
        <v>22</v>
      </c>
      <c r="C315" s="149" t="s">
        <v>1337</v>
      </c>
      <c r="D315" s="121" t="str">
        <f t="shared" si="4"/>
        <v>Entrées</v>
      </c>
      <c r="E315" s="66" t="s">
        <v>22</v>
      </c>
      <c r="F315" s="125" t="s">
        <v>1273</v>
      </c>
      <c r="G315" s="67" t="s">
        <v>1272</v>
      </c>
    </row>
    <row r="316" spans="1:7" ht="25.9" customHeight="1">
      <c r="A316" s="65">
        <v>313</v>
      </c>
      <c r="B316" s="149" t="s">
        <v>345</v>
      </c>
      <c r="C316" s="149" t="s">
        <v>1337</v>
      </c>
      <c r="D316" s="121" t="str">
        <f t="shared" si="4"/>
        <v>Justificatif</v>
      </c>
      <c r="E316" s="66" t="s">
        <v>345</v>
      </c>
      <c r="F316" s="125" t="s">
        <v>1274</v>
      </c>
      <c r="G316" s="67" t="s">
        <v>1271</v>
      </c>
    </row>
    <row r="317" spans="1:7" ht="25.9" customHeight="1">
      <c r="A317" s="65">
        <v>314</v>
      </c>
      <c r="B317" s="149" t="s">
        <v>1374</v>
      </c>
      <c r="C317" s="149" t="s">
        <v>1337</v>
      </c>
      <c r="D317" s="121" t="str">
        <f t="shared" si="4"/>
        <v>Aperçu</v>
      </c>
      <c r="E317" s="66" t="s">
        <v>1373</v>
      </c>
      <c r="F317" s="125" t="s">
        <v>1904</v>
      </c>
      <c r="G317" s="67" t="s">
        <v>2003</v>
      </c>
    </row>
    <row r="318" spans="1:7" ht="25.9" customHeight="1">
      <c r="A318" s="65">
        <v>315</v>
      </c>
      <c r="B318" s="149" t="s">
        <v>1374</v>
      </c>
      <c r="C318" s="149" t="s">
        <v>408</v>
      </c>
      <c r="D318" s="121" t="str">
        <f t="shared" si="4"/>
        <v>Aperçu</v>
      </c>
      <c r="E318" s="66" t="s">
        <v>1451</v>
      </c>
      <c r="F318" s="125" t="s">
        <v>1904</v>
      </c>
      <c r="G318" s="67" t="s">
        <v>2003</v>
      </c>
    </row>
    <row r="319" spans="1:7" ht="25.9" customHeight="1">
      <c r="A319" s="65">
        <v>316</v>
      </c>
      <c r="B319" s="149" t="s">
        <v>1336</v>
      </c>
      <c r="C319" s="149" t="s">
        <v>1337</v>
      </c>
      <c r="D319" s="121" t="str">
        <f t="shared" si="4"/>
        <v>Eté</v>
      </c>
      <c r="E319" s="66" t="s">
        <v>1336</v>
      </c>
      <c r="F319" s="125" t="s">
        <v>1905</v>
      </c>
      <c r="G319" s="67" t="s">
        <v>2004</v>
      </c>
    </row>
    <row r="320" spans="1:7" ht="25.9" customHeight="1">
      <c r="A320" s="65">
        <v>317</v>
      </c>
      <c r="B320" s="149" t="s">
        <v>1336</v>
      </c>
      <c r="C320" s="149" t="s">
        <v>1338</v>
      </c>
      <c r="D320" s="121" t="str">
        <f t="shared" si="4"/>
        <v>Protection thermique estivale dans le label Minergie</v>
      </c>
      <c r="E320" s="66" t="s">
        <v>2470</v>
      </c>
      <c r="F320" s="125" t="s">
        <v>2471</v>
      </c>
      <c r="G320" s="67" t="s">
        <v>2472</v>
      </c>
    </row>
    <row r="321" spans="1:7" ht="96" customHeight="1">
      <c r="A321" s="65">
        <v>318</v>
      </c>
      <c r="B321" s="149" t="s">
        <v>1336</v>
      </c>
      <c r="C321" s="149" t="s">
        <v>414</v>
      </c>
      <c r="D321" s="121" t="str">
        <f t="shared" si="4"/>
        <v>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v>
      </c>
      <c r="E321" s="66" t="s">
        <v>1301</v>
      </c>
      <c r="F321" s="125" t="s">
        <v>1906</v>
      </c>
      <c r="G321" s="67" t="s">
        <v>2005</v>
      </c>
    </row>
    <row r="322" spans="1:7" ht="39" customHeight="1">
      <c r="A322" s="65">
        <v>319</v>
      </c>
      <c r="B322" s="149" t="s">
        <v>1336</v>
      </c>
      <c r="C322" s="149" t="s">
        <v>1340</v>
      </c>
      <c r="D322" s="121" t="str">
        <f t="shared" si="4"/>
        <v>Variante 1: Evaluation globale de cas standards pour les affectations suivantes: habitation, bureau individuel ou paysager, salle de réunion et dépôt (sans refroidissement)</v>
      </c>
      <c r="E322" s="66" t="s">
        <v>1339</v>
      </c>
      <c r="F322" s="125" t="s">
        <v>1907</v>
      </c>
      <c r="G322" s="67" t="s">
        <v>2006</v>
      </c>
    </row>
    <row r="323" spans="1:7" ht="25.9" customHeight="1">
      <c r="A323" s="65">
        <v>320</v>
      </c>
      <c r="B323" s="149" t="s">
        <v>1336</v>
      </c>
      <c r="C323" s="149" t="s">
        <v>614</v>
      </c>
      <c r="D323" s="121" t="str">
        <f t="shared" si="4"/>
        <v>L'évaluation globale est valable pour les zones dans lesquelles les conditions suivantes sont respectées pour tous les locaux:</v>
      </c>
      <c r="E323" s="66" t="s">
        <v>1302</v>
      </c>
      <c r="F323" s="125" t="s">
        <v>1908</v>
      </c>
      <c r="G323" s="67" t="s">
        <v>2007</v>
      </c>
    </row>
    <row r="324" spans="1:7" ht="54.95" customHeight="1">
      <c r="A324" s="65">
        <v>321</v>
      </c>
      <c r="B324" s="149" t="s">
        <v>1336</v>
      </c>
      <c r="C324" s="149" t="s">
        <v>1341</v>
      </c>
      <c r="D324" s="121" t="str">
        <f t="shared" si="4"/>
        <v>- pas de puits de lumière ou de fenêtre de toiture avec plus de 0.5 m² de surface vitrée; les surfaces plus grandes peuvent
  être converties en surfaces verticales (voir Aide à l'utilisation)</v>
      </c>
      <c r="E324" s="75" t="s">
        <v>1304</v>
      </c>
      <c r="F324" s="493" t="s">
        <v>2473</v>
      </c>
      <c r="G324" s="492" t="s">
        <v>2529</v>
      </c>
    </row>
    <row r="325" spans="1:7" ht="25.9" customHeight="1">
      <c r="A325" s="65">
        <v>322</v>
      </c>
      <c r="B325" s="149" t="s">
        <v>1336</v>
      </c>
      <c r="C325" s="149" t="s">
        <v>415</v>
      </c>
      <c r="D325" s="121" t="str">
        <f t="shared" ref="D325:D388" si="5">INDEX($E$4:$G$503,$A325,$A$1)</f>
        <v>- protection solaire extérieure mobile avec volet roulant ou store à lamelles (p.ex. Modules Minergie);</v>
      </c>
      <c r="E325" s="75" t="s">
        <v>2474</v>
      </c>
      <c r="F325" s="125" t="s">
        <v>2475</v>
      </c>
      <c r="G325" s="492" t="s">
        <v>2476</v>
      </c>
    </row>
    <row r="326" spans="1:7" ht="25.9" customHeight="1">
      <c r="A326" s="65">
        <v>323</v>
      </c>
      <c r="B326" s="149" t="s">
        <v>1336</v>
      </c>
      <c r="C326" s="149" t="s">
        <v>229</v>
      </c>
      <c r="D326" s="121" t="str">
        <f t="shared" si="5"/>
        <v>- rafraîchissement nocturne possible grâce aux fenêtres;</v>
      </c>
      <c r="E326" s="75" t="s">
        <v>1305</v>
      </c>
      <c r="F326" s="125" t="s">
        <v>1909</v>
      </c>
      <c r="G326" s="67" t="s">
        <v>2008</v>
      </c>
    </row>
    <row r="327" spans="1:7" ht="25.9" customHeight="1">
      <c r="A327" s="65">
        <v>324</v>
      </c>
      <c r="B327" s="149" t="s">
        <v>1336</v>
      </c>
      <c r="C327" s="149" t="s">
        <v>418</v>
      </c>
      <c r="D327" s="121" t="str">
        <f t="shared" si="5"/>
        <v>- charges thermiques internes pas plus élevées que la valeur standard figurant dans le cahier technique SIA 2024.</v>
      </c>
      <c r="E327" s="75" t="s">
        <v>1307</v>
      </c>
      <c r="F327" s="125" t="s">
        <v>1910</v>
      </c>
      <c r="G327" s="67" t="s">
        <v>2009</v>
      </c>
    </row>
    <row r="328" spans="1:7" ht="25.9" customHeight="1">
      <c r="A328" s="65">
        <v>325</v>
      </c>
      <c r="B328" s="149" t="s">
        <v>1336</v>
      </c>
      <c r="C328" s="149" t="s">
        <v>420</v>
      </c>
      <c r="D328" s="121" t="str">
        <f t="shared" si="5"/>
        <v>Les locaux de cette zone satisfont-ils les critères?</v>
      </c>
      <c r="E328" s="66" t="s">
        <v>1309</v>
      </c>
      <c r="F328" s="125" t="s">
        <v>1911</v>
      </c>
      <c r="G328" s="67" t="s">
        <v>2010</v>
      </c>
    </row>
    <row r="329" spans="1:7" ht="25.9" customHeight="1">
      <c r="A329" s="65">
        <v>326</v>
      </c>
      <c r="B329" s="149" t="s">
        <v>1336</v>
      </c>
      <c r="C329" s="149" t="s">
        <v>1342</v>
      </c>
      <c r="D329" s="121" t="str">
        <f t="shared" si="5"/>
        <v>Protection solaire extérieure mobile. A déclarer ici sous "autres":</v>
      </c>
      <c r="E329" s="66" t="s">
        <v>1311</v>
      </c>
      <c r="F329" s="125" t="s">
        <v>1912</v>
      </c>
      <c r="G329" s="67" t="s">
        <v>2011</v>
      </c>
    </row>
    <row r="330" spans="1:7" ht="25.9" customHeight="1">
      <c r="A330" s="65">
        <v>327</v>
      </c>
      <c r="B330" s="149" t="s">
        <v>1336</v>
      </c>
      <c r="C330" s="149" t="s">
        <v>453</v>
      </c>
      <c r="D330" s="121" t="str">
        <f t="shared" si="5"/>
        <v>Valeur g et désignation du produit</v>
      </c>
      <c r="E330" s="66" t="s">
        <v>1343</v>
      </c>
      <c r="F330" s="125" t="s">
        <v>1913</v>
      </c>
      <c r="G330" s="67" t="s">
        <v>2012</v>
      </c>
    </row>
    <row r="331" spans="1:7" ht="46.5" customHeight="1">
      <c r="A331" s="65">
        <v>328</v>
      </c>
      <c r="B331" s="149" t="s">
        <v>1336</v>
      </c>
      <c r="C331" s="149" t="s">
        <v>1344</v>
      </c>
      <c r="D331" s="121" t="str">
        <f t="shared" si="5"/>
        <v>Habitation (individuelle ou collective), pièce avec 1 façade et plafond en béton apparent à &gt;80%: - taux de surface vitrée &lt;70%</v>
      </c>
      <c r="E331" s="66" t="s">
        <v>1312</v>
      </c>
      <c r="F331" s="125" t="s">
        <v>2110</v>
      </c>
      <c r="G331" s="67" t="s">
        <v>2116</v>
      </c>
    </row>
    <row r="332" spans="1:7" ht="34.9" customHeight="1">
      <c r="A332" s="65">
        <v>329</v>
      </c>
      <c r="B332" s="149" t="s">
        <v>1336</v>
      </c>
      <c r="C332" s="149" t="s">
        <v>273</v>
      </c>
      <c r="D332" s="121" t="str">
        <f t="shared" si="5"/>
        <v>Habitation (individuelle ou collective), pièce d'angle avec plafond en béton apparent à &gt;80%: - taux de surface vitrée de chaque façade &lt;50%</v>
      </c>
      <c r="E332" s="66" t="s">
        <v>1313</v>
      </c>
      <c r="F332" s="125" t="s">
        <v>2111</v>
      </c>
      <c r="G332" s="492" t="s">
        <v>2117</v>
      </c>
    </row>
    <row r="333" spans="1:7" ht="49.5" customHeight="1">
      <c r="A333" s="65">
        <v>330</v>
      </c>
      <c r="B333" s="149" t="s">
        <v>1336</v>
      </c>
      <c r="C333" s="149" t="s">
        <v>1345</v>
      </c>
      <c r="D333" s="121" t="str">
        <f t="shared" si="5"/>
        <v>Habitation (individuelle ou collective), pièce d'angle ou pièce avec 1 façade. Dalle en bois avec chape ciment (min. 6 cm d'épaisseur) ou anhydrite (min. 5 cm d'épaisseur):  - taux de surface vitrée &lt;40%</v>
      </c>
      <c r="E333" s="66" t="s">
        <v>1314</v>
      </c>
      <c r="F333" s="125" t="s">
        <v>2525</v>
      </c>
      <c r="G333" s="67" t="s">
        <v>2524</v>
      </c>
    </row>
    <row r="334" spans="1:7" ht="66" customHeight="1">
      <c r="A334" s="65">
        <v>331</v>
      </c>
      <c r="B334" s="149" t="s">
        <v>1336</v>
      </c>
      <c r="C334" s="149" t="s">
        <v>274</v>
      </c>
      <c r="D334" s="121" t="str">
        <f t="shared" si="5"/>
        <v>Habitation (individuelle ou collective), pièce avec 1 façade, plafond en béton apparent à &gt;80% ou chape ciment (min. 6 cm d'épaisseur) ou anhydrite (min. 5 cm d'épaisseur); orientation sud et ombrage par un balcon (min. 1 m de profondeur):  - taux de surface vitrée &lt;100%</v>
      </c>
      <c r="E334" s="66" t="s">
        <v>1315</v>
      </c>
      <c r="F334" s="125" t="s">
        <v>2112</v>
      </c>
      <c r="G334" s="492" t="s">
        <v>2526</v>
      </c>
    </row>
    <row r="335" spans="1:7" ht="42.75" customHeight="1">
      <c r="A335" s="65">
        <v>332</v>
      </c>
      <c r="B335" s="149" t="s">
        <v>1336</v>
      </c>
      <c r="C335" s="149" t="s">
        <v>275</v>
      </c>
      <c r="D335" s="121" t="str">
        <f t="shared" si="5"/>
        <v>Bureau individuel ou paysager, salle de réunion avec 1 façade et plafond en béton apparent à &gt;80%: - taux de surface vitrée &lt;50% et commande automatique des protections solaires</v>
      </c>
      <c r="E335" s="66" t="s">
        <v>1346</v>
      </c>
      <c r="F335" s="125" t="s">
        <v>2113</v>
      </c>
      <c r="G335" s="67" t="s">
        <v>2528</v>
      </c>
    </row>
    <row r="336" spans="1:7" ht="40.5" customHeight="1">
      <c r="A336" s="65">
        <v>333</v>
      </c>
      <c r="B336" s="149" t="s">
        <v>1336</v>
      </c>
      <c r="C336" s="149" t="s">
        <v>246</v>
      </c>
      <c r="D336" s="121" t="str">
        <f t="shared" si="5"/>
        <v>Bureau individuel ou paysager, salle de réunion avec 2 façades (pièce d'angle) et plafond en béton apparent à &gt;80%: - taux de surface vitrée &lt;35% et commande automatique des protections solaires</v>
      </c>
      <c r="E336" s="66" t="s">
        <v>1347</v>
      </c>
      <c r="F336" s="125" t="s">
        <v>2114</v>
      </c>
      <c r="G336" s="67" t="s">
        <v>2527</v>
      </c>
    </row>
    <row r="337" spans="1:7" ht="25.9" customHeight="1">
      <c r="A337" s="65">
        <v>334</v>
      </c>
      <c r="B337" s="149" t="s">
        <v>1336</v>
      </c>
      <c r="C337" s="149" t="s">
        <v>1349</v>
      </c>
      <c r="D337" s="121" t="str">
        <f t="shared" si="5"/>
        <v>Dépôt avec faibles charges thermiques internes</v>
      </c>
      <c r="E337" s="66" t="s">
        <v>1348</v>
      </c>
      <c r="F337" s="125" t="s">
        <v>1914</v>
      </c>
      <c r="G337" s="67" t="s">
        <v>2013</v>
      </c>
    </row>
    <row r="338" spans="1:7" ht="67.5" customHeight="1">
      <c r="A338" s="65">
        <v>335</v>
      </c>
      <c r="B338" s="149" t="s">
        <v>1336</v>
      </c>
      <c r="C338" s="149" t="s">
        <v>434</v>
      </c>
      <c r="D338" s="121" t="str">
        <f t="shared" si="5"/>
        <v>"n.a.":    non applicable. Un tel type de local n'existe pas.
"oui":     il y a un local de ce type et tous les critères sont remplis.
"non":    il y a un local de ce type mais tous les critères ne sont pas remplis (p.ex. taux de surface vitrée trop élevé).</v>
      </c>
      <c r="E338" s="66" t="s">
        <v>1316</v>
      </c>
      <c r="F338" s="125" t="s">
        <v>2115</v>
      </c>
      <c r="G338" s="67" t="s">
        <v>2118</v>
      </c>
    </row>
    <row r="339" spans="1:7" ht="25.9" customHeight="1">
      <c r="A339" s="65">
        <v>336</v>
      </c>
      <c r="B339" s="149" t="s">
        <v>1336</v>
      </c>
      <c r="C339" s="149" t="s">
        <v>1351</v>
      </c>
      <c r="D339" s="121" t="str">
        <f t="shared" si="5"/>
        <v>Si S14 s'avère exact, "n.a." doit être sélectionné dans S11.</v>
      </c>
      <c r="E339" s="66" t="s">
        <v>1350</v>
      </c>
      <c r="F339" s="125" t="s">
        <v>1915</v>
      </c>
      <c r="G339" s="67" t="s">
        <v>2021</v>
      </c>
    </row>
    <row r="340" spans="1:7" ht="43.5" customHeight="1">
      <c r="A340" s="65">
        <v>337</v>
      </c>
      <c r="B340" s="149" t="s">
        <v>1336</v>
      </c>
      <c r="C340" s="149" t="s">
        <v>1353</v>
      </c>
      <c r="D340" s="121" t="str">
        <f t="shared" si="5"/>
        <v>Si la description est exacte, la condition "taux de surface vitrée" n'est pas significative. Si l'une des caractéristiques ne correspond pas, "n.a." doit être sélectionné.</v>
      </c>
      <c r="E340" s="66" t="s">
        <v>1352</v>
      </c>
      <c r="F340" s="125" t="s">
        <v>1903</v>
      </c>
      <c r="G340" s="67" t="s">
        <v>1494</v>
      </c>
    </row>
    <row r="341" spans="1:7" ht="25.9" customHeight="1">
      <c r="A341" s="65">
        <v>338</v>
      </c>
      <c r="B341" s="149" t="s">
        <v>1336</v>
      </c>
      <c r="C341" s="149" t="s">
        <v>436</v>
      </c>
      <c r="D341" s="121" t="str">
        <f t="shared" si="5"/>
        <v>Variante 2: justification externe des critères selon SIA 382/1 (sans refroidissement)</v>
      </c>
      <c r="E341" s="66" t="s">
        <v>1317</v>
      </c>
      <c r="F341" s="125" t="s">
        <v>1916</v>
      </c>
      <c r="G341" s="67" t="s">
        <v>2015</v>
      </c>
    </row>
    <row r="342" spans="1:7" ht="25.9" customHeight="1">
      <c r="A342" s="65">
        <v>339</v>
      </c>
      <c r="B342" s="149" t="s">
        <v>1336</v>
      </c>
      <c r="C342" s="149" t="s">
        <v>1354</v>
      </c>
      <c r="D342" s="121" t="str">
        <f t="shared" si="5"/>
        <v>Les conditions propres au respect de ces critères sont décrites et documentées en annexe.</v>
      </c>
      <c r="E342" s="66" t="s">
        <v>1318</v>
      </c>
      <c r="F342" s="125" t="s">
        <v>1917</v>
      </c>
      <c r="G342" s="67" t="s">
        <v>2016</v>
      </c>
    </row>
    <row r="343" spans="1:7" ht="25.9" customHeight="1">
      <c r="A343" s="65">
        <v>340</v>
      </c>
      <c r="B343" s="149" t="s">
        <v>1336</v>
      </c>
      <c r="C343" s="149" t="s">
        <v>63</v>
      </c>
      <c r="D343" s="121" t="str">
        <f t="shared" si="5"/>
        <v>SIA 382/1 chiffre</v>
      </c>
      <c r="E343" s="66" t="s">
        <v>1319</v>
      </c>
      <c r="F343" s="125" t="s">
        <v>1918</v>
      </c>
      <c r="G343" s="67" t="s">
        <v>2017</v>
      </c>
    </row>
    <row r="344" spans="1:7" ht="25.9" customHeight="1">
      <c r="A344" s="65">
        <v>341</v>
      </c>
      <c r="B344" s="149" t="s">
        <v>1336</v>
      </c>
      <c r="C344" s="149" t="s">
        <v>1355</v>
      </c>
      <c r="D344" s="121" t="str">
        <f t="shared" si="5"/>
        <v>Les exigences concernant la protection thermique estivale sont remplies conformément au formulaire supplémentaire correspondant.</v>
      </c>
      <c r="E344" s="66" t="s">
        <v>1322</v>
      </c>
      <c r="F344" s="125" t="s">
        <v>1919</v>
      </c>
      <c r="G344" s="67" t="s">
        <v>2018</v>
      </c>
    </row>
    <row r="345" spans="1:7" ht="25.9" customHeight="1">
      <c r="A345" s="65">
        <v>342</v>
      </c>
      <c r="B345" s="149" t="s">
        <v>1336</v>
      </c>
      <c r="C345" s="149" t="s">
        <v>437</v>
      </c>
      <c r="D345" s="121" t="str">
        <f t="shared" si="5"/>
        <v>Remarques concernant la justification externe (manière, annexes, par ex. critères de choix selon Aide à l'utilisation):</v>
      </c>
      <c r="E345" s="66" t="s">
        <v>1328</v>
      </c>
      <c r="F345" s="125" t="s">
        <v>1920</v>
      </c>
      <c r="G345" s="67" t="s">
        <v>2019</v>
      </c>
    </row>
    <row r="346" spans="1:7" ht="25.9" customHeight="1">
      <c r="A346" s="65">
        <v>343</v>
      </c>
      <c r="B346" s="149" t="s">
        <v>1336</v>
      </c>
      <c r="C346" s="149" t="s">
        <v>445</v>
      </c>
      <c r="D346" s="121" t="str">
        <f t="shared" si="5"/>
        <v>Variante 3: justification externe des critères selon SIA 382/1 (avec refroidissement)</v>
      </c>
      <c r="E346" s="66" t="s">
        <v>1356</v>
      </c>
      <c r="F346" s="125" t="s">
        <v>1921</v>
      </c>
      <c r="G346" s="67" t="s">
        <v>2020</v>
      </c>
    </row>
    <row r="347" spans="1:7" ht="41.25" customHeight="1">
      <c r="A347" s="65">
        <v>344</v>
      </c>
      <c r="B347" s="149" t="s">
        <v>1336</v>
      </c>
      <c r="C347" s="149" t="s">
        <v>1357</v>
      </c>
      <c r="D347" s="121" t="str">
        <f t="shared" si="5"/>
        <v>Les températures de l'air intérieur en été sont calculées selon SIA 382/1 chiffre 4.4.4. Sans refroidissement, la courbe limite est dépassée en moins de 100 h.</v>
      </c>
      <c r="E347" s="66" t="s">
        <v>1329</v>
      </c>
      <c r="F347" s="125" t="s">
        <v>1922</v>
      </c>
      <c r="G347" s="67" t="s">
        <v>2022</v>
      </c>
    </row>
    <row r="348" spans="1:7" ht="44.25" customHeight="1">
      <c r="A348" s="65">
        <v>345</v>
      </c>
      <c r="B348" s="149" t="s">
        <v>1336</v>
      </c>
      <c r="C348" s="149" t="s">
        <v>500</v>
      </c>
      <c r="D348" s="121" t="str">
        <f t="shared" si="5"/>
        <v>La zone est refroidie et les besoins en énergie sont calculés. 
Il n'y a aucune température trop élevée en été.</v>
      </c>
      <c r="E348" s="66" t="s">
        <v>1331</v>
      </c>
      <c r="F348" s="125" t="s">
        <v>1927</v>
      </c>
      <c r="G348" s="67" t="s">
        <v>2023</v>
      </c>
    </row>
    <row r="349" spans="1:7" ht="25.9" customHeight="1">
      <c r="A349" s="65">
        <v>346</v>
      </c>
      <c r="B349" s="149" t="s">
        <v>1336</v>
      </c>
      <c r="C349" s="149" t="s">
        <v>505</v>
      </c>
      <c r="D349" s="121" t="str">
        <f t="shared" si="5"/>
        <v>Selon cette déclaration, les exigences pour la protection thermique estivale sont remplies.</v>
      </c>
      <c r="E349" s="66" t="s">
        <v>1335</v>
      </c>
      <c r="F349" s="125" t="s">
        <v>1923</v>
      </c>
      <c r="G349" s="67" t="s">
        <v>2024</v>
      </c>
    </row>
    <row r="350" spans="1:7" ht="25.9" customHeight="1">
      <c r="A350" s="65">
        <v>347</v>
      </c>
      <c r="B350" s="149" t="s">
        <v>1336</v>
      </c>
      <c r="C350" s="149" t="s">
        <v>1358</v>
      </c>
      <c r="D350" s="121" t="str">
        <f t="shared" si="5"/>
        <v>Volets roulants</v>
      </c>
      <c r="E350" s="66" t="s">
        <v>1303</v>
      </c>
      <c r="F350" s="125" t="s">
        <v>1924</v>
      </c>
      <c r="G350" s="67" t="s">
        <v>2477</v>
      </c>
    </row>
    <row r="351" spans="1:7" ht="25.9" customHeight="1">
      <c r="A351" s="65">
        <v>348</v>
      </c>
      <c r="B351" s="149" t="s">
        <v>1336</v>
      </c>
      <c r="C351" s="149" t="s">
        <v>1359</v>
      </c>
      <c r="D351" s="121" t="str">
        <f t="shared" si="5"/>
        <v>Stores à lamelles</v>
      </c>
      <c r="E351" s="66" t="s">
        <v>1360</v>
      </c>
      <c r="F351" s="125" t="s">
        <v>1925</v>
      </c>
      <c r="G351" s="67" t="s">
        <v>2025</v>
      </c>
    </row>
    <row r="352" spans="1:7" ht="25.9" customHeight="1">
      <c r="A352" s="65">
        <v>349</v>
      </c>
      <c r="B352" s="149" t="s">
        <v>1336</v>
      </c>
      <c r="C352" s="149" t="s">
        <v>1361</v>
      </c>
      <c r="D352" s="121" t="str">
        <f t="shared" si="5"/>
        <v>Module Minergie</v>
      </c>
      <c r="E352" s="66" t="s">
        <v>2478</v>
      </c>
      <c r="F352" s="125" t="s">
        <v>2479</v>
      </c>
      <c r="G352" s="67" t="s">
        <v>2026</v>
      </c>
    </row>
    <row r="353" spans="1:7" ht="25.9" customHeight="1">
      <c r="A353" s="65">
        <v>350</v>
      </c>
      <c r="B353" s="149" t="s">
        <v>1336</v>
      </c>
      <c r="C353" s="149" t="s">
        <v>1362</v>
      </c>
      <c r="D353" s="121" t="str">
        <f t="shared" si="5"/>
        <v>Autres</v>
      </c>
      <c r="E353" s="66" t="s">
        <v>103</v>
      </c>
      <c r="F353" s="125" t="s">
        <v>1926</v>
      </c>
      <c r="G353" s="67" t="s">
        <v>1033</v>
      </c>
    </row>
    <row r="354" spans="1:7" ht="25.9" customHeight="1">
      <c r="A354" s="65">
        <v>351</v>
      </c>
      <c r="B354" s="149" t="s">
        <v>1336</v>
      </c>
      <c r="C354" s="149" t="s">
        <v>453</v>
      </c>
      <c r="D354" s="121" t="str">
        <f t="shared" si="5"/>
        <v>Valeur g et désignation du produit</v>
      </c>
      <c r="E354" s="66" t="s">
        <v>1343</v>
      </c>
      <c r="F354" s="125" t="s">
        <v>1913</v>
      </c>
      <c r="G354" s="67" t="s">
        <v>2012</v>
      </c>
    </row>
    <row r="355" spans="1:7" ht="25.9" customHeight="1">
      <c r="A355" s="65">
        <v>352</v>
      </c>
      <c r="B355" s="149" t="s">
        <v>1336</v>
      </c>
      <c r="C355" s="149" t="s">
        <v>1351</v>
      </c>
      <c r="D355" s="121" t="str">
        <f t="shared" si="5"/>
        <v>Si S14 s'avère exact, "n.a." doit être sélectionné dans S11.</v>
      </c>
      <c r="E355" s="66" t="s">
        <v>1350</v>
      </c>
      <c r="F355" s="125" t="s">
        <v>1915</v>
      </c>
      <c r="G355" s="67" t="s">
        <v>2014</v>
      </c>
    </row>
    <row r="356" spans="1:7" ht="25.9" customHeight="1">
      <c r="A356" s="65">
        <v>353</v>
      </c>
      <c r="B356" s="149" t="s">
        <v>22</v>
      </c>
      <c r="C356" s="149" t="s">
        <v>411</v>
      </c>
      <c r="D356" s="121" t="str">
        <f t="shared" si="5"/>
        <v>Nom du projet:</v>
      </c>
      <c r="E356" s="66" t="s">
        <v>1364</v>
      </c>
      <c r="F356" s="125" t="s">
        <v>1928</v>
      </c>
      <c r="G356" s="67" t="s">
        <v>2027</v>
      </c>
    </row>
    <row r="357" spans="1:7" ht="25.9" customHeight="1">
      <c r="A357" s="65">
        <v>354</v>
      </c>
      <c r="B357" s="149" t="s">
        <v>22</v>
      </c>
      <c r="C357" s="149" t="s">
        <v>274</v>
      </c>
      <c r="D357" s="121" t="str">
        <f t="shared" si="5"/>
        <v>Facteur d'enveloppe</v>
      </c>
      <c r="E357" s="66" t="s">
        <v>101</v>
      </c>
      <c r="F357" s="125" t="s">
        <v>1929</v>
      </c>
      <c r="G357" s="67" t="s">
        <v>2028</v>
      </c>
    </row>
    <row r="358" spans="1:7" ht="25.9" customHeight="1">
      <c r="A358" s="65">
        <v>355</v>
      </c>
      <c r="B358" s="149" t="s">
        <v>22</v>
      </c>
      <c r="C358" s="149" t="s">
        <v>1365</v>
      </c>
      <c r="D358" s="121" t="str">
        <f t="shared" si="5"/>
        <v xml:space="preserve">N° MOP: </v>
      </c>
      <c r="E358" s="66" t="s">
        <v>1366</v>
      </c>
      <c r="F358" s="125" t="s">
        <v>1930</v>
      </c>
      <c r="G358" s="67" t="s">
        <v>2530</v>
      </c>
    </row>
    <row r="359" spans="1:7" ht="25.9" customHeight="1">
      <c r="A359" s="65">
        <v>356</v>
      </c>
      <c r="B359" s="149" t="s">
        <v>22</v>
      </c>
      <c r="C359" s="149" t="s">
        <v>414</v>
      </c>
      <c r="D359" s="121" t="str">
        <f t="shared" si="5"/>
        <v>Adresse du bâtiment:</v>
      </c>
      <c r="E359" s="66" t="s">
        <v>1367</v>
      </c>
      <c r="F359" s="125" t="s">
        <v>1931</v>
      </c>
      <c r="G359" s="67" t="s">
        <v>2029</v>
      </c>
    </row>
    <row r="360" spans="1:7" ht="25.9" customHeight="1">
      <c r="A360" s="65">
        <v>357</v>
      </c>
      <c r="B360" s="149" t="s">
        <v>345</v>
      </c>
      <c r="C360" s="149" t="s">
        <v>444</v>
      </c>
      <c r="D360" s="121" t="str">
        <f t="shared" si="5"/>
        <v>Valeur limite pour les besoins en énergie finale sans photovoltaïque</v>
      </c>
      <c r="E360" s="66" t="s">
        <v>1368</v>
      </c>
      <c r="F360" s="125" t="s">
        <v>1932</v>
      </c>
      <c r="G360" s="67" t="s">
        <v>2030</v>
      </c>
    </row>
    <row r="361" spans="1:7" ht="25.9" customHeight="1">
      <c r="A361" s="65">
        <v>358</v>
      </c>
      <c r="B361" s="149" t="s">
        <v>345</v>
      </c>
      <c r="C361" s="149" t="s">
        <v>344</v>
      </c>
      <c r="D361" s="121" t="str">
        <f t="shared" si="5"/>
        <v>Valeur limite pour l'indice Minergie MKZ</v>
      </c>
      <c r="E361" s="66" t="s">
        <v>1369</v>
      </c>
      <c r="F361" s="125" t="s">
        <v>1933</v>
      </c>
      <c r="G361" s="67" t="s">
        <v>2031</v>
      </c>
    </row>
    <row r="362" spans="1:7" ht="25.9" customHeight="1">
      <c r="A362" s="65">
        <v>359</v>
      </c>
      <c r="B362" s="149" t="s">
        <v>157</v>
      </c>
      <c r="C362" s="149" t="s">
        <v>1342</v>
      </c>
      <c r="D362" s="121" t="str">
        <f t="shared" si="5"/>
        <v xml:space="preserve"> - Réduction pour la robinetterie</v>
      </c>
      <c r="E362" s="66" t="s">
        <v>1396</v>
      </c>
      <c r="F362" s="125" t="s">
        <v>1934</v>
      </c>
      <c r="G362" s="492" t="s">
        <v>2034</v>
      </c>
    </row>
    <row r="363" spans="1:7" ht="25.9" customHeight="1">
      <c r="A363" s="65">
        <v>360</v>
      </c>
      <c r="B363" s="149" t="s">
        <v>157</v>
      </c>
      <c r="C363" s="149" t="s">
        <v>238</v>
      </c>
      <c r="D363" s="121" t="str">
        <f t="shared" si="5"/>
        <v xml:space="preserve"> - Réduction pour le maintien de la chaleur</v>
      </c>
      <c r="E363" s="66" t="s">
        <v>1397</v>
      </c>
      <c r="F363" s="125" t="s">
        <v>1935</v>
      </c>
      <c r="G363" s="492" t="s">
        <v>2035</v>
      </c>
    </row>
    <row r="364" spans="1:7" ht="25.9" customHeight="1">
      <c r="A364" s="65">
        <v>361</v>
      </c>
      <c r="B364" s="149" t="s">
        <v>157</v>
      </c>
      <c r="C364" s="149" t="s">
        <v>434</v>
      </c>
      <c r="D364" s="121" t="str">
        <f t="shared" si="5"/>
        <v>Electricité</v>
      </c>
      <c r="E364" s="66" t="s">
        <v>1283</v>
      </c>
      <c r="F364" s="125" t="s">
        <v>1936</v>
      </c>
      <c r="G364" s="67" t="s">
        <v>1032</v>
      </c>
    </row>
    <row r="365" spans="1:7" ht="25.9" customHeight="1">
      <c r="A365" s="65">
        <v>362</v>
      </c>
      <c r="B365" s="149" t="s">
        <v>157</v>
      </c>
      <c r="C365" s="149" t="s">
        <v>436</v>
      </c>
      <c r="D365" s="121" t="str">
        <f t="shared" si="5"/>
        <v xml:space="preserve">Données concernant l'utilisation du logement: </v>
      </c>
      <c r="E365" s="66" t="s">
        <v>1291</v>
      </c>
      <c r="F365" s="125" t="s">
        <v>1937</v>
      </c>
      <c r="G365" s="67" t="s">
        <v>2032</v>
      </c>
    </row>
    <row r="366" spans="1:7" ht="25.9" customHeight="1">
      <c r="A366" s="65">
        <v>363</v>
      </c>
      <c r="B366" s="149" t="s">
        <v>157</v>
      </c>
      <c r="C366" s="149" t="s">
        <v>1354</v>
      </c>
      <c r="D366" s="121" t="str">
        <f t="shared" si="5"/>
        <v>Ascenseur / élévateur disponible sur place?</v>
      </c>
      <c r="E366" s="66" t="s">
        <v>1584</v>
      </c>
      <c r="F366" s="125" t="s">
        <v>1938</v>
      </c>
      <c r="G366" s="67" t="s">
        <v>2033</v>
      </c>
    </row>
    <row r="367" spans="1:7" ht="25.9" customHeight="1">
      <c r="A367" s="65">
        <v>364</v>
      </c>
      <c r="B367" s="149" t="s">
        <v>157</v>
      </c>
      <c r="C367" s="149" t="s">
        <v>63</v>
      </c>
      <c r="D367" s="121" t="str">
        <f t="shared" si="5"/>
        <v>Tous les lave-vaisselle sont de classe A+++</v>
      </c>
      <c r="E367" s="66" t="s">
        <v>1285</v>
      </c>
      <c r="F367" s="125" t="s">
        <v>1939</v>
      </c>
      <c r="G367" s="67" t="s">
        <v>2036</v>
      </c>
    </row>
    <row r="368" spans="1:7" ht="25.9" customHeight="1">
      <c r="A368" s="65">
        <v>365</v>
      </c>
      <c r="B368" s="149" t="s">
        <v>157</v>
      </c>
      <c r="C368" s="149" t="s">
        <v>64</v>
      </c>
      <c r="D368" s="121" t="str">
        <f t="shared" si="5"/>
        <v>Tous les réfrigérateurs et congélateurs sont de classe A+++</v>
      </c>
      <c r="E368" s="66" t="s">
        <v>1284</v>
      </c>
      <c r="F368" s="125" t="s">
        <v>1940</v>
      </c>
      <c r="G368" s="67" t="s">
        <v>2037</v>
      </c>
    </row>
    <row r="369" spans="1:7" ht="25.9" customHeight="1">
      <c r="A369" s="65">
        <v>366</v>
      </c>
      <c r="B369" s="149" t="s">
        <v>157</v>
      </c>
      <c r="C369" s="149" t="s">
        <v>1370</v>
      </c>
      <c r="D369" s="121" t="str">
        <f t="shared" si="5"/>
        <v>Tous les lave-linge sont de classe A+++</v>
      </c>
      <c r="E369" s="66" t="s">
        <v>1286</v>
      </c>
      <c r="F369" s="125" t="s">
        <v>1941</v>
      </c>
      <c r="G369" s="67" t="s">
        <v>2038</v>
      </c>
    </row>
    <row r="370" spans="1:7" ht="25.9" customHeight="1">
      <c r="A370" s="65">
        <v>367</v>
      </c>
      <c r="B370" s="149" t="s">
        <v>157</v>
      </c>
      <c r="C370" s="149" t="s">
        <v>214</v>
      </c>
      <c r="D370" s="121" t="str">
        <f t="shared" si="5"/>
        <v>Tous les sèche-linge sont de classe A+++</v>
      </c>
      <c r="E370" s="66" t="s">
        <v>1287</v>
      </c>
      <c r="F370" s="125" t="s">
        <v>1942</v>
      </c>
      <c r="G370" s="67" t="s">
        <v>2039</v>
      </c>
    </row>
    <row r="371" spans="1:7" ht="25.9" customHeight="1">
      <c r="A371" s="65">
        <v>368</v>
      </c>
      <c r="B371" s="149" t="s">
        <v>157</v>
      </c>
      <c r="C371" s="149" t="s">
        <v>195</v>
      </c>
      <c r="D371" s="121" t="str">
        <f t="shared" si="5"/>
        <v>Toutes les cuisinières sont à induction</v>
      </c>
      <c r="E371" s="66" t="s">
        <v>1288</v>
      </c>
      <c r="F371" s="125" t="s">
        <v>1943</v>
      </c>
      <c r="G371" s="67" t="s">
        <v>2040</v>
      </c>
    </row>
    <row r="372" spans="1:7" ht="25.9" customHeight="1">
      <c r="A372" s="65">
        <v>369</v>
      </c>
      <c r="B372" s="149" t="s">
        <v>157</v>
      </c>
      <c r="C372" s="149" t="s">
        <v>237</v>
      </c>
      <c r="D372" s="121" t="str">
        <f t="shared" si="5"/>
        <v>Eclairage résidentiel fixe LED A++</v>
      </c>
      <c r="E372" s="66" t="s">
        <v>1289</v>
      </c>
      <c r="F372" s="125" t="s">
        <v>1944</v>
      </c>
      <c r="G372" s="67" t="s">
        <v>2041</v>
      </c>
    </row>
    <row r="373" spans="1:7" ht="25.9" customHeight="1">
      <c r="A373" s="65">
        <v>370</v>
      </c>
      <c r="B373" s="149" t="s">
        <v>157</v>
      </c>
      <c r="C373" s="149" t="s">
        <v>439</v>
      </c>
      <c r="D373" s="121" t="str">
        <f t="shared" si="5"/>
        <v>Eclairage général LED A++ &amp; régulation</v>
      </c>
      <c r="E373" s="66" t="s">
        <v>1290</v>
      </c>
      <c r="F373" s="125" t="s">
        <v>1945</v>
      </c>
      <c r="G373" s="67" t="s">
        <v>2042</v>
      </c>
    </row>
    <row r="374" spans="1:7" ht="25.9" customHeight="1">
      <c r="A374" s="65">
        <v>371</v>
      </c>
      <c r="B374" s="149" t="s">
        <v>157</v>
      </c>
      <c r="C374" s="149" t="s">
        <v>444</v>
      </c>
      <c r="D374" s="121" t="str">
        <f t="shared" si="5"/>
        <v>Autres utilisations: données concernant l'éclairage</v>
      </c>
      <c r="E374" s="66" t="s">
        <v>1371</v>
      </c>
      <c r="F374" s="125" t="s">
        <v>1946</v>
      </c>
      <c r="G374" s="67" t="s">
        <v>2043</v>
      </c>
    </row>
    <row r="375" spans="1:7" ht="25.9" customHeight="1">
      <c r="A375" s="65">
        <v>372</v>
      </c>
      <c r="B375" s="149" t="s">
        <v>157</v>
      </c>
      <c r="C375" s="149" t="s">
        <v>408</v>
      </c>
      <c r="D375" s="121" t="str">
        <f t="shared" si="5"/>
        <v>Données supplémentaires pour le</v>
      </c>
      <c r="E375" s="66" t="s">
        <v>1294</v>
      </c>
      <c r="F375" s="125" t="s">
        <v>1947</v>
      </c>
      <c r="G375" s="67" t="s">
        <v>2044</v>
      </c>
    </row>
    <row r="376" spans="1:7" ht="25.9" customHeight="1">
      <c r="A376" s="65">
        <v>373</v>
      </c>
      <c r="B376" s="149" t="s">
        <v>157</v>
      </c>
      <c r="C376" s="149" t="s">
        <v>409</v>
      </c>
      <c r="D376" s="121" t="str">
        <f t="shared" si="5"/>
        <v>justificatif Minergie</v>
      </c>
      <c r="E376" s="66" t="s">
        <v>2480</v>
      </c>
      <c r="F376" s="125" t="s">
        <v>2481</v>
      </c>
      <c r="G376" s="67" t="s">
        <v>2045</v>
      </c>
    </row>
    <row r="377" spans="1:7" ht="25.9" customHeight="1">
      <c r="A377" s="65">
        <v>374</v>
      </c>
      <c r="B377" s="149" t="s">
        <v>157</v>
      </c>
      <c r="C377" s="149" t="s">
        <v>446</v>
      </c>
      <c r="D377" s="121" t="str">
        <f t="shared" si="5"/>
        <v>Luminaires: module Minergie ou classe A+</v>
      </c>
      <c r="E377" s="66" t="s">
        <v>2482</v>
      </c>
      <c r="F377" s="125" t="s">
        <v>1948</v>
      </c>
      <c r="G377" s="67" t="s">
        <v>2523</v>
      </c>
    </row>
    <row r="378" spans="1:7" ht="25.9" customHeight="1">
      <c r="A378" s="65">
        <v>375</v>
      </c>
      <c r="B378" s="149" t="s">
        <v>157</v>
      </c>
      <c r="C378" s="149" t="s">
        <v>1357</v>
      </c>
      <c r="D378" s="121" t="str">
        <f t="shared" si="5"/>
        <v>Commande d'éclairage de classe A++</v>
      </c>
      <c r="E378" s="66" t="s">
        <v>2483</v>
      </c>
      <c r="F378" s="125" t="s">
        <v>1949</v>
      </c>
      <c r="G378" s="67" t="s">
        <v>2484</v>
      </c>
    </row>
    <row r="379" spans="1:7" ht="25.9" customHeight="1">
      <c r="A379" s="65">
        <v>376</v>
      </c>
      <c r="B379" s="149" t="s">
        <v>157</v>
      </c>
      <c r="C379" s="149" t="s">
        <v>630</v>
      </c>
      <c r="D379" s="121" t="str">
        <f t="shared" si="5"/>
        <v>Installation photovoltaïque</v>
      </c>
      <c r="E379" s="66" t="s">
        <v>1292</v>
      </c>
      <c r="F379" s="125" t="s">
        <v>1182</v>
      </c>
      <c r="G379" s="67" t="s">
        <v>2046</v>
      </c>
    </row>
    <row r="380" spans="1:7" ht="25.9" customHeight="1">
      <c r="A380" s="65">
        <v>377</v>
      </c>
      <c r="B380" s="149" t="s">
        <v>157</v>
      </c>
      <c r="C380" s="149" t="s">
        <v>1422</v>
      </c>
      <c r="D380" s="121" t="str">
        <f t="shared" si="5"/>
        <v>Rendement annuel [kWh/m2]</v>
      </c>
      <c r="E380" s="66" t="s">
        <v>1293</v>
      </c>
      <c r="F380" s="125" t="s">
        <v>1950</v>
      </c>
      <c r="G380" s="67" t="s">
        <v>2047</v>
      </c>
    </row>
    <row r="381" spans="1:7" ht="25.9" customHeight="1">
      <c r="A381" s="65">
        <v>378</v>
      </c>
      <c r="B381" s="149" t="s">
        <v>157</v>
      </c>
      <c r="C381" s="149" t="s">
        <v>1722</v>
      </c>
      <c r="D381" s="121" t="str">
        <f t="shared" si="5"/>
        <v>Besoins personnels [%]</v>
      </c>
      <c r="E381" s="66" t="s">
        <v>2324</v>
      </c>
      <c r="F381" s="125" t="s">
        <v>1951</v>
      </c>
      <c r="G381" s="67" t="s">
        <v>2048</v>
      </c>
    </row>
    <row r="382" spans="1:7" ht="25.9" customHeight="1">
      <c r="A382" s="65">
        <v>379</v>
      </c>
      <c r="B382" s="149" t="s">
        <v>157</v>
      </c>
      <c r="C382" s="149" t="s">
        <v>506</v>
      </c>
      <c r="D382" s="121" t="str">
        <f t="shared" si="5"/>
        <v>Puissance installée (sans CCF) [kWp]</v>
      </c>
      <c r="E382" s="66" t="s">
        <v>2320</v>
      </c>
      <c r="F382" s="125" t="s">
        <v>2321</v>
      </c>
      <c r="G382" s="67" t="s">
        <v>2182</v>
      </c>
    </row>
    <row r="383" spans="1:7" ht="25.9" customHeight="1">
      <c r="A383" s="65">
        <v>380</v>
      </c>
      <c r="B383" s="149" t="s">
        <v>157</v>
      </c>
      <c r="C383" s="149" t="s">
        <v>508</v>
      </c>
      <c r="D383" s="121" t="str">
        <f t="shared" si="5"/>
        <v>Rendement annuel net [kWh/kWp] (joindre le calcul)</v>
      </c>
      <c r="E383" s="66" t="s">
        <v>725</v>
      </c>
      <c r="F383" s="125" t="s">
        <v>1952</v>
      </c>
      <c r="G383" s="67" t="s">
        <v>2049</v>
      </c>
    </row>
    <row r="384" spans="1:7" ht="25.9" customHeight="1">
      <c r="A384" s="65">
        <v>381</v>
      </c>
      <c r="B384" s="149" t="s">
        <v>157</v>
      </c>
      <c r="C384" s="149" t="s">
        <v>1421</v>
      </c>
      <c r="D384" s="121" t="str">
        <f t="shared" si="5"/>
        <v>Autres exigences</v>
      </c>
      <c r="E384" s="66" t="s">
        <v>1390</v>
      </c>
      <c r="F384" s="125" t="s">
        <v>1953</v>
      </c>
      <c r="G384" s="67" t="s">
        <v>2050</v>
      </c>
    </row>
    <row r="385" spans="1:7" ht="25.9" customHeight="1">
      <c r="A385" s="65">
        <v>382</v>
      </c>
      <c r="B385" s="149" t="s">
        <v>157</v>
      </c>
      <c r="C385" s="149" t="s">
        <v>1420</v>
      </c>
      <c r="D385" s="121" t="str">
        <f t="shared" si="5"/>
        <v>Autodéclaration/attestation</v>
      </c>
      <c r="E385" s="66" t="s">
        <v>50</v>
      </c>
      <c r="F385" s="125" t="s">
        <v>1954</v>
      </c>
      <c r="G385" s="67" t="s">
        <v>2051</v>
      </c>
    </row>
    <row r="386" spans="1:7" ht="25.9" customHeight="1">
      <c r="A386" s="65">
        <v>383</v>
      </c>
      <c r="B386" s="149" t="s">
        <v>157</v>
      </c>
      <c r="C386" s="149" t="s">
        <v>1723</v>
      </c>
      <c r="D386" s="121" t="str">
        <f t="shared" si="5"/>
        <v xml:space="preserve">Exigence remplie?    </v>
      </c>
      <c r="E386" s="66" t="s">
        <v>2604</v>
      </c>
      <c r="F386" s="125" t="s">
        <v>2602</v>
      </c>
      <c r="G386" s="67" t="s">
        <v>2603</v>
      </c>
    </row>
    <row r="387" spans="1:7" ht="25.9" customHeight="1">
      <c r="A387" s="65">
        <v>384</v>
      </c>
      <c r="B387" s="149" t="s">
        <v>157</v>
      </c>
      <c r="C387" s="149" t="s">
        <v>1419</v>
      </c>
      <c r="D387" s="121" t="str">
        <f t="shared" si="5"/>
        <v>Exigence</v>
      </c>
      <c r="E387" s="66" t="s">
        <v>244</v>
      </c>
      <c r="F387" s="125" t="s">
        <v>1955</v>
      </c>
      <c r="G387" s="67" t="s">
        <v>2052</v>
      </c>
    </row>
    <row r="388" spans="1:7" ht="25.9" customHeight="1">
      <c r="A388" s="65">
        <v>385</v>
      </c>
      <c r="B388" s="149" t="s">
        <v>157</v>
      </c>
      <c r="C388" s="149" t="s">
        <v>1418</v>
      </c>
      <c r="D388" s="121" t="str">
        <f t="shared" si="5"/>
        <v>Valeur objet</v>
      </c>
      <c r="E388" s="66" t="s">
        <v>99</v>
      </c>
      <c r="F388" s="125" t="s">
        <v>1956</v>
      </c>
      <c r="G388" s="67" t="s">
        <v>2053</v>
      </c>
    </row>
    <row r="389" spans="1:7" ht="25.9" customHeight="1">
      <c r="A389" s="65">
        <v>386</v>
      </c>
      <c r="B389" s="149" t="s">
        <v>319</v>
      </c>
      <c r="C389" s="149" t="s">
        <v>1375</v>
      </c>
      <c r="D389" s="121" t="str">
        <f t="shared" ref="D389:D452" si="6">INDEX($E$4:$G$503,$A389,$A$1)</f>
        <v>Etanchéité de la surface de l'enveloppe</v>
      </c>
      <c r="E389" s="66" t="s">
        <v>2316</v>
      </c>
      <c r="F389" s="125" t="s">
        <v>2317</v>
      </c>
      <c r="G389" s="67" t="s">
        <v>2318</v>
      </c>
    </row>
    <row r="390" spans="1:7" ht="25.9" customHeight="1">
      <c r="A390" s="65">
        <v>387</v>
      </c>
      <c r="B390" s="149" t="s">
        <v>319</v>
      </c>
      <c r="C390" s="149" t="s">
        <v>1376</v>
      </c>
      <c r="D390" s="121" t="str">
        <f t="shared" si="6"/>
        <v>Etanchéité de la surface de l'enveloppe, rénovation</v>
      </c>
      <c r="E390" s="66" t="s">
        <v>2172</v>
      </c>
      <c r="F390" s="125" t="s">
        <v>1957</v>
      </c>
      <c r="G390" s="67" t="s">
        <v>2054</v>
      </c>
    </row>
    <row r="391" spans="1:7" ht="25.9" customHeight="1">
      <c r="A391" s="65">
        <v>388</v>
      </c>
      <c r="B391" s="149" t="s">
        <v>157</v>
      </c>
      <c r="C391" s="149" t="s">
        <v>438</v>
      </c>
      <c r="D391" s="121" t="str">
        <f t="shared" si="6"/>
        <v>Appareils efficaces Electricité générale</v>
      </c>
      <c r="E391" s="66" t="s">
        <v>2485</v>
      </c>
      <c r="F391" s="125" t="s">
        <v>2183</v>
      </c>
      <c r="G391" s="67" t="s">
        <v>2181</v>
      </c>
    </row>
    <row r="392" spans="1:7" ht="25.9" customHeight="1">
      <c r="A392" s="65">
        <v>389</v>
      </c>
      <c r="B392" s="149" t="s">
        <v>319</v>
      </c>
      <c r="C392" s="149" t="s">
        <v>1377</v>
      </c>
      <c r="D392" s="121" t="str">
        <f t="shared" si="6"/>
        <v>Eau chaude</v>
      </c>
      <c r="E392" s="66" t="s">
        <v>134</v>
      </c>
      <c r="F392" s="125" t="s">
        <v>1231</v>
      </c>
      <c r="G392" s="67" t="s">
        <v>2055</v>
      </c>
    </row>
    <row r="393" spans="1:7" ht="25.9" customHeight="1">
      <c r="A393" s="65">
        <v>390</v>
      </c>
      <c r="B393" s="149" t="s">
        <v>319</v>
      </c>
      <c r="C393" s="149" t="s">
        <v>1378</v>
      </c>
      <c r="D393" s="121" t="str">
        <f t="shared" si="6"/>
        <v>Rejets thermiques issus de froid industriel</v>
      </c>
      <c r="E393" s="66" t="s">
        <v>109</v>
      </c>
      <c r="F393" s="125" t="s">
        <v>1958</v>
      </c>
      <c r="G393" s="67" t="s">
        <v>2056</v>
      </c>
    </row>
    <row r="394" spans="1:7" ht="25.9" customHeight="1">
      <c r="A394" s="65">
        <v>391</v>
      </c>
      <c r="B394" s="149" t="s">
        <v>319</v>
      </c>
      <c r="C394" s="149" t="s">
        <v>1379</v>
      </c>
      <c r="D394" s="121" t="str">
        <f t="shared" si="6"/>
        <v>Rejets thermiques</v>
      </c>
      <c r="E394" s="66" t="s">
        <v>15</v>
      </c>
      <c r="F394" s="125" t="s">
        <v>1959</v>
      </c>
      <c r="G394" s="67" t="s">
        <v>2057</v>
      </c>
    </row>
    <row r="395" spans="1:7" ht="25.9" customHeight="1">
      <c r="A395" s="65">
        <v>392</v>
      </c>
      <c r="B395" s="149" t="s">
        <v>319</v>
      </c>
      <c r="C395" s="149" t="s">
        <v>1381</v>
      </c>
      <c r="D395" s="121" t="str">
        <f t="shared" si="6"/>
        <v>Utilisation des rejets thermiques</v>
      </c>
      <c r="E395" s="66" t="s">
        <v>1380</v>
      </c>
      <c r="F395" s="125" t="s">
        <v>1960</v>
      </c>
      <c r="G395" s="67" t="s">
        <v>2058</v>
      </c>
    </row>
    <row r="396" spans="1:7" ht="25.9" customHeight="1">
      <c r="A396" s="65">
        <v>393</v>
      </c>
      <c r="B396" s="149" t="s">
        <v>319</v>
      </c>
      <c r="C396" s="149" t="s">
        <v>1382</v>
      </c>
      <c r="D396" s="121" t="str">
        <f t="shared" si="6"/>
        <v>Exploitation optimisée piscine couverte</v>
      </c>
      <c r="E396" s="66" t="s">
        <v>100</v>
      </c>
      <c r="F396" s="125" t="s">
        <v>1961</v>
      </c>
      <c r="G396" s="67" t="s">
        <v>2059</v>
      </c>
    </row>
    <row r="397" spans="1:7" ht="25.9" customHeight="1">
      <c r="A397" s="65">
        <v>394</v>
      </c>
      <c r="B397" s="149" t="s">
        <v>319</v>
      </c>
      <c r="C397" s="149" t="s">
        <v>1378</v>
      </c>
      <c r="D397" s="121" t="str">
        <f t="shared" si="6"/>
        <v>Recours aux énergies renouvelables</v>
      </c>
      <c r="E397" s="66" t="s">
        <v>1510</v>
      </c>
      <c r="F397" s="125" t="s">
        <v>1962</v>
      </c>
      <c r="G397" s="67" t="s">
        <v>2060</v>
      </c>
    </row>
    <row r="398" spans="1:7" ht="25.9" customHeight="1">
      <c r="A398" s="65">
        <v>395</v>
      </c>
      <c r="B398" s="149" t="s">
        <v>319</v>
      </c>
      <c r="C398" s="149" t="s">
        <v>1509</v>
      </c>
      <c r="D398" s="121" t="str">
        <f t="shared" si="6"/>
        <v>Production de rejets thermiques?</v>
      </c>
      <c r="E398" s="66" t="s">
        <v>14</v>
      </c>
      <c r="F398" s="125" t="s">
        <v>1963</v>
      </c>
      <c r="G398" s="67" t="s">
        <v>2061</v>
      </c>
    </row>
    <row r="399" spans="1:7" ht="25.9" customHeight="1">
      <c r="A399" s="65">
        <v>396</v>
      </c>
      <c r="B399" s="149" t="s">
        <v>319</v>
      </c>
      <c r="C399" s="149" t="s">
        <v>1383</v>
      </c>
      <c r="D399" s="121" t="str">
        <f t="shared" si="6"/>
        <v>Recours à 20% d'énergies renouvelables?</v>
      </c>
      <c r="E399" s="66" t="s">
        <v>1497</v>
      </c>
      <c r="F399" s="125" t="s">
        <v>1964</v>
      </c>
      <c r="G399" s="67" t="s">
        <v>2062</v>
      </c>
    </row>
    <row r="400" spans="1:7" ht="25.9" customHeight="1">
      <c r="A400" s="65">
        <v>397</v>
      </c>
      <c r="B400" s="149" t="s">
        <v>319</v>
      </c>
      <c r="C400" s="149" t="s">
        <v>1384</v>
      </c>
      <c r="D400" s="121" t="str">
        <f t="shared" si="6"/>
        <v>Etanchéité qa,50 &lt; 1,2 m3/(h*m2)</v>
      </c>
      <c r="E400" s="66" t="s">
        <v>2173</v>
      </c>
      <c r="F400" s="125" t="s">
        <v>1965</v>
      </c>
      <c r="G400" s="67" t="s">
        <v>2063</v>
      </c>
    </row>
    <row r="401" spans="1:7" ht="25.9" customHeight="1">
      <c r="A401" s="65">
        <v>398</v>
      </c>
      <c r="B401" s="149" t="s">
        <v>319</v>
      </c>
      <c r="C401" s="149" t="s">
        <v>1384</v>
      </c>
      <c r="D401" s="121" t="str">
        <f t="shared" si="6"/>
        <v>Etanchéité qa,50 &lt; 0,8 m3/(h*m2)</v>
      </c>
      <c r="E401" s="66" t="s">
        <v>2174</v>
      </c>
      <c r="F401" s="125" t="s">
        <v>1966</v>
      </c>
      <c r="G401" s="67" t="s">
        <v>2064</v>
      </c>
    </row>
    <row r="402" spans="1:7" ht="25.9" customHeight="1">
      <c r="A402" s="65">
        <v>399</v>
      </c>
      <c r="B402" s="149" t="s">
        <v>319</v>
      </c>
      <c r="C402" s="149" t="s">
        <v>1386</v>
      </c>
      <c r="D402" s="121" t="str">
        <f t="shared" si="6"/>
        <v>Les rejets thermiques sont-ils utilisés?</v>
      </c>
      <c r="E402" s="66" t="s">
        <v>1385</v>
      </c>
      <c r="F402" s="125" t="s">
        <v>1967</v>
      </c>
      <c r="G402" s="67" t="s">
        <v>2065</v>
      </c>
    </row>
    <row r="403" spans="1:7" ht="25.9" customHeight="1">
      <c r="A403" s="65">
        <v>400</v>
      </c>
      <c r="B403" s="149" t="s">
        <v>319</v>
      </c>
      <c r="C403" s="149" t="s">
        <v>1387</v>
      </c>
      <c r="D403" s="121" t="str">
        <f t="shared" si="6"/>
        <v>RC avec PAC sur ventilation, RC des eaux de piscine</v>
      </c>
      <c r="E403" s="66" t="s">
        <v>258</v>
      </c>
      <c r="F403" s="125" t="s">
        <v>1968</v>
      </c>
      <c r="G403" s="67" t="s">
        <v>2066</v>
      </c>
    </row>
    <row r="404" spans="1:7" ht="25.9" customHeight="1">
      <c r="A404" s="65">
        <v>401</v>
      </c>
      <c r="B404" s="149" t="s">
        <v>319</v>
      </c>
      <c r="C404" s="149" t="s">
        <v>614</v>
      </c>
      <c r="D404" s="121" t="str">
        <f t="shared" si="6"/>
        <v>Etanchéité qa,50 &lt; 1,6 m3/(h*m2)</v>
      </c>
      <c r="E404" s="66" t="s">
        <v>2175</v>
      </c>
      <c r="F404" s="125" t="s">
        <v>1969</v>
      </c>
      <c r="G404" s="67" t="s">
        <v>2067</v>
      </c>
    </row>
    <row r="405" spans="1:7" ht="25.9" customHeight="1">
      <c r="A405" s="65">
        <v>402</v>
      </c>
      <c r="B405" s="149" t="s">
        <v>319</v>
      </c>
      <c r="C405" s="149" t="s">
        <v>1508</v>
      </c>
      <c r="D405" s="121" t="str">
        <f t="shared" si="6"/>
        <v>Pics de charge couverts avec max. 30% d'énergies fossiles?</v>
      </c>
      <c r="E405" s="66" t="s">
        <v>1511</v>
      </c>
      <c r="F405" s="125" t="s">
        <v>1970</v>
      </c>
      <c r="G405" s="67" t="s">
        <v>2068</v>
      </c>
    </row>
    <row r="406" spans="1:7" ht="25.9" customHeight="1">
      <c r="A406" s="65">
        <v>403</v>
      </c>
      <c r="B406" s="149" t="s">
        <v>319</v>
      </c>
      <c r="C406" s="149" t="s">
        <v>1384</v>
      </c>
      <c r="D406" s="121" t="str">
        <f t="shared" si="6"/>
        <v>Concept d'étanchéité annexé?</v>
      </c>
      <c r="E406" s="66" t="s">
        <v>2607</v>
      </c>
      <c r="F406" s="125" t="s">
        <v>2605</v>
      </c>
      <c r="G406" s="67" t="s">
        <v>2606</v>
      </c>
    </row>
    <row r="407" spans="1:7" ht="25.9" customHeight="1">
      <c r="A407" s="65">
        <v>404</v>
      </c>
      <c r="B407" s="149" t="s">
        <v>157</v>
      </c>
      <c r="C407" s="149" t="s">
        <v>1372</v>
      </c>
      <c r="D407" s="121" t="str">
        <f t="shared" si="6"/>
        <v>Eclairage: valeur du projet SIA 380/4</v>
      </c>
      <c r="E407" s="66" t="s">
        <v>2486</v>
      </c>
      <c r="F407" s="125" t="s">
        <v>1971</v>
      </c>
      <c r="G407" s="67" t="s">
        <v>2069</v>
      </c>
    </row>
    <row r="408" spans="1:7" ht="25.9" customHeight="1">
      <c r="A408" s="65">
        <v>405</v>
      </c>
      <c r="B408" s="149" t="s">
        <v>157</v>
      </c>
      <c r="C408" s="149" t="s">
        <v>500</v>
      </c>
      <c r="D408" s="121" t="str">
        <f t="shared" si="6"/>
        <v>Eclairage: valeur cible SIA 380/4</v>
      </c>
      <c r="E408" s="66" t="s">
        <v>2487</v>
      </c>
      <c r="F408" s="125" t="s">
        <v>1972</v>
      </c>
      <c r="G408" s="67" t="s">
        <v>2070</v>
      </c>
    </row>
    <row r="409" spans="1:7" ht="25.9" customHeight="1">
      <c r="A409" s="65">
        <v>406</v>
      </c>
      <c r="B409" s="149" t="s">
        <v>157</v>
      </c>
      <c r="C409" s="149" t="s">
        <v>1417</v>
      </c>
      <c r="D409" s="121" t="str">
        <f t="shared" si="6"/>
        <v>Exigence éclairage respectée?</v>
      </c>
      <c r="E409" s="66" t="s">
        <v>1389</v>
      </c>
      <c r="F409" s="125" t="s">
        <v>1973</v>
      </c>
      <c r="G409" s="67" t="s">
        <v>2071</v>
      </c>
    </row>
    <row r="410" spans="1:7" ht="25.9" customHeight="1">
      <c r="A410" s="65">
        <v>407</v>
      </c>
      <c r="B410" s="149" t="s">
        <v>157</v>
      </c>
      <c r="C410" s="149" t="s">
        <v>246</v>
      </c>
      <c r="D410" s="121" t="str">
        <f t="shared" si="6"/>
        <v>Nombre d’unités d’habitation</v>
      </c>
      <c r="E410" s="66" t="s">
        <v>1896</v>
      </c>
      <c r="F410" s="125" t="s">
        <v>2184</v>
      </c>
      <c r="G410" s="67" t="s">
        <v>2180</v>
      </c>
    </row>
    <row r="411" spans="1:7" ht="25.9" customHeight="1">
      <c r="A411" s="65">
        <v>408</v>
      </c>
      <c r="B411" s="149" t="s">
        <v>157</v>
      </c>
      <c r="C411" s="149" t="s">
        <v>1344</v>
      </c>
      <c r="D411" s="121" t="str">
        <f t="shared" si="6"/>
        <v xml:space="preserve"> - Longueur des bandes de chauffage</v>
      </c>
      <c r="E411" s="75" t="s">
        <v>1410</v>
      </c>
      <c r="F411" s="125" t="s">
        <v>1974</v>
      </c>
      <c r="G411" s="492" t="s">
        <v>2089</v>
      </c>
    </row>
    <row r="412" spans="1:7" ht="25.9" customHeight="1">
      <c r="A412" s="65">
        <v>409</v>
      </c>
      <c r="B412" s="149" t="s">
        <v>157</v>
      </c>
      <c r="C412" s="149" t="s">
        <v>445</v>
      </c>
      <c r="D412" s="121" t="str">
        <f t="shared" si="6"/>
        <v>Eclairage: rénovation complète?</v>
      </c>
      <c r="E412" s="66" t="s">
        <v>1416</v>
      </c>
      <c r="F412" s="125" t="s">
        <v>1975</v>
      </c>
      <c r="G412" s="67" t="s">
        <v>2072</v>
      </c>
    </row>
    <row r="413" spans="1:7" ht="25.9" customHeight="1">
      <c r="A413" s="65">
        <v>410</v>
      </c>
      <c r="B413" s="149" t="s">
        <v>157</v>
      </c>
      <c r="C413" s="149" t="s">
        <v>1721</v>
      </c>
      <c r="D413" s="121" t="str">
        <f t="shared" si="6"/>
        <v>Apport annuel spécifique [kWh/kWp]</v>
      </c>
      <c r="E413" s="66" t="s">
        <v>2325</v>
      </c>
      <c r="F413" s="531" t="s">
        <v>2760</v>
      </c>
      <c r="G413" s="688" t="s">
        <v>2761</v>
      </c>
    </row>
    <row r="414" spans="1:7" ht="25.9" customHeight="1">
      <c r="A414" s="65">
        <v>411</v>
      </c>
      <c r="B414" s="149" t="s">
        <v>157</v>
      </c>
      <c r="C414" s="149" t="s">
        <v>509</v>
      </c>
      <c r="D414" s="121" t="str">
        <f t="shared" si="6"/>
        <v>Puissance installée spécifique, par m2 SRE:</v>
      </c>
      <c r="E414" s="66" t="s">
        <v>1439</v>
      </c>
      <c r="F414" s="125" t="s">
        <v>1976</v>
      </c>
      <c r="G414" s="67" t="s">
        <v>2073</v>
      </c>
    </row>
    <row r="415" spans="1:7" ht="25.9" customHeight="1">
      <c r="A415" s="65">
        <v>412</v>
      </c>
      <c r="B415" s="149" t="s">
        <v>319</v>
      </c>
      <c r="C415" s="149" t="s">
        <v>1388</v>
      </c>
      <c r="D415" s="121" t="str">
        <f t="shared" si="6"/>
        <v>Interventions importantes sur installations techniques?</v>
      </c>
      <c r="E415" s="66" t="s">
        <v>1515</v>
      </c>
      <c r="F415" s="125" t="s">
        <v>1977</v>
      </c>
      <c r="G415" s="67" t="s">
        <v>2074</v>
      </c>
    </row>
    <row r="416" spans="1:7" ht="25.9" customHeight="1">
      <c r="A416" s="65">
        <v>413</v>
      </c>
      <c r="B416" s="149" t="s">
        <v>319</v>
      </c>
      <c r="C416" s="149" t="s">
        <v>1514</v>
      </c>
      <c r="D416" s="121" t="str">
        <f t="shared" si="6"/>
        <v>Concept de monitoring</v>
      </c>
      <c r="E416" s="66" t="s">
        <v>1512</v>
      </c>
      <c r="F416" s="125" t="s">
        <v>1978</v>
      </c>
      <c r="G416" s="67" t="s">
        <v>2075</v>
      </c>
    </row>
    <row r="417" spans="1:7" ht="25.9" customHeight="1">
      <c r="A417" s="65">
        <v>414</v>
      </c>
      <c r="B417" s="149" t="s">
        <v>319</v>
      </c>
      <c r="C417" s="149" t="s">
        <v>1517</v>
      </c>
      <c r="D417" s="121" t="str">
        <f t="shared" si="6"/>
        <v>Concept de monitoring annexé?</v>
      </c>
      <c r="E417" s="66" t="s">
        <v>1518</v>
      </c>
      <c r="F417" s="125" t="s">
        <v>1979</v>
      </c>
      <c r="G417" s="67" t="s">
        <v>2076</v>
      </c>
    </row>
    <row r="418" spans="1:7" ht="25.9" customHeight="1">
      <c r="A418" s="65">
        <v>415</v>
      </c>
      <c r="B418" s="149" t="s">
        <v>1374</v>
      </c>
      <c r="C418" s="149" t="s">
        <v>1344</v>
      </c>
      <c r="D418" s="121" t="str">
        <f t="shared" si="6"/>
        <v>Projet</v>
      </c>
      <c r="E418" s="66" t="s">
        <v>1461</v>
      </c>
      <c r="F418" s="125" t="s">
        <v>1980</v>
      </c>
      <c r="G418" s="67" t="s">
        <v>2077</v>
      </c>
    </row>
    <row r="419" spans="1:7" ht="25.9" customHeight="1">
      <c r="A419" s="65">
        <v>416</v>
      </c>
      <c r="B419" s="149" t="s">
        <v>1374</v>
      </c>
      <c r="C419" s="149" t="s">
        <v>414</v>
      </c>
      <c r="D419" s="121" t="str">
        <f t="shared" si="6"/>
        <v>Instructions</v>
      </c>
      <c r="E419" s="66" t="s">
        <v>1452</v>
      </c>
      <c r="F419" s="125" t="s">
        <v>1981</v>
      </c>
      <c r="G419" s="67" t="s">
        <v>2078</v>
      </c>
    </row>
    <row r="420" spans="1:7" ht="45" customHeight="1">
      <c r="A420" s="65">
        <v>417</v>
      </c>
      <c r="B420" s="149" t="s">
        <v>1374</v>
      </c>
      <c r="C420" s="149" t="s">
        <v>1464</v>
      </c>
      <c r="D420" s="121" t="str">
        <f t="shared" si="6"/>
        <v>Le présent formulaire sert à la justification des labels Minergie, Minergie-P et Minergie-A. Le label correspondant peut être</v>
      </c>
      <c r="E420" s="66" t="s">
        <v>1453</v>
      </c>
      <c r="F420" s="125" t="s">
        <v>2515</v>
      </c>
      <c r="G420" s="67" t="s">
        <v>2519</v>
      </c>
    </row>
    <row r="421" spans="1:7" ht="42" customHeight="1">
      <c r="A421" s="65">
        <v>418</v>
      </c>
      <c r="B421" s="149" t="s">
        <v>1374</v>
      </c>
      <c r="C421" s="149" t="s">
        <v>1340</v>
      </c>
      <c r="D421" s="121" t="str">
        <f t="shared" si="6"/>
        <v>sélectionné dans la feuille "Entrées". Une fois le justificatif rempli, il doit être téléchargé sur la plateforme Minergie online (MOP).</v>
      </c>
      <c r="E421" s="66" t="s">
        <v>1454</v>
      </c>
      <c r="F421" s="125" t="s">
        <v>2514</v>
      </c>
      <c r="G421" s="67" t="s">
        <v>2520</v>
      </c>
    </row>
    <row r="422" spans="1:7" ht="42.75" customHeight="1">
      <c r="A422" s="65">
        <v>419</v>
      </c>
      <c r="B422" s="149" t="s">
        <v>1374</v>
      </c>
      <c r="C422" s="149" t="s">
        <v>614</v>
      </c>
      <c r="D422" s="121" t="str">
        <f t="shared" si="6"/>
        <v>Après transmission sur MOP, le formulaire de demande est généré automatiquement. La demande signée, le présent formulaire</v>
      </c>
      <c r="E422" s="66" t="s">
        <v>1455</v>
      </c>
      <c r="F422" s="125" t="s">
        <v>2516</v>
      </c>
      <c r="G422" s="67" t="s">
        <v>2522</v>
      </c>
    </row>
    <row r="423" spans="1:7" ht="45" customHeight="1">
      <c r="A423" s="65">
        <v>420</v>
      </c>
      <c r="B423" s="149" t="s">
        <v>1374</v>
      </c>
      <c r="C423" s="149" t="s">
        <v>1341</v>
      </c>
      <c r="D423" s="121" t="str">
        <f t="shared" si="6"/>
        <v>justificatif et tous les éventuels documents notifiés sur la demande doivent être envoyés au format papier à l'office de certification</v>
      </c>
      <c r="E423" s="66" t="s">
        <v>1456</v>
      </c>
      <c r="F423" s="125" t="s">
        <v>2517</v>
      </c>
      <c r="G423" s="67" t="s">
        <v>2521</v>
      </c>
    </row>
    <row r="424" spans="1:7" ht="36" customHeight="1">
      <c r="A424" s="65">
        <v>421</v>
      </c>
      <c r="B424" s="149" t="s">
        <v>1374</v>
      </c>
      <c r="C424" s="149" t="s">
        <v>415</v>
      </c>
      <c r="D424" s="121" t="str">
        <f t="shared" si="6"/>
        <v>compétent. Observer le code couleur suivant pour remplir le formulaire justificatif:</v>
      </c>
      <c r="E424" s="66" t="s">
        <v>1457</v>
      </c>
      <c r="F424" s="125" t="s">
        <v>2518</v>
      </c>
      <c r="G424" s="67" t="s">
        <v>2079</v>
      </c>
    </row>
    <row r="425" spans="1:7" ht="25.9" customHeight="1">
      <c r="A425" s="65">
        <v>422</v>
      </c>
      <c r="B425" s="149" t="s">
        <v>1374</v>
      </c>
      <c r="C425" s="149" t="s">
        <v>420</v>
      </c>
      <c r="D425" s="121" t="str">
        <f t="shared" si="6"/>
        <v>Champ de saisie (obligatoire)</v>
      </c>
      <c r="E425" s="66" t="s">
        <v>1458</v>
      </c>
      <c r="F425" s="125" t="s">
        <v>1982</v>
      </c>
      <c r="G425" s="67" t="s">
        <v>2080</v>
      </c>
    </row>
    <row r="426" spans="1:7" ht="25.9" customHeight="1">
      <c r="A426" s="65">
        <v>423</v>
      </c>
      <c r="B426" s="149" t="s">
        <v>1374</v>
      </c>
      <c r="C426" s="149" t="s">
        <v>1465</v>
      </c>
      <c r="D426" s="121" t="str">
        <f t="shared" si="6"/>
        <v>Champ de saisie (facultatif)</v>
      </c>
      <c r="E426" s="66" t="s">
        <v>1459</v>
      </c>
      <c r="F426" s="125" t="s">
        <v>1983</v>
      </c>
      <c r="G426" s="67" t="s">
        <v>2081</v>
      </c>
    </row>
    <row r="427" spans="1:7" ht="25.9" customHeight="1">
      <c r="A427" s="65">
        <v>424</v>
      </c>
      <c r="B427" s="149" t="s">
        <v>1374</v>
      </c>
      <c r="C427" s="149" t="s">
        <v>1466</v>
      </c>
      <c r="D427" s="121" t="str">
        <f t="shared" si="6"/>
        <v>Liste déroulante (obligatoire)</v>
      </c>
      <c r="E427" s="66" t="s">
        <v>1460</v>
      </c>
      <c r="F427" s="125" t="s">
        <v>1984</v>
      </c>
      <c r="G427" s="67" t="s">
        <v>2082</v>
      </c>
    </row>
    <row r="428" spans="1:7" ht="25.9" customHeight="1">
      <c r="A428" s="65">
        <v>425</v>
      </c>
      <c r="B428" s="149" t="s">
        <v>1374</v>
      </c>
      <c r="C428" s="149" t="s">
        <v>432</v>
      </c>
      <c r="D428" s="121" t="str">
        <f t="shared" si="6"/>
        <v>Satisfaction de l'exigence principale</v>
      </c>
      <c r="E428" s="66" t="s">
        <v>1462</v>
      </c>
      <c r="F428" s="125" t="s">
        <v>1985</v>
      </c>
      <c r="G428" s="67" t="s">
        <v>2083</v>
      </c>
    </row>
    <row r="429" spans="1:7" ht="25.9" customHeight="1">
      <c r="A429" s="65">
        <v>426</v>
      </c>
      <c r="B429" s="149" t="s">
        <v>1374</v>
      </c>
      <c r="C429" s="149" t="s">
        <v>64</v>
      </c>
      <c r="D429" s="121" t="str">
        <f t="shared" si="6"/>
        <v>Satisfaction des exigences de base</v>
      </c>
      <c r="E429" s="66" t="s">
        <v>1892</v>
      </c>
      <c r="F429" s="125" t="s">
        <v>1986</v>
      </c>
      <c r="G429" s="67" t="s">
        <v>2084</v>
      </c>
    </row>
    <row r="430" spans="1:7" ht="25.9" customHeight="1">
      <c r="A430" s="65">
        <v>427</v>
      </c>
      <c r="B430" s="149" t="s">
        <v>1374</v>
      </c>
      <c r="C430" s="149" t="s">
        <v>434</v>
      </c>
      <c r="D430" s="121" t="str">
        <f t="shared" si="6"/>
        <v>Indice Minergie en kWh/m2</v>
      </c>
      <c r="E430" s="66" t="s">
        <v>1463</v>
      </c>
      <c r="F430" s="125" t="s">
        <v>1987</v>
      </c>
      <c r="G430" s="67" t="s">
        <v>2085</v>
      </c>
    </row>
    <row r="431" spans="1:7" ht="25.9" customHeight="1">
      <c r="A431" s="65">
        <v>428</v>
      </c>
      <c r="B431" s="149" t="s">
        <v>1374</v>
      </c>
      <c r="C431" s="149" t="s">
        <v>250</v>
      </c>
      <c r="D431" s="121" t="str">
        <f t="shared" si="6"/>
        <v>Indice Minergie en CO2/m2</v>
      </c>
      <c r="E431" s="66" t="s">
        <v>1886</v>
      </c>
      <c r="F431" s="125" t="s">
        <v>1988</v>
      </c>
      <c r="G431" s="67" t="s">
        <v>2086</v>
      </c>
    </row>
    <row r="432" spans="1:7" ht="25.9" customHeight="1">
      <c r="A432" s="65">
        <v>429</v>
      </c>
      <c r="B432" s="149" t="s">
        <v>1374</v>
      </c>
      <c r="C432" s="149" t="s">
        <v>214</v>
      </c>
      <c r="D432" s="121" t="str">
        <f t="shared" si="6"/>
        <v>Besoins de chaleur en kWh/m²</v>
      </c>
      <c r="E432" s="66" t="s">
        <v>2488</v>
      </c>
      <c r="F432" s="125" t="s">
        <v>2489</v>
      </c>
      <c r="G432" s="67" t="s">
        <v>2087</v>
      </c>
    </row>
    <row r="433" spans="1:7" ht="25.9" customHeight="1">
      <c r="A433" s="65">
        <v>430</v>
      </c>
      <c r="B433" s="149" t="s">
        <v>1374</v>
      </c>
      <c r="C433" s="149" t="s">
        <v>195</v>
      </c>
      <c r="D433" s="121" t="str">
        <f t="shared" si="6"/>
        <v>Energie finale sans photovoltaïque en kWh/m²</v>
      </c>
      <c r="E433" s="66" t="s">
        <v>2490</v>
      </c>
      <c r="F433" s="125" t="s">
        <v>2491</v>
      </c>
      <c r="G433" s="67" t="s">
        <v>2088</v>
      </c>
    </row>
    <row r="434" spans="1:7" ht="25.9" customHeight="1">
      <c r="A434" s="65">
        <v>431</v>
      </c>
      <c r="B434" s="149" t="s">
        <v>1374</v>
      </c>
      <c r="C434" s="149" t="s">
        <v>237</v>
      </c>
      <c r="D434" s="121" t="str">
        <f t="shared" si="6"/>
        <v>Valeur limite Minergie pour l'éclairage en kWh/m²</v>
      </c>
      <c r="E434" s="66" t="s">
        <v>2492</v>
      </c>
      <c r="F434" s="125" t="s">
        <v>2493</v>
      </c>
      <c r="G434" s="67" t="s">
        <v>2090</v>
      </c>
    </row>
    <row r="435" spans="1:7" ht="25.9" customHeight="1">
      <c r="A435" s="65">
        <v>432</v>
      </c>
      <c r="B435" s="149" t="s">
        <v>1374</v>
      </c>
      <c r="C435" s="149" t="s">
        <v>438</v>
      </c>
      <c r="D435" s="121" t="str">
        <f t="shared" si="6"/>
        <v>Visualisation de l'indice Minergie</v>
      </c>
      <c r="E435" s="66" t="s">
        <v>2494</v>
      </c>
      <c r="F435" s="125" t="s">
        <v>1989</v>
      </c>
      <c r="G435" s="67" t="s">
        <v>2091</v>
      </c>
    </row>
    <row r="436" spans="1:7" ht="25.9" customHeight="1">
      <c r="A436" s="65">
        <v>433</v>
      </c>
      <c r="B436" s="149" t="s">
        <v>1374</v>
      </c>
      <c r="C436" s="149" t="s">
        <v>1471</v>
      </c>
      <c r="D436" s="121" t="str">
        <f t="shared" si="6"/>
        <v>Chauffage</v>
      </c>
      <c r="E436" s="66" t="s">
        <v>133</v>
      </c>
      <c r="F436" s="125" t="s">
        <v>1230</v>
      </c>
      <c r="G436" s="67" t="s">
        <v>2092</v>
      </c>
    </row>
    <row r="437" spans="1:7" ht="25.9" customHeight="1">
      <c r="A437" s="65">
        <v>434</v>
      </c>
      <c r="B437" s="149" t="s">
        <v>1374</v>
      </c>
      <c r="C437" s="149" t="s">
        <v>1472</v>
      </c>
      <c r="D437" s="121" t="str">
        <f t="shared" si="6"/>
        <v>Eau chaude</v>
      </c>
      <c r="E437" s="66" t="s">
        <v>134</v>
      </c>
      <c r="F437" s="125" t="s">
        <v>1231</v>
      </c>
      <c r="G437" s="67" t="s">
        <v>2055</v>
      </c>
    </row>
    <row r="438" spans="1:7" ht="25.9" customHeight="1">
      <c r="A438" s="65">
        <v>435</v>
      </c>
      <c r="B438" s="149" t="s">
        <v>1374</v>
      </c>
      <c r="C438" s="149" t="s">
        <v>1474</v>
      </c>
      <c r="D438" s="121" t="str">
        <f t="shared" si="6"/>
        <v>Eclairage</v>
      </c>
      <c r="E438" s="66" t="s">
        <v>340</v>
      </c>
      <c r="F438" s="125" t="s">
        <v>1990</v>
      </c>
      <c r="G438" s="67" t="s">
        <v>2093</v>
      </c>
    </row>
    <row r="439" spans="1:7" ht="25.9" customHeight="1">
      <c r="A439" s="65">
        <v>436</v>
      </c>
      <c r="B439" s="149" t="s">
        <v>1374</v>
      </c>
      <c r="C439" s="149" t="s">
        <v>1475</v>
      </c>
      <c r="D439" s="121" t="str">
        <f t="shared" si="6"/>
        <v>Appareils</v>
      </c>
      <c r="E439" s="66" t="s">
        <v>1428</v>
      </c>
      <c r="F439" s="125" t="s">
        <v>1991</v>
      </c>
      <c r="G439" s="67" t="s">
        <v>2094</v>
      </c>
    </row>
    <row r="440" spans="1:7" ht="25.9" customHeight="1">
      <c r="A440" s="65">
        <v>437</v>
      </c>
      <c r="B440" s="149" t="s">
        <v>1374</v>
      </c>
      <c r="C440" s="149" t="s">
        <v>1481</v>
      </c>
      <c r="D440" s="121" t="str">
        <f t="shared" si="6"/>
        <v>Installations techn. du bâtiment</v>
      </c>
      <c r="E440" s="66" t="s">
        <v>1431</v>
      </c>
      <c r="F440" s="125" t="s">
        <v>2326</v>
      </c>
      <c r="G440" s="67" t="s">
        <v>2095</v>
      </c>
    </row>
    <row r="441" spans="1:7" ht="25.9" customHeight="1">
      <c r="A441" s="65">
        <v>438</v>
      </c>
      <c r="B441" s="149" t="s">
        <v>1374</v>
      </c>
      <c r="C441" s="149" t="s">
        <v>1477</v>
      </c>
      <c r="D441" s="121" t="str">
        <f t="shared" si="6"/>
        <v>Besoins d'énergie finale</v>
      </c>
      <c r="E441" s="66" t="s">
        <v>1476</v>
      </c>
      <c r="F441" s="125" t="s">
        <v>1992</v>
      </c>
      <c r="G441" s="67" t="s">
        <v>2096</v>
      </c>
    </row>
    <row r="442" spans="1:7" ht="25.9" customHeight="1">
      <c r="A442" s="65">
        <v>439</v>
      </c>
      <c r="B442" s="149" t="s">
        <v>1374</v>
      </c>
      <c r="C442" s="149" t="s">
        <v>1478</v>
      </c>
      <c r="D442" s="121" t="str">
        <f t="shared" si="6"/>
        <v>Indice Minergie</v>
      </c>
      <c r="E442" s="66" t="s">
        <v>2495</v>
      </c>
      <c r="F442" s="125" t="s">
        <v>2097</v>
      </c>
      <c r="G442" s="67" t="s">
        <v>2097</v>
      </c>
    </row>
    <row r="443" spans="1:7" ht="25.9" customHeight="1">
      <c r="A443" s="65">
        <v>440</v>
      </c>
      <c r="B443" s="149" t="s">
        <v>1374</v>
      </c>
      <c r="C443" s="149" t="s">
        <v>1473</v>
      </c>
      <c r="D443" s="121" t="str">
        <f t="shared" si="6"/>
        <v>Electricité d'habitation</v>
      </c>
      <c r="E443" s="66" t="s">
        <v>2741</v>
      </c>
      <c r="F443" s="531" t="s">
        <v>2742</v>
      </c>
      <c r="G443" s="688" t="s">
        <v>2743</v>
      </c>
    </row>
    <row r="444" spans="1:7" ht="25.9" customHeight="1">
      <c r="A444" s="65">
        <v>441</v>
      </c>
      <c r="B444" s="149" t="s">
        <v>1374</v>
      </c>
      <c r="C444" s="149" t="s">
        <v>1482</v>
      </c>
      <c r="D444" s="121" t="str">
        <f t="shared" si="6"/>
        <v>PV autoconsommation</v>
      </c>
      <c r="E444" s="66" t="s">
        <v>1492</v>
      </c>
      <c r="F444" s="125" t="s">
        <v>2327</v>
      </c>
      <c r="G444" s="67" t="s">
        <v>2098</v>
      </c>
    </row>
    <row r="445" spans="1:7" ht="25.9" customHeight="1">
      <c r="A445" s="65">
        <v>442</v>
      </c>
      <c r="B445" s="149" t="s">
        <v>1374</v>
      </c>
      <c r="C445" s="149" t="s">
        <v>1483</v>
      </c>
      <c r="D445" s="121" t="str">
        <f t="shared" si="6"/>
        <v>PV part injectée</v>
      </c>
      <c r="E445" s="66" t="s">
        <v>1493</v>
      </c>
      <c r="F445" s="125" t="s">
        <v>2328</v>
      </c>
      <c r="G445" s="67" t="s">
        <v>2099</v>
      </c>
    </row>
    <row r="446" spans="1:7" ht="25.9" customHeight="1">
      <c r="A446" s="65">
        <v>443</v>
      </c>
      <c r="B446" s="149" t="s">
        <v>1374</v>
      </c>
      <c r="C446" s="149" t="s">
        <v>1488</v>
      </c>
      <c r="D446" s="121" t="str">
        <f t="shared" si="6"/>
        <v>Besoins</v>
      </c>
      <c r="E446" s="66" t="s">
        <v>1487</v>
      </c>
      <c r="F446" s="125" t="s">
        <v>1993</v>
      </c>
      <c r="G446" s="67" t="s">
        <v>2100</v>
      </c>
    </row>
    <row r="447" spans="1:7" ht="25.9" customHeight="1">
      <c r="A447" s="65">
        <v>444</v>
      </c>
      <c r="B447" s="149" t="s">
        <v>1374</v>
      </c>
      <c r="C447" s="149" t="s">
        <v>1484</v>
      </c>
      <c r="D447" s="121" t="str">
        <f t="shared" si="6"/>
        <v>Potentiel d'optimisation</v>
      </c>
      <c r="E447" s="66" t="s">
        <v>1489</v>
      </c>
      <c r="F447" s="125" t="s">
        <v>1994</v>
      </c>
      <c r="G447" s="67" t="s">
        <v>2101</v>
      </c>
    </row>
    <row r="448" spans="1:7" ht="25.9" customHeight="1">
      <c r="A448" s="65">
        <v>445</v>
      </c>
      <c r="B448" s="149" t="s">
        <v>1374</v>
      </c>
      <c r="C448" s="149" t="s">
        <v>1485</v>
      </c>
      <c r="D448" s="121" t="str">
        <f t="shared" si="6"/>
        <v>Valeur limite Minergie</v>
      </c>
      <c r="E448" s="66" t="s">
        <v>2496</v>
      </c>
      <c r="F448" s="125" t="s">
        <v>2497</v>
      </c>
      <c r="G448" s="67" t="s">
        <v>2102</v>
      </c>
    </row>
    <row r="449" spans="1:7" ht="25.9" customHeight="1">
      <c r="A449" s="65">
        <v>446</v>
      </c>
      <c r="B449" s="149" t="s">
        <v>1374</v>
      </c>
      <c r="C449" s="149" t="s">
        <v>1490</v>
      </c>
      <c r="D449" s="121" t="str">
        <f t="shared" si="6"/>
        <v>Besoins</v>
      </c>
      <c r="E449" s="66" t="s">
        <v>1487</v>
      </c>
      <c r="F449" s="125" t="s">
        <v>1993</v>
      </c>
      <c r="G449" s="67" t="s">
        <v>2100</v>
      </c>
    </row>
    <row r="450" spans="1:7" ht="25.9" customHeight="1">
      <c r="A450" s="65">
        <v>447</v>
      </c>
      <c r="B450" s="149" t="s">
        <v>1374</v>
      </c>
      <c r="C450" s="149" t="s">
        <v>1491</v>
      </c>
      <c r="D450" s="121" t="str">
        <f t="shared" si="6"/>
        <v>Max. besoins autorisés</v>
      </c>
      <c r="E450" s="66" t="s">
        <v>2498</v>
      </c>
      <c r="F450" s="125" t="s">
        <v>1995</v>
      </c>
      <c r="G450" s="67" t="s">
        <v>2103</v>
      </c>
    </row>
    <row r="451" spans="1:7" ht="47.25" customHeight="1">
      <c r="A451" s="65">
        <v>448</v>
      </c>
      <c r="B451" s="149" t="s">
        <v>157</v>
      </c>
      <c r="C451" s="149" t="s">
        <v>508</v>
      </c>
      <c r="D451" s="121" t="str">
        <f t="shared" si="6"/>
        <v>Exigence Minergie-A: 
l'indice partiel éclairage, appareils et installations techniques générales est inférieur à l'autoproduction</v>
      </c>
      <c r="E451" s="66" t="s">
        <v>1899</v>
      </c>
      <c r="F451" s="125" t="s">
        <v>2185</v>
      </c>
      <c r="G451" s="67" t="s">
        <v>2178</v>
      </c>
    </row>
    <row r="452" spans="1:7" ht="25.9" customHeight="1">
      <c r="A452" s="65">
        <v>449</v>
      </c>
      <c r="B452" s="149" t="s">
        <v>157</v>
      </c>
      <c r="C452" s="149" t="s">
        <v>509</v>
      </c>
      <c r="D452" s="121" t="str">
        <f t="shared" si="6"/>
        <v>Taille minimale de l'installation d’autoproduction d’électricité:</v>
      </c>
      <c r="E452" s="66" t="s">
        <v>1895</v>
      </c>
      <c r="F452" s="125" t="s">
        <v>2186</v>
      </c>
      <c r="G452" s="67" t="s">
        <v>2179</v>
      </c>
    </row>
    <row r="453" spans="1:7" ht="42.75" customHeight="1">
      <c r="A453" s="65">
        <v>450</v>
      </c>
      <c r="B453" s="149" t="s">
        <v>157</v>
      </c>
      <c r="C453" s="149" t="s">
        <v>1495</v>
      </c>
      <c r="D453" s="121" t="str">
        <f t="shared" ref="D453:D503" si="7">INDEX($E$4:$G$503,$A453,$A$1)</f>
        <v>Valable pour les catégories "Restaurants", "Installations sportives" et "Piscines couvertes":
fournir 20% d'énergie à partir de sources renouvelables.</v>
      </c>
      <c r="E453" s="66" t="s">
        <v>1496</v>
      </c>
      <c r="F453" s="125" t="s">
        <v>1996</v>
      </c>
      <c r="G453" s="67" t="s">
        <v>2107</v>
      </c>
    </row>
    <row r="454" spans="1:7" ht="39.950000000000003" customHeight="1">
      <c r="A454" s="65">
        <v>451</v>
      </c>
      <c r="B454" s="149" t="s">
        <v>157</v>
      </c>
      <c r="C454" s="149" t="s">
        <v>1499</v>
      </c>
      <c r="D454" s="121" t="str">
        <f t="shared" si="7"/>
        <v>Valable pour la catégorie "Piscine couverte".</v>
      </c>
      <c r="E454" s="66" t="s">
        <v>1498</v>
      </c>
      <c r="F454" s="125" t="s">
        <v>1997</v>
      </c>
      <c r="G454" s="67" t="s">
        <v>2104</v>
      </c>
    </row>
    <row r="455" spans="1:7" ht="26.1" customHeight="1">
      <c r="A455" s="65">
        <v>452</v>
      </c>
      <c r="B455" s="149" t="s">
        <v>157</v>
      </c>
      <c r="C455" s="149" t="s">
        <v>510</v>
      </c>
      <c r="D455" s="121" t="str">
        <f t="shared" si="7"/>
        <v>Les besoins sont couverts par la production d’électricité:</v>
      </c>
      <c r="E455" s="66" t="s">
        <v>1900</v>
      </c>
      <c r="F455" s="125" t="s">
        <v>2187</v>
      </c>
      <c r="G455" s="67" t="s">
        <v>2188</v>
      </c>
    </row>
    <row r="456" spans="1:7" ht="25.9" customHeight="1">
      <c r="A456" s="65">
        <v>453</v>
      </c>
      <c r="B456" s="149" t="s">
        <v>157</v>
      </c>
      <c r="C456" s="149" t="s">
        <v>1725</v>
      </c>
      <c r="D456" s="121" t="str">
        <f t="shared" si="7"/>
        <v>Indice partiel
Besoins</v>
      </c>
      <c r="E456" s="66" t="s">
        <v>1724</v>
      </c>
      <c r="F456" s="125" t="s">
        <v>1998</v>
      </c>
      <c r="G456" s="67" t="s">
        <v>2108</v>
      </c>
    </row>
    <row r="457" spans="1:7" ht="25.9" customHeight="1">
      <c r="A457" s="65">
        <v>454</v>
      </c>
      <c r="B457" s="149" t="s">
        <v>157</v>
      </c>
      <c r="C457" s="149" t="s">
        <v>1726</v>
      </c>
      <c r="D457" s="121" t="str">
        <f t="shared" si="7"/>
        <v>Production PV
(pondérée)</v>
      </c>
      <c r="E457" s="66" t="s">
        <v>1898</v>
      </c>
      <c r="F457" s="125" t="s">
        <v>1999</v>
      </c>
      <c r="G457" s="67" t="s">
        <v>2109</v>
      </c>
    </row>
    <row r="458" spans="1:7" ht="25.9" customHeight="1">
      <c r="A458" s="65">
        <v>455</v>
      </c>
      <c r="B458" s="149" t="s">
        <v>1374</v>
      </c>
      <c r="C458" s="149" t="s">
        <v>1728</v>
      </c>
      <c r="D458" s="121" t="str">
        <f t="shared" si="7"/>
        <v>Exigence PV (pondérée)</v>
      </c>
      <c r="E458" s="66" t="s">
        <v>1727</v>
      </c>
      <c r="F458" s="125" t="s">
        <v>2000</v>
      </c>
      <c r="G458" s="67" t="s">
        <v>2105</v>
      </c>
    </row>
    <row r="459" spans="1:7" ht="25.9" customHeight="1">
      <c r="A459" s="65">
        <v>456</v>
      </c>
      <c r="B459" s="149" t="s">
        <v>1374</v>
      </c>
      <c r="C459" s="149" t="s">
        <v>1730</v>
      </c>
      <c r="D459" s="121" t="str">
        <f t="shared" si="7"/>
        <v>Production PV (pondérée)</v>
      </c>
      <c r="E459" s="66" t="s">
        <v>1729</v>
      </c>
      <c r="F459" s="125" t="s">
        <v>2001</v>
      </c>
      <c r="G459" s="67" t="s">
        <v>2106</v>
      </c>
    </row>
    <row r="460" spans="1:7" ht="25.9" customHeight="1">
      <c r="A460" s="65">
        <v>457</v>
      </c>
      <c r="B460" s="149" t="s">
        <v>1374</v>
      </c>
      <c r="C460" s="149" t="s">
        <v>434</v>
      </c>
      <c r="D460" s="121" t="str">
        <f t="shared" si="7"/>
        <v>Indice partiel Minergie-A</v>
      </c>
      <c r="E460" s="66" t="s">
        <v>2499</v>
      </c>
      <c r="F460" s="125" t="s">
        <v>2500</v>
      </c>
      <c r="G460" s="67" t="s">
        <v>2501</v>
      </c>
    </row>
    <row r="461" spans="1:7" ht="25.9" customHeight="1">
      <c r="A461" s="65">
        <v>458</v>
      </c>
      <c r="B461" s="149" t="s">
        <v>1374</v>
      </c>
      <c r="C461" s="149" t="s">
        <v>250</v>
      </c>
      <c r="D461" s="121" t="str">
        <f t="shared" si="7"/>
        <v>MINERGIE-A: les besoins MKZ (sans PV) sont-ils couverts par le photovoltaïque?</v>
      </c>
      <c r="E461" s="66" t="s">
        <v>2502</v>
      </c>
      <c r="F461" s="125" t="s">
        <v>2002</v>
      </c>
      <c r="G461" s="67" t="s">
        <v>2503</v>
      </c>
    </row>
    <row r="462" spans="1:7" ht="25.9" customHeight="1">
      <c r="A462" s="65">
        <v>459</v>
      </c>
      <c r="B462" s="149" t="s">
        <v>1374</v>
      </c>
      <c r="C462" s="149" t="s">
        <v>1888</v>
      </c>
      <c r="D462" s="121" t="str">
        <f t="shared" si="7"/>
        <v>Pas d’exigence</v>
      </c>
      <c r="E462" s="66" t="s">
        <v>1887</v>
      </c>
      <c r="F462" s="125" t="s">
        <v>2189</v>
      </c>
      <c r="G462" s="67" t="s">
        <v>2176</v>
      </c>
    </row>
    <row r="463" spans="1:7" ht="25.9" customHeight="1">
      <c r="A463" s="65">
        <v>460</v>
      </c>
      <c r="B463" s="149" t="s">
        <v>157</v>
      </c>
      <c r="C463" s="149" t="s">
        <v>630</v>
      </c>
      <c r="D463" s="121" t="str">
        <f t="shared" si="7"/>
        <v>Autoproduction d‘électricité</v>
      </c>
      <c r="E463" s="66" t="s">
        <v>1894</v>
      </c>
      <c r="F463" s="125" t="s">
        <v>2190</v>
      </c>
      <c r="G463" s="67" t="s">
        <v>2177</v>
      </c>
    </row>
    <row r="464" spans="1:7" ht="25.9" customHeight="1">
      <c r="A464" s="65">
        <v>461</v>
      </c>
      <c r="B464" s="149" t="s">
        <v>1374</v>
      </c>
      <c r="C464" s="149" t="s">
        <v>437</v>
      </c>
      <c r="D464" s="121" t="str">
        <f t="shared" si="7"/>
        <v>Part d'énergies fossiles</v>
      </c>
      <c r="E464" s="66" t="s">
        <v>2243</v>
      </c>
      <c r="F464" s="125" t="s">
        <v>2253</v>
      </c>
      <c r="G464" s="67" t="s">
        <v>2254</v>
      </c>
    </row>
    <row r="465" spans="1:7" ht="25.9" customHeight="1">
      <c r="A465" s="65">
        <v>462</v>
      </c>
      <c r="B465" s="149" t="s">
        <v>1374</v>
      </c>
      <c r="C465" s="149" t="s">
        <v>444</v>
      </c>
      <c r="D465" s="121" t="str">
        <f t="shared" si="7"/>
        <v>Les besoins sont couverts par la production d’électricité:</v>
      </c>
      <c r="E465" s="66" t="s">
        <v>1900</v>
      </c>
      <c r="F465" s="125" t="s">
        <v>2187</v>
      </c>
      <c r="G465" s="67" t="s">
        <v>2188</v>
      </c>
    </row>
    <row r="466" spans="1:7" ht="25.9" customHeight="1">
      <c r="A466" s="65">
        <v>463</v>
      </c>
      <c r="B466" s="149" t="s">
        <v>319</v>
      </c>
      <c r="C466" s="149" t="s">
        <v>2242</v>
      </c>
      <c r="D466" s="121" t="str">
        <f t="shared" si="7"/>
        <v>Rubans chauffants</v>
      </c>
      <c r="E466" s="66" t="s">
        <v>2239</v>
      </c>
      <c r="F466" s="125" t="s">
        <v>2237</v>
      </c>
      <c r="G466" s="67" t="s">
        <v>2238</v>
      </c>
    </row>
    <row r="467" spans="1:7" ht="25.9" customHeight="1">
      <c r="A467" s="65">
        <v>464</v>
      </c>
      <c r="B467" s="149" t="s">
        <v>157</v>
      </c>
      <c r="C467" s="149" t="s">
        <v>420</v>
      </c>
      <c r="D467" s="121" t="str">
        <f t="shared" si="7"/>
        <v>Eau chaude, valeur calculée</v>
      </c>
      <c r="E467" s="66" t="s">
        <v>2247</v>
      </c>
      <c r="F467" s="125" t="s">
        <v>2248</v>
      </c>
      <c r="G467" s="67" t="s">
        <v>2249</v>
      </c>
    </row>
    <row r="468" spans="1:7" ht="25.9" customHeight="1">
      <c r="A468" s="65">
        <v>465</v>
      </c>
      <c r="B468" s="149" t="s">
        <v>157</v>
      </c>
      <c r="C468" s="149" t="s">
        <v>1342</v>
      </c>
      <c r="D468" s="121" t="str">
        <f t="shared" si="7"/>
        <v>Eau chaude, SIA 385</v>
      </c>
      <c r="E468" s="66" t="s">
        <v>2250</v>
      </c>
      <c r="F468" s="125" t="s">
        <v>2251</v>
      </c>
      <c r="G468" s="67" t="s">
        <v>2252</v>
      </c>
    </row>
    <row r="469" spans="1:7" ht="25.9" customHeight="1">
      <c r="A469" s="65">
        <v>466</v>
      </c>
      <c r="B469" s="149" t="s">
        <v>157</v>
      </c>
      <c r="C469" s="149" t="s">
        <v>419</v>
      </c>
      <c r="D469" s="121" t="str">
        <f t="shared" si="7"/>
        <v>Locataire inconnu</v>
      </c>
      <c r="E469" s="66" t="s">
        <v>2273</v>
      </c>
      <c r="F469" s="125" t="s">
        <v>2504</v>
      </c>
      <c r="G469" s="67" t="s">
        <v>2505</v>
      </c>
    </row>
    <row r="470" spans="1:7" ht="25.9" customHeight="1">
      <c r="A470" s="65">
        <v>467</v>
      </c>
      <c r="B470" s="149" t="s">
        <v>1374</v>
      </c>
      <c r="C470" s="149" t="s">
        <v>1474</v>
      </c>
      <c r="D470" s="121" t="str">
        <f t="shared" si="7"/>
        <v>ventilation et climatisation</v>
      </c>
      <c r="E470" s="66" t="s">
        <v>2304</v>
      </c>
      <c r="F470" s="125" t="s">
        <v>2329</v>
      </c>
      <c r="G470" s="67" t="s">
        <v>2506</v>
      </c>
    </row>
    <row r="471" spans="1:7" ht="36" customHeight="1">
      <c r="A471" s="65">
        <v>468</v>
      </c>
      <c r="B471" s="149" t="s">
        <v>1374</v>
      </c>
      <c r="C471" s="149" t="s">
        <v>2312</v>
      </c>
      <c r="D471" s="121" t="str">
        <f t="shared" si="7"/>
        <v xml:space="preserve">   Production PV</v>
      </c>
      <c r="E471" s="75" t="s">
        <v>2598</v>
      </c>
      <c r="F471" s="493" t="s">
        <v>2599</v>
      </c>
      <c r="G471" s="492" t="s">
        <v>2600</v>
      </c>
    </row>
    <row r="472" spans="1:7" ht="25.9" customHeight="1">
      <c r="A472" s="65">
        <v>469</v>
      </c>
      <c r="B472" s="149" t="s">
        <v>1374</v>
      </c>
      <c r="C472" s="149" t="s">
        <v>2313</v>
      </c>
      <c r="D472" s="121" t="str">
        <f t="shared" si="7"/>
        <v xml:space="preserve">       Valeur de l'objet
 </v>
      </c>
      <c r="E472" s="75" t="s">
        <v>2597</v>
      </c>
      <c r="F472" s="493" t="s">
        <v>2601</v>
      </c>
      <c r="G472" s="492" t="s">
        <v>2596</v>
      </c>
    </row>
    <row r="473" spans="1:7" ht="25.9" customHeight="1">
      <c r="A473" s="65">
        <v>470</v>
      </c>
      <c r="B473" s="149" t="s">
        <v>1374</v>
      </c>
      <c r="C473" s="149" t="s">
        <v>2314</v>
      </c>
      <c r="D473" s="121" t="str">
        <f t="shared" si="7"/>
        <v>PV non pris en compte</v>
      </c>
      <c r="E473" s="66" t="s">
        <v>2305</v>
      </c>
      <c r="F473" s="125" t="s">
        <v>2510</v>
      </c>
      <c r="G473" s="67" t="s">
        <v>2507</v>
      </c>
    </row>
    <row r="474" spans="1:7" ht="25.9" customHeight="1">
      <c r="A474" s="65">
        <v>471</v>
      </c>
      <c r="B474" s="149" t="s">
        <v>319</v>
      </c>
      <c r="C474" s="149" t="s">
        <v>1384</v>
      </c>
      <c r="D474" s="121" t="str">
        <f t="shared" si="7"/>
        <v>Concept d'étanchéité et de mesure annexé?</v>
      </c>
      <c r="E474" s="66" t="s">
        <v>2608</v>
      </c>
      <c r="F474" s="125" t="s">
        <v>2609</v>
      </c>
      <c r="G474" s="67" t="s">
        <v>2610</v>
      </c>
    </row>
    <row r="475" spans="1:7" ht="25.9" customHeight="1">
      <c r="A475" s="65">
        <v>472</v>
      </c>
      <c r="B475" s="149" t="s">
        <v>157</v>
      </c>
      <c r="C475" s="149" t="s">
        <v>308</v>
      </c>
      <c r="D475" s="121" t="str">
        <f t="shared" si="7"/>
        <v>Capacité de la batterie [kWh]</v>
      </c>
      <c r="E475" s="66" t="s">
        <v>2322</v>
      </c>
      <c r="F475" s="125" t="s">
        <v>2511</v>
      </c>
      <c r="G475" s="67" t="s">
        <v>2508</v>
      </c>
    </row>
    <row r="476" spans="1:7" ht="25.9" customHeight="1">
      <c r="A476" s="65">
        <v>473</v>
      </c>
      <c r="B476" s="149" t="s">
        <v>157</v>
      </c>
      <c r="C476" s="149" t="s">
        <v>632</v>
      </c>
      <c r="D476" s="121" t="str">
        <f t="shared" si="7"/>
        <v>Pertes de la batterie [%]:</v>
      </c>
      <c r="E476" s="66" t="s">
        <v>2323</v>
      </c>
      <c r="F476" s="125" t="s">
        <v>2512</v>
      </c>
      <c r="G476" s="67" t="s">
        <v>2509</v>
      </c>
    </row>
    <row r="477" spans="1:7" ht="40.5" customHeight="1">
      <c r="A477" s="65">
        <v>474</v>
      </c>
      <c r="B477" s="149" t="s">
        <v>1374</v>
      </c>
      <c r="C477" s="149" t="s">
        <v>2413</v>
      </c>
      <c r="D477" s="121" t="str">
        <f t="shared" si="7"/>
        <v xml:space="preserve">                                  E HWLK,li +
                        Besoins standard électricité
  </v>
      </c>
      <c r="E477" s="626" t="s">
        <v>2593</v>
      </c>
      <c r="F477" s="125" t="s">
        <v>2594</v>
      </c>
      <c r="G477" s="67" t="s">
        <v>2595</v>
      </c>
    </row>
    <row r="478" spans="1:7" ht="25.9" customHeight="1">
      <c r="A478" s="65">
        <v>475</v>
      </c>
      <c r="B478" s="149" t="s">
        <v>345</v>
      </c>
      <c r="C478" s="149" t="s">
        <v>643</v>
      </c>
      <c r="D478" s="121" t="str">
        <f t="shared" si="7"/>
        <v>Indice Minergie (MKZ)</v>
      </c>
      <c r="E478" s="66" t="s">
        <v>1279</v>
      </c>
      <c r="F478" s="125" t="s">
        <v>2513</v>
      </c>
      <c r="G478" s="67" t="s">
        <v>2422</v>
      </c>
    </row>
    <row r="479" spans="1:7" ht="25.9" customHeight="1">
      <c r="A479" s="65">
        <v>476</v>
      </c>
      <c r="B479" s="149" t="s">
        <v>1374</v>
      </c>
      <c r="C479" s="149" t="s">
        <v>2450</v>
      </c>
      <c r="D479" s="121" t="str">
        <f t="shared" si="7"/>
        <v>MKZ</v>
      </c>
      <c r="E479" s="66" t="s">
        <v>2423</v>
      </c>
      <c r="F479" s="125" t="s">
        <v>2423</v>
      </c>
      <c r="G479" s="67" t="s">
        <v>2424</v>
      </c>
    </row>
    <row r="480" spans="1:7" ht="25.9" customHeight="1">
      <c r="A480" s="65">
        <v>477</v>
      </c>
      <c r="B480" s="149" t="s">
        <v>1374</v>
      </c>
      <c r="C480" s="149" t="s">
        <v>2425</v>
      </c>
      <c r="D480" s="121" t="str">
        <f t="shared" si="7"/>
        <v>H</v>
      </c>
      <c r="E480" s="66" t="s">
        <v>2426</v>
      </c>
      <c r="F480" s="125" t="s">
        <v>2426</v>
      </c>
      <c r="G480" s="67" t="s">
        <v>2427</v>
      </c>
    </row>
    <row r="481" spans="1:7" ht="25.9" customHeight="1">
      <c r="A481" s="65">
        <v>478</v>
      </c>
      <c r="B481" s="149" t="s">
        <v>1374</v>
      </c>
      <c r="C481" s="149" t="s">
        <v>2428</v>
      </c>
      <c r="D481" s="121" t="str">
        <f t="shared" si="7"/>
        <v>ww</v>
      </c>
      <c r="E481" s="66" t="s">
        <v>257</v>
      </c>
      <c r="F481" s="125" t="s">
        <v>257</v>
      </c>
      <c r="G481" s="67" t="s">
        <v>2429</v>
      </c>
    </row>
    <row r="482" spans="1:7" ht="25.9" customHeight="1">
      <c r="A482" s="65">
        <v>479</v>
      </c>
      <c r="B482" s="149" t="s">
        <v>1374</v>
      </c>
      <c r="C482" s="149" t="s">
        <v>2431</v>
      </c>
      <c r="D482" s="121" t="str">
        <f t="shared" si="7"/>
        <v>LK</v>
      </c>
      <c r="E482" s="66" t="s">
        <v>2432</v>
      </c>
      <c r="F482" s="125" t="s">
        <v>2432</v>
      </c>
      <c r="G482" s="67" t="s">
        <v>2430</v>
      </c>
    </row>
    <row r="483" spans="1:7" ht="25.9" customHeight="1">
      <c r="A483" s="65">
        <v>480</v>
      </c>
      <c r="B483" s="149" t="s">
        <v>1374</v>
      </c>
      <c r="C483" s="149" t="s">
        <v>2435</v>
      </c>
      <c r="D483" s="121" t="str">
        <f t="shared" si="7"/>
        <v>el,wohn.</v>
      </c>
      <c r="E483" s="66" t="s">
        <v>2434</v>
      </c>
      <c r="F483" s="125" t="s">
        <v>2434</v>
      </c>
      <c r="G483" s="67" t="s">
        <v>2433</v>
      </c>
    </row>
    <row r="484" spans="1:7" ht="25.9" customHeight="1">
      <c r="A484" s="65">
        <v>481</v>
      </c>
      <c r="B484" s="149" t="s">
        <v>1374</v>
      </c>
      <c r="C484" s="149" t="s">
        <v>2436</v>
      </c>
      <c r="D484" s="121" t="str">
        <f t="shared" si="7"/>
        <v>Bel</v>
      </c>
      <c r="E484" s="66" t="s">
        <v>2437</v>
      </c>
      <c r="F484" s="125" t="s">
        <v>2437</v>
      </c>
      <c r="G484" s="67" t="s">
        <v>2438</v>
      </c>
    </row>
    <row r="485" spans="1:7" ht="25.9" customHeight="1">
      <c r="A485" s="65">
        <v>482</v>
      </c>
      <c r="B485" s="149" t="s">
        <v>1374</v>
      </c>
      <c r="C485" s="149" t="s">
        <v>2445</v>
      </c>
      <c r="D485" s="121" t="str">
        <f t="shared" si="7"/>
        <v>Geräte</v>
      </c>
      <c r="E485" s="66" t="s">
        <v>1428</v>
      </c>
      <c r="F485" s="125" t="s">
        <v>1428</v>
      </c>
      <c r="G485" s="67" t="s">
        <v>2439</v>
      </c>
    </row>
    <row r="486" spans="1:7" ht="25.9" customHeight="1">
      <c r="A486" s="65">
        <v>483</v>
      </c>
      <c r="B486" s="149" t="s">
        <v>1374</v>
      </c>
      <c r="C486" s="149" t="s">
        <v>2446</v>
      </c>
      <c r="D486" s="121" t="str">
        <f t="shared" si="7"/>
        <v>AGT</v>
      </c>
      <c r="E486" s="66" t="s">
        <v>2440</v>
      </c>
      <c r="F486" s="125" t="s">
        <v>2440</v>
      </c>
      <c r="G486" s="67" t="s">
        <v>2441</v>
      </c>
    </row>
    <row r="487" spans="1:7" ht="25.9" customHeight="1">
      <c r="A487" s="65">
        <v>484</v>
      </c>
      <c r="B487" s="149" t="s">
        <v>1374</v>
      </c>
      <c r="C487" s="149" t="s">
        <v>2444</v>
      </c>
      <c r="D487" s="121" t="str">
        <f t="shared" si="7"/>
        <v>EB</v>
      </c>
      <c r="E487" s="66" t="s">
        <v>2442</v>
      </c>
      <c r="F487" s="125" t="s">
        <v>2442</v>
      </c>
      <c r="G487" s="67" t="s">
        <v>2443</v>
      </c>
    </row>
    <row r="488" spans="1:7" ht="25.9" customHeight="1">
      <c r="A488" s="65">
        <v>485</v>
      </c>
      <c r="B488" s="149" t="s">
        <v>1374</v>
      </c>
      <c r="C488" s="149" t="s">
        <v>2449</v>
      </c>
      <c r="D488" s="121" t="str">
        <f t="shared" si="7"/>
        <v>Netz</v>
      </c>
      <c r="E488" s="66" t="s">
        <v>2447</v>
      </c>
      <c r="F488" s="125" t="s">
        <v>2447</v>
      </c>
      <c r="G488" s="67" t="s">
        <v>2448</v>
      </c>
    </row>
    <row r="489" spans="1:7" ht="25.9" customHeight="1">
      <c r="A489" s="65">
        <v>486</v>
      </c>
      <c r="B489" s="149" t="s">
        <v>2670</v>
      </c>
      <c r="C489" s="149" t="s">
        <v>2671</v>
      </c>
      <c r="D489" s="121" t="str">
        <f t="shared" si="7"/>
        <v>Übertrag in das Rechentool PVopti</v>
      </c>
      <c r="E489" s="66" t="s">
        <v>2658</v>
      </c>
      <c r="F489" s="531" t="s">
        <v>2658</v>
      </c>
      <c r="G489" s="688" t="s">
        <v>2658</v>
      </c>
    </row>
    <row r="490" spans="1:7" ht="25.9" customHeight="1">
      <c r="A490" s="65">
        <v>487</v>
      </c>
      <c r="B490" s="149" t="s">
        <v>2670</v>
      </c>
      <c r="C490" s="149" t="s">
        <v>2672</v>
      </c>
      <c r="D490" s="121" t="str">
        <f t="shared" si="7"/>
        <v>Bitte den gelben Bereich kopieren und als Inhalt in PVopti einfügen:</v>
      </c>
      <c r="E490" s="66" t="s">
        <v>2657</v>
      </c>
      <c r="F490" s="531" t="s">
        <v>2657</v>
      </c>
      <c r="G490" s="688" t="s">
        <v>2657</v>
      </c>
    </row>
    <row r="491" spans="1:7" ht="25.9" customHeight="1">
      <c r="A491" s="65">
        <v>488</v>
      </c>
      <c r="B491" s="149" t="s">
        <v>2670</v>
      </c>
      <c r="C491" s="149" t="s">
        <v>2673</v>
      </c>
      <c r="D491" s="121" t="str">
        <f t="shared" si="7"/>
        <v>MOP-Nr.: / Projektname: / Gebäudeadresse:</v>
      </c>
      <c r="E491" s="66" t="s">
        <v>2638</v>
      </c>
      <c r="F491" s="531" t="s">
        <v>2638</v>
      </c>
      <c r="G491" s="688" t="s">
        <v>2638</v>
      </c>
    </row>
    <row r="492" spans="1:7" ht="25.9" customHeight="1">
      <c r="A492" s="65">
        <v>489</v>
      </c>
      <c r="B492" s="149" t="s">
        <v>2670</v>
      </c>
      <c r="C492" s="149" t="s">
        <v>2674</v>
      </c>
      <c r="D492" s="121" t="str">
        <f t="shared" si="7"/>
        <v xml:space="preserve">Parz.-Nr.:   / Klimastation: / Gebäudestandort: </v>
      </c>
      <c r="E492" s="66" t="s">
        <v>2639</v>
      </c>
      <c r="F492" s="531" t="s">
        <v>2639</v>
      </c>
      <c r="G492" s="688" t="s">
        <v>2639</v>
      </c>
    </row>
    <row r="493" spans="1:7" ht="25.9" customHeight="1">
      <c r="A493" s="65">
        <v>490</v>
      </c>
      <c r="B493" s="149" t="s">
        <v>2670</v>
      </c>
      <c r="C493" s="149" t="s">
        <v>2675</v>
      </c>
      <c r="D493" s="121" t="str">
        <f t="shared" si="7"/>
        <v>Wärmeerzeuger</v>
      </c>
      <c r="E493" s="66" t="s">
        <v>2632</v>
      </c>
      <c r="F493" s="531" t="s">
        <v>2632</v>
      </c>
      <c r="G493" s="688" t="s">
        <v>2632</v>
      </c>
    </row>
    <row r="494" spans="1:7" ht="25.9" customHeight="1">
      <c r="A494" s="65">
        <v>491</v>
      </c>
      <c r="B494" s="149" t="s">
        <v>2670</v>
      </c>
      <c r="C494" s="149" t="s">
        <v>2676</v>
      </c>
      <c r="D494" s="121" t="str">
        <f t="shared" si="7"/>
        <v>Erz. A</v>
      </c>
      <c r="E494" s="66" t="s">
        <v>2633</v>
      </c>
      <c r="F494" s="531" t="s">
        <v>2633</v>
      </c>
      <c r="G494" s="688" t="s">
        <v>2633</v>
      </c>
    </row>
    <row r="495" spans="1:7" ht="25.9" customHeight="1">
      <c r="A495" s="65">
        <v>492</v>
      </c>
      <c r="B495" s="149" t="s">
        <v>2670</v>
      </c>
      <c r="C495" s="149" t="s">
        <v>2677</v>
      </c>
      <c r="D495" s="121" t="str">
        <f t="shared" si="7"/>
        <v>Erz. B</v>
      </c>
      <c r="E495" s="66" t="s">
        <v>2634</v>
      </c>
      <c r="F495" s="531" t="s">
        <v>2634</v>
      </c>
      <c r="G495" s="688" t="s">
        <v>2634</v>
      </c>
    </row>
    <row r="496" spans="1:7" ht="25.9" customHeight="1">
      <c r="A496" s="65">
        <v>493</v>
      </c>
      <c r="B496" s="149" t="s">
        <v>2670</v>
      </c>
      <c r="C496" s="149" t="s">
        <v>2678</v>
      </c>
      <c r="D496" s="121" t="str">
        <f t="shared" si="7"/>
        <v>Erz. C</v>
      </c>
      <c r="E496" s="66" t="s">
        <v>2635</v>
      </c>
      <c r="F496" s="531" t="s">
        <v>2635</v>
      </c>
      <c r="G496" s="688" t="s">
        <v>2635</v>
      </c>
    </row>
    <row r="497" spans="1:7" ht="25.9" customHeight="1">
      <c r="A497" s="65">
        <v>494</v>
      </c>
      <c r="B497" s="149" t="s">
        <v>2670</v>
      </c>
      <c r="C497" s="149" t="s">
        <v>2679</v>
      </c>
      <c r="D497" s="121" t="str">
        <f t="shared" si="7"/>
        <v>Erz. D</v>
      </c>
      <c r="E497" s="66" t="s">
        <v>2636</v>
      </c>
      <c r="F497" s="531" t="s">
        <v>2636</v>
      </c>
      <c r="G497" s="688" t="s">
        <v>2636</v>
      </c>
    </row>
    <row r="498" spans="1:7" ht="25.9" customHeight="1">
      <c r="A498" s="65">
        <v>495</v>
      </c>
      <c r="B498" s="149" t="s">
        <v>2670</v>
      </c>
      <c r="C498" s="149" t="s">
        <v>2680</v>
      </c>
      <c r="D498" s="121" t="str">
        <f t="shared" si="7"/>
        <v>Nutzbare Kapazität (kWh)</v>
      </c>
      <c r="E498" s="66" t="s">
        <v>2640</v>
      </c>
      <c r="F498" s="531" t="s">
        <v>2640</v>
      </c>
      <c r="G498" s="688" t="s">
        <v>2640</v>
      </c>
    </row>
    <row r="499" spans="1:7" ht="25.9" customHeight="1">
      <c r="A499" s="65">
        <v>496</v>
      </c>
      <c r="B499" s="149" t="s">
        <v>2670</v>
      </c>
      <c r="C499" s="149" t="s">
        <v>2681</v>
      </c>
      <c r="D499" s="121" t="str">
        <f t="shared" si="7"/>
        <v>Zone</v>
      </c>
      <c r="E499" s="66" t="s">
        <v>156</v>
      </c>
      <c r="F499" s="531" t="s">
        <v>156</v>
      </c>
      <c r="G499" s="688" t="s">
        <v>156</v>
      </c>
    </row>
    <row r="500" spans="1:7" ht="25.9" customHeight="1">
      <c r="A500" s="65">
        <v>497</v>
      </c>
      <c r="B500" s="149" t="s">
        <v>2670</v>
      </c>
      <c r="C500" s="149" t="s">
        <v>2682</v>
      </c>
      <c r="D500" s="121" t="str">
        <f t="shared" si="7"/>
        <v>Gebäudekategorie</v>
      </c>
      <c r="E500" s="66" t="s">
        <v>172</v>
      </c>
      <c r="F500" s="531" t="s">
        <v>172</v>
      </c>
      <c r="G500" s="688" t="s">
        <v>172</v>
      </c>
    </row>
    <row r="501" spans="1:7" ht="25.9" customHeight="1">
      <c r="A501" s="65">
        <v>498</v>
      </c>
      <c r="B501" s="149" t="s">
        <v>2670</v>
      </c>
      <c r="C501" s="149" t="s">
        <v>2683</v>
      </c>
      <c r="D501" s="121" t="str">
        <f t="shared" si="7"/>
        <v>Energiebezugsfläche EBF (m2)</v>
      </c>
      <c r="E501" s="66" t="s">
        <v>2641</v>
      </c>
      <c r="F501" s="531" t="s">
        <v>2641</v>
      </c>
      <c r="G501" s="688" t="s">
        <v>2641</v>
      </c>
    </row>
    <row r="502" spans="1:7" ht="25.9" customHeight="1">
      <c r="A502" s="65">
        <v>499</v>
      </c>
      <c r="B502" s="149" t="s">
        <v>2670</v>
      </c>
      <c r="C502" s="149" t="s">
        <v>2684</v>
      </c>
      <c r="D502" s="121" t="str">
        <f t="shared" si="7"/>
        <v>Neubau</v>
      </c>
      <c r="E502" s="66" t="s">
        <v>330</v>
      </c>
      <c r="F502" s="531" t="s">
        <v>330</v>
      </c>
      <c r="G502" s="688" t="s">
        <v>330</v>
      </c>
    </row>
    <row r="503" spans="1:7" ht="25.9" customHeight="1">
      <c r="A503" s="65">
        <v>500</v>
      </c>
      <c r="B503" s="149" t="s">
        <v>2670</v>
      </c>
      <c r="C503" s="149" t="s">
        <v>2685</v>
      </c>
      <c r="D503" s="121" t="str">
        <f t="shared" si="7"/>
        <v>Warmwasser Rechenwert</v>
      </c>
      <c r="E503" s="66" t="s">
        <v>2642</v>
      </c>
      <c r="F503" s="531" t="s">
        <v>2642</v>
      </c>
      <c r="G503" s="688" t="s">
        <v>2642</v>
      </c>
    </row>
    <row r="504" spans="1:7" ht="25.9" customHeight="1">
      <c r="A504" s="65">
        <v>501</v>
      </c>
      <c r="B504" s="149" t="s">
        <v>2670</v>
      </c>
      <c r="C504" s="149" t="s">
        <v>2686</v>
      </c>
      <c r="D504" s="121" t="str">
        <f>INDEX($E$4:$G$603,$A504,$A$1)</f>
        <v xml:space="preserve"> </v>
      </c>
      <c r="E504" s="75" t="s">
        <v>110</v>
      </c>
      <c r="F504" s="531" t="s">
        <v>110</v>
      </c>
      <c r="G504" s="688" t="s">
        <v>110</v>
      </c>
    </row>
    <row r="505" spans="1:7" ht="25.9" customHeight="1">
      <c r="A505" s="65">
        <v>502</v>
      </c>
      <c r="B505" s="149" t="s">
        <v>2670</v>
      </c>
      <c r="C505" s="149" t="s">
        <v>2687</v>
      </c>
      <c r="D505" s="121" t="str">
        <f t="shared" ref="D505:D568" si="8">INDEX($E$4:$G$603,$A505,$A$1)</f>
        <v>Klimakälte</v>
      </c>
      <c r="E505" s="66" t="s">
        <v>2643</v>
      </c>
      <c r="F505" s="531" t="s">
        <v>2643</v>
      </c>
      <c r="G505" s="688" t="s">
        <v>2643</v>
      </c>
    </row>
    <row r="506" spans="1:7" ht="25.9" customHeight="1">
      <c r="A506" s="65">
        <v>503</v>
      </c>
      <c r="B506" s="149" t="s">
        <v>2670</v>
      </c>
      <c r="C506" s="149" t="s">
        <v>2688</v>
      </c>
      <c r="D506" s="121" t="str">
        <f t="shared" si="8"/>
        <v>Lüftung</v>
      </c>
      <c r="E506" s="66" t="s">
        <v>325</v>
      </c>
      <c r="F506" s="531" t="s">
        <v>325</v>
      </c>
      <c r="G506" s="688" t="s">
        <v>325</v>
      </c>
    </row>
    <row r="507" spans="1:7" ht="25.9" customHeight="1">
      <c r="A507" s="65">
        <v>504</v>
      </c>
      <c r="B507" s="149" t="s">
        <v>2670</v>
      </c>
      <c r="C507" s="149" t="s">
        <v>2689</v>
      </c>
      <c r="D507" s="121" t="str">
        <f t="shared" si="8"/>
        <v>Anzahl Wohneinheiten</v>
      </c>
      <c r="E507" s="66" t="s">
        <v>1896</v>
      </c>
      <c r="F507" s="531" t="s">
        <v>1896</v>
      </c>
      <c r="G507" s="688" t="s">
        <v>1896</v>
      </c>
    </row>
    <row r="508" spans="1:7" ht="25.9" customHeight="1">
      <c r="A508" s="65">
        <v>505</v>
      </c>
      <c r="B508" s="149" t="s">
        <v>2670</v>
      </c>
      <c r="C508" s="149" t="s">
        <v>2690</v>
      </c>
      <c r="D508" s="121" t="str">
        <f t="shared" si="8"/>
        <v>Bedarf Lift</v>
      </c>
      <c r="E508" s="66" t="s">
        <v>2644</v>
      </c>
      <c r="F508" s="531" t="s">
        <v>2644</v>
      </c>
      <c r="G508" s="688" t="s">
        <v>2644</v>
      </c>
    </row>
    <row r="509" spans="1:7" ht="25.9" customHeight="1">
      <c r="A509" s="65">
        <v>506</v>
      </c>
      <c r="B509" s="149" t="s">
        <v>2670</v>
      </c>
      <c r="C509" s="149" t="s">
        <v>2691</v>
      </c>
      <c r="D509" s="121" t="str">
        <f t="shared" si="8"/>
        <v>Bedarf Heizbänder</v>
      </c>
      <c r="E509" s="66" t="s">
        <v>2645</v>
      </c>
      <c r="F509" s="531" t="s">
        <v>2645</v>
      </c>
      <c r="G509" s="688" t="s">
        <v>2645</v>
      </c>
    </row>
    <row r="510" spans="1:7" ht="25.9" customHeight="1">
      <c r="A510" s="65">
        <v>507</v>
      </c>
      <c r="B510" s="149" t="s">
        <v>2670</v>
      </c>
      <c r="C510" s="149" t="s">
        <v>2692</v>
      </c>
      <c r="D510" s="121" t="str">
        <f t="shared" si="8"/>
        <v>Reduktion Geschirrspüler</v>
      </c>
      <c r="E510" s="66" t="s">
        <v>2646</v>
      </c>
      <c r="F510" s="531" t="s">
        <v>2646</v>
      </c>
      <c r="G510" s="688" t="s">
        <v>2646</v>
      </c>
    </row>
    <row r="511" spans="1:7" ht="25.9" customHeight="1">
      <c r="A511" s="65">
        <v>508</v>
      </c>
      <c r="B511" s="149" t="s">
        <v>2670</v>
      </c>
      <c r="C511" s="149" t="s">
        <v>2693</v>
      </c>
      <c r="D511" s="121" t="str">
        <f t="shared" si="8"/>
        <v>Reduktion Kühl- und Gefrierschränke</v>
      </c>
      <c r="E511" s="66" t="s">
        <v>2647</v>
      </c>
      <c r="F511" s="531" t="s">
        <v>2647</v>
      </c>
      <c r="G511" s="688" t="s">
        <v>2647</v>
      </c>
    </row>
    <row r="512" spans="1:7" ht="25.9" customHeight="1">
      <c r="A512" s="65">
        <v>509</v>
      </c>
      <c r="B512" s="149" t="s">
        <v>2670</v>
      </c>
      <c r="C512" s="149" t="s">
        <v>2694</v>
      </c>
      <c r="D512" s="121" t="str">
        <f t="shared" si="8"/>
        <v>Reduktion Waschmaschine</v>
      </c>
      <c r="E512" s="66" t="s">
        <v>2648</v>
      </c>
      <c r="F512" s="531" t="s">
        <v>2648</v>
      </c>
      <c r="G512" s="688" t="s">
        <v>2648</v>
      </c>
    </row>
    <row r="513" spans="1:7" ht="25.9" customHeight="1">
      <c r="A513" s="65">
        <v>510</v>
      </c>
      <c r="B513" s="149" t="s">
        <v>2670</v>
      </c>
      <c r="C513" s="149" t="s">
        <v>2695</v>
      </c>
      <c r="D513" s="121" t="str">
        <f t="shared" si="8"/>
        <v>Reduktion Wäschetrockner</v>
      </c>
      <c r="E513" s="66" t="s">
        <v>2649</v>
      </c>
      <c r="F513" s="531" t="s">
        <v>2649</v>
      </c>
      <c r="G513" s="688" t="s">
        <v>2649</v>
      </c>
    </row>
    <row r="514" spans="1:7" ht="25.9" customHeight="1">
      <c r="A514" s="65">
        <v>511</v>
      </c>
      <c r="B514" s="149" t="s">
        <v>2670</v>
      </c>
      <c r="C514" s="149" t="s">
        <v>2696</v>
      </c>
      <c r="D514" s="121" t="str">
        <f t="shared" si="8"/>
        <v>Reduktion Induktionskochherde</v>
      </c>
      <c r="E514" s="66" t="s">
        <v>2650</v>
      </c>
      <c r="F514" s="531" t="s">
        <v>2650</v>
      </c>
      <c r="G514" s="688" t="s">
        <v>2650</v>
      </c>
    </row>
    <row r="515" spans="1:7" ht="25.9" customHeight="1">
      <c r="A515" s="65">
        <v>512</v>
      </c>
      <c r="B515" s="149" t="s">
        <v>2670</v>
      </c>
      <c r="C515" s="149" t="s">
        <v>2697</v>
      </c>
      <c r="D515" s="121" t="str">
        <f t="shared" si="8"/>
        <v>Reduktion Wohnungsbeleuchtung</v>
      </c>
      <c r="E515" s="66" t="s">
        <v>2651</v>
      </c>
      <c r="F515" s="531" t="s">
        <v>2651</v>
      </c>
      <c r="G515" s="688" t="s">
        <v>2651</v>
      </c>
    </row>
    <row r="516" spans="1:7" ht="25.9" customHeight="1">
      <c r="A516" s="65">
        <v>513</v>
      </c>
      <c r="B516" s="149" t="s">
        <v>2670</v>
      </c>
      <c r="C516" s="149" t="s">
        <v>2698</v>
      </c>
      <c r="D516" s="121" t="str">
        <f t="shared" si="8"/>
        <v>Reduktion allgemeine Beleuchtung</v>
      </c>
      <c r="E516" s="66" t="s">
        <v>2652</v>
      </c>
      <c r="F516" s="531" t="s">
        <v>2652</v>
      </c>
      <c r="G516" s="688" t="s">
        <v>2652</v>
      </c>
    </row>
    <row r="517" spans="1:7" ht="25.9" customHeight="1">
      <c r="A517" s="65">
        <v>514</v>
      </c>
      <c r="B517" s="149" t="s">
        <v>2670</v>
      </c>
      <c r="C517" s="149" t="s">
        <v>2699</v>
      </c>
      <c r="D517" s="121" t="str">
        <f t="shared" si="8"/>
        <v>Reduktion Geräte Gebäudebetrieb</v>
      </c>
      <c r="E517" s="66" t="s">
        <v>2653</v>
      </c>
      <c r="F517" s="531" t="s">
        <v>2653</v>
      </c>
      <c r="G517" s="688" t="s">
        <v>2653</v>
      </c>
    </row>
    <row r="518" spans="1:7" ht="25.9" customHeight="1">
      <c r="A518" s="65">
        <v>515</v>
      </c>
      <c r="B518" s="149" t="s">
        <v>2670</v>
      </c>
      <c r="C518" s="149" t="s">
        <v>2700</v>
      </c>
      <c r="D518" s="121" t="str">
        <f t="shared" si="8"/>
        <v>Bedarf Beleuchtung Zweckbau Rechenwert</v>
      </c>
      <c r="E518" s="66" t="s">
        <v>2654</v>
      </c>
      <c r="F518" s="531" t="s">
        <v>2654</v>
      </c>
      <c r="G518" s="688" t="s">
        <v>2654</v>
      </c>
    </row>
    <row r="519" spans="1:7" ht="25.9" customHeight="1">
      <c r="A519" s="65">
        <v>516</v>
      </c>
      <c r="B519" s="149" t="s">
        <v>2670</v>
      </c>
      <c r="C519" s="149" t="s">
        <v>2701</v>
      </c>
      <c r="D519" s="121" t="str">
        <f t="shared" si="8"/>
        <v>Bedarf Geräte Zweckbau Rechenwert</v>
      </c>
      <c r="E519" s="66" t="s">
        <v>2655</v>
      </c>
      <c r="F519" s="531" t="s">
        <v>2655</v>
      </c>
      <c r="G519" s="688" t="s">
        <v>2655</v>
      </c>
    </row>
    <row r="520" spans="1:7" ht="25.9" customHeight="1">
      <c r="A520" s="65">
        <v>517</v>
      </c>
      <c r="B520" s="149" t="s">
        <v>2670</v>
      </c>
      <c r="C520" s="149" t="s">
        <v>2702</v>
      </c>
      <c r="D520" s="121" t="str">
        <f t="shared" si="8"/>
        <v>Bedarf AGT Zweckbau Rechenwert</v>
      </c>
      <c r="E520" s="66" t="s">
        <v>2656</v>
      </c>
      <c r="F520" s="531" t="s">
        <v>2656</v>
      </c>
      <c r="G520" s="688" t="s">
        <v>2656</v>
      </c>
    </row>
    <row r="521" spans="1:7" ht="25.9" customHeight="1">
      <c r="A521" s="65">
        <v>518</v>
      </c>
      <c r="B521" s="149" t="s">
        <v>157</v>
      </c>
      <c r="C521" s="149" t="s">
        <v>273</v>
      </c>
      <c r="D521" s="121" t="str">
        <f t="shared" si="8"/>
        <v xml:space="preserve"> - Récupération de chaleur des eaux usées  [%]</v>
      </c>
      <c r="E521" s="66" t="s">
        <v>2719</v>
      </c>
      <c r="F521" s="531" t="s">
        <v>2746</v>
      </c>
      <c r="G521" s="688" t="s">
        <v>2747</v>
      </c>
    </row>
    <row r="522" spans="1:7" ht="25.9" customHeight="1">
      <c r="A522" s="65">
        <v>519</v>
      </c>
      <c r="D522" s="121">
        <f t="shared" si="8"/>
        <v>0</v>
      </c>
    </row>
    <row r="523" spans="1:7" ht="25.9" customHeight="1">
      <c r="A523" s="65">
        <v>520</v>
      </c>
      <c r="D523" s="121">
        <f t="shared" si="8"/>
        <v>0</v>
      </c>
    </row>
    <row r="524" spans="1:7" ht="25.9" customHeight="1">
      <c r="A524" s="65">
        <v>521</v>
      </c>
      <c r="D524" s="121">
        <f t="shared" si="8"/>
        <v>0</v>
      </c>
    </row>
    <row r="525" spans="1:7" ht="25.9" customHeight="1">
      <c r="A525" s="65">
        <v>522</v>
      </c>
      <c r="D525" s="121">
        <f t="shared" si="8"/>
        <v>0</v>
      </c>
    </row>
    <row r="526" spans="1:7" ht="25.9" customHeight="1">
      <c r="A526" s="65">
        <v>523</v>
      </c>
      <c r="D526" s="121">
        <f t="shared" si="8"/>
        <v>0</v>
      </c>
    </row>
    <row r="527" spans="1:7" ht="25.9" customHeight="1">
      <c r="A527" s="65">
        <v>524</v>
      </c>
      <c r="D527" s="121">
        <f t="shared" si="8"/>
        <v>0</v>
      </c>
    </row>
    <row r="528" spans="1:7" ht="25.9" customHeight="1">
      <c r="A528" s="65">
        <v>525</v>
      </c>
      <c r="D528" s="121">
        <f t="shared" si="8"/>
        <v>0</v>
      </c>
    </row>
    <row r="529" spans="1:7" ht="25.9" customHeight="1">
      <c r="A529" s="65">
        <v>526</v>
      </c>
      <c r="D529" s="121">
        <f t="shared" si="8"/>
        <v>0</v>
      </c>
    </row>
    <row r="530" spans="1:7" ht="25.9" customHeight="1">
      <c r="A530" s="65">
        <v>527</v>
      </c>
      <c r="D530" s="121">
        <f t="shared" si="8"/>
        <v>0</v>
      </c>
    </row>
    <row r="531" spans="1:7" ht="25.9" customHeight="1">
      <c r="A531" s="65">
        <v>528</v>
      </c>
      <c r="D531" s="121">
        <f t="shared" si="8"/>
        <v>0</v>
      </c>
    </row>
    <row r="532" spans="1:7" ht="25.9" customHeight="1">
      <c r="A532" s="65">
        <v>529</v>
      </c>
      <c r="D532" s="121">
        <f t="shared" si="8"/>
        <v>0</v>
      </c>
    </row>
    <row r="533" spans="1:7" ht="25.9" customHeight="1">
      <c r="A533" s="65">
        <v>530</v>
      </c>
      <c r="D533" s="121">
        <f t="shared" si="8"/>
        <v>0</v>
      </c>
    </row>
    <row r="534" spans="1:7" ht="25.9" customHeight="1">
      <c r="A534" s="65">
        <v>531</v>
      </c>
      <c r="D534" s="121">
        <f t="shared" si="8"/>
        <v>0</v>
      </c>
    </row>
    <row r="535" spans="1:7" ht="25.9" customHeight="1">
      <c r="A535" s="65">
        <v>532</v>
      </c>
      <c r="D535" s="121">
        <f t="shared" si="8"/>
        <v>0</v>
      </c>
    </row>
    <row r="536" spans="1:7" ht="25.9" customHeight="1">
      <c r="A536" s="65">
        <v>533</v>
      </c>
      <c r="D536" s="121">
        <f t="shared" si="8"/>
        <v>0</v>
      </c>
    </row>
    <row r="537" spans="1:7" ht="25.9" customHeight="1">
      <c r="A537" s="65">
        <v>534</v>
      </c>
      <c r="D537" s="121">
        <f t="shared" si="8"/>
        <v>0</v>
      </c>
    </row>
    <row r="538" spans="1:7" ht="25.9" customHeight="1">
      <c r="A538" s="65">
        <v>535</v>
      </c>
      <c r="D538" s="121">
        <f t="shared" si="8"/>
        <v>0</v>
      </c>
    </row>
    <row r="539" spans="1:7" ht="25.9" customHeight="1" thickBot="1">
      <c r="A539" s="738">
        <v>536</v>
      </c>
      <c r="B539" s="739"/>
      <c r="C539" s="739"/>
      <c r="D539" s="740">
        <f t="shared" si="8"/>
        <v>0</v>
      </c>
      <c r="E539" s="741"/>
      <c r="F539" s="742"/>
      <c r="G539" s="743"/>
    </row>
    <row r="540" spans="1:7" ht="25.9" customHeight="1">
      <c r="A540" s="77">
        <v>537</v>
      </c>
      <c r="B540" s="123"/>
      <c r="C540" s="123"/>
      <c r="D540" s="122" t="str">
        <f t="shared" si="8"/>
        <v>Modèles de rénovation MINERGIE</v>
      </c>
      <c r="E540" s="78" t="s">
        <v>2772</v>
      </c>
      <c r="F540" s="127" t="s">
        <v>2949</v>
      </c>
      <c r="G540" s="79" t="s">
        <v>2950</v>
      </c>
    </row>
    <row r="541" spans="1:7" ht="25.9" customHeight="1">
      <c r="A541" s="65">
        <v>538</v>
      </c>
      <c r="D541" s="121" t="str">
        <f t="shared" si="8"/>
        <v>Système 1</v>
      </c>
      <c r="E541" s="66" t="s">
        <v>2773</v>
      </c>
      <c r="F541" s="125" t="s">
        <v>2951</v>
      </c>
      <c r="G541" s="67" t="s">
        <v>2952</v>
      </c>
    </row>
    <row r="542" spans="1:7" ht="25.9" customHeight="1">
      <c r="A542" s="65">
        <v>539</v>
      </c>
      <c r="D542" s="121" t="str">
        <f t="shared" si="8"/>
        <v>Système 2</v>
      </c>
      <c r="E542" s="66" t="s">
        <v>2774</v>
      </c>
      <c r="F542" s="125" t="s">
        <v>2953</v>
      </c>
      <c r="G542" s="67" t="s">
        <v>2954</v>
      </c>
    </row>
    <row r="543" spans="1:7" ht="25.9" customHeight="1">
      <c r="A543" s="65">
        <v>540</v>
      </c>
      <c r="D543" s="121" t="str">
        <f t="shared" si="8"/>
        <v>Système 3</v>
      </c>
      <c r="E543" s="66" t="s">
        <v>2775</v>
      </c>
      <c r="F543" s="125" t="s">
        <v>2955</v>
      </c>
      <c r="G543" s="67" t="s">
        <v>2956</v>
      </c>
    </row>
    <row r="544" spans="1:7" ht="25.9" customHeight="1">
      <c r="A544" s="65">
        <v>541</v>
      </c>
      <c r="D544" s="121" t="str">
        <f t="shared" si="8"/>
        <v>Système 4</v>
      </c>
      <c r="E544" s="66" t="s">
        <v>2776</v>
      </c>
      <c r="F544" s="125" t="s">
        <v>2957</v>
      </c>
      <c r="G544" s="67" t="s">
        <v>2958</v>
      </c>
    </row>
    <row r="545" spans="1:7" ht="25.9" customHeight="1">
      <c r="A545" s="65">
        <v>542</v>
      </c>
      <c r="D545" s="121" t="str">
        <f t="shared" si="8"/>
        <v>Système 5</v>
      </c>
      <c r="E545" s="66" t="s">
        <v>2777</v>
      </c>
      <c r="F545" s="125" t="s">
        <v>2959</v>
      </c>
      <c r="G545" s="67" t="s">
        <v>2960</v>
      </c>
    </row>
    <row r="546" spans="1:7" ht="25.9" customHeight="1">
      <c r="A546" s="65">
        <v>543</v>
      </c>
      <c r="D546" s="121" t="str">
        <f t="shared" si="8"/>
        <v>Solution standard</v>
      </c>
      <c r="E546" s="66" t="s">
        <v>2779</v>
      </c>
      <c r="F546" s="125" t="s">
        <v>2961</v>
      </c>
      <c r="G546" s="67" t="s">
        <v>2962</v>
      </c>
    </row>
    <row r="547" spans="1:7" ht="25.9" customHeight="1">
      <c r="A547" s="65">
        <v>544</v>
      </c>
      <c r="D547" s="121" t="str">
        <f t="shared" si="8"/>
        <v xml:space="preserve">Toit / plafond </v>
      </c>
      <c r="E547" s="66" t="s">
        <v>2780</v>
      </c>
      <c r="F547" s="125" t="s">
        <v>2963</v>
      </c>
      <c r="G547" s="67" t="s">
        <v>2964</v>
      </c>
    </row>
    <row r="548" spans="1:7" ht="25.9" customHeight="1">
      <c r="A548" s="65">
        <v>545</v>
      </c>
      <c r="D548" s="121" t="str">
        <f t="shared" si="8"/>
        <v>Mur</v>
      </c>
      <c r="E548" s="66" t="s">
        <v>2781</v>
      </c>
      <c r="F548" s="125" t="s">
        <v>2965</v>
      </c>
      <c r="G548" s="67" t="s">
        <v>2966</v>
      </c>
    </row>
    <row r="549" spans="1:7" ht="25.9" customHeight="1">
      <c r="A549" s="65">
        <v>546</v>
      </c>
      <c r="D549" s="121" t="str">
        <f t="shared" si="8"/>
        <v>Fenêtres</v>
      </c>
      <c r="E549" s="66" t="s">
        <v>2782</v>
      </c>
      <c r="F549" s="125" t="s">
        <v>2967</v>
      </c>
      <c r="G549" s="67" t="s">
        <v>2968</v>
      </c>
    </row>
    <row r="550" spans="1:7" ht="25.9" customHeight="1">
      <c r="A550" s="65">
        <v>547</v>
      </c>
      <c r="D550" s="121" t="str">
        <f t="shared" si="8"/>
        <v xml:space="preserve">Sol </v>
      </c>
      <c r="E550" s="66" t="s">
        <v>2783</v>
      </c>
      <c r="F550" s="125" t="s">
        <v>2969</v>
      </c>
      <c r="G550" s="67" t="s">
        <v>2970</v>
      </c>
    </row>
    <row r="551" spans="1:7" ht="25.9" customHeight="1">
      <c r="A551" s="65">
        <v>548</v>
      </c>
      <c r="D551" s="121" t="str">
        <f t="shared" si="8"/>
        <v>Système de production de chaleur et émission de chaleur</v>
      </c>
      <c r="E551" s="66" t="s">
        <v>2793</v>
      </c>
      <c r="F551" s="125" t="s">
        <v>2971</v>
      </c>
      <c r="G551" s="67" t="s">
        <v>2972</v>
      </c>
    </row>
    <row r="552" spans="1:7" ht="25.9" customHeight="1">
      <c r="A552" s="65">
        <v>549</v>
      </c>
      <c r="D552" s="121" t="str">
        <f t="shared" si="8"/>
        <v>Fossile + solaire (2% SRE pour l'eau chaude)</v>
      </c>
      <c r="E552" s="66" t="s">
        <v>2795</v>
      </c>
      <c r="F552" s="125" t="s">
        <v>2973</v>
      </c>
      <c r="G552" s="67" t="s">
        <v>2974</v>
      </c>
    </row>
    <row r="553" spans="1:7" ht="25.9" customHeight="1">
      <c r="A553" s="65">
        <v>550</v>
      </c>
      <c r="D553" s="121" t="str">
        <f t="shared" si="8"/>
        <v xml:space="preserve">Pompe à chaleur saumure/eau jusqu'à 50°C pour température de départ  </v>
      </c>
      <c r="E553" s="66" t="s">
        <v>2939</v>
      </c>
      <c r="F553" s="125" t="s">
        <v>2975</v>
      </c>
      <c r="G553" s="67" t="s">
        <v>2976</v>
      </c>
    </row>
    <row r="554" spans="1:7" ht="25.9" customHeight="1">
      <c r="A554" s="65">
        <v>551</v>
      </c>
      <c r="D554" s="121" t="str">
        <f t="shared" si="8"/>
        <v>Chaleur à distance (min. 50% énergies renouvelables, rejets de chaleur, CCF)</v>
      </c>
      <c r="E554" s="66" t="s">
        <v>2796</v>
      </c>
      <c r="F554" s="125" t="s">
        <v>2977</v>
      </c>
      <c r="G554" s="67" t="s">
        <v>2978</v>
      </c>
    </row>
    <row r="555" spans="1:7" ht="25.9" customHeight="1">
      <c r="A555" s="65">
        <v>552</v>
      </c>
      <c r="D555" s="121" t="str">
        <f t="shared" si="8"/>
        <v>Bois + solaire (2% SRE)</v>
      </c>
      <c r="E555" s="66" t="s">
        <v>2797</v>
      </c>
      <c r="F555" s="125" t="s">
        <v>2979</v>
      </c>
      <c r="G555" s="67" t="s">
        <v>2980</v>
      </c>
    </row>
    <row r="556" spans="1:7" ht="25.9" customHeight="1">
      <c r="A556" s="65">
        <v>553</v>
      </c>
      <c r="D556" s="121" t="str">
        <f t="shared" si="8"/>
        <v>Pompe à chaleur air extérieur jusqu'à 35°C pour température de départ</v>
      </c>
      <c r="E556" s="66" t="s">
        <v>2938</v>
      </c>
      <c r="F556" s="125" t="s">
        <v>2981</v>
      </c>
      <c r="G556" s="67" t="s">
        <v>2982</v>
      </c>
    </row>
    <row r="557" spans="1:7" ht="25.9" customHeight="1">
      <c r="A557" s="65">
        <v>554</v>
      </c>
      <c r="D557" s="121" t="str">
        <f t="shared" si="8"/>
        <v xml:space="preserve">Température de départ max. de l'installation de production de chaleur:  </v>
      </c>
      <c r="E557" s="66" t="s">
        <v>2889</v>
      </c>
      <c r="F557" s="125" t="s">
        <v>2983</v>
      </c>
      <c r="G557" s="67" t="s">
        <v>2984</v>
      </c>
    </row>
    <row r="558" spans="1:7" ht="25.9" customHeight="1">
      <c r="A558" s="65">
        <v>555</v>
      </c>
      <c r="D558" s="121" t="str">
        <f t="shared" si="8"/>
        <v>CECB - Catégorie</v>
      </c>
      <c r="E558" s="66" t="s">
        <v>2799</v>
      </c>
      <c r="F558" s="125" t="s">
        <v>2985</v>
      </c>
      <c r="G558" s="67" t="s">
        <v>2986</v>
      </c>
    </row>
    <row r="559" spans="1:7" ht="25.9" customHeight="1">
      <c r="A559" s="65">
        <v>556</v>
      </c>
      <c r="D559" s="121" t="str">
        <f t="shared" si="8"/>
        <v>Type de ventilation</v>
      </c>
      <c r="E559" s="66" t="s">
        <v>2813</v>
      </c>
      <c r="F559" s="125" t="s">
        <v>2987</v>
      </c>
      <c r="G559" s="67" t="s">
        <v>2988</v>
      </c>
    </row>
    <row r="560" spans="1:7" ht="25.9" customHeight="1">
      <c r="A560" s="65">
        <v>557</v>
      </c>
      <c r="D560" s="121" t="str">
        <f t="shared" si="8"/>
        <v>Avec récupération de chaleur</v>
      </c>
      <c r="E560" s="66" t="s">
        <v>2814</v>
      </c>
      <c r="F560" s="125" t="s">
        <v>2989</v>
      </c>
      <c r="G560" s="67" t="s">
        <v>2990</v>
      </c>
    </row>
    <row r="561" spans="1:7" ht="25.9" customHeight="1">
      <c r="A561" s="65">
        <v>558</v>
      </c>
      <c r="D561" s="121" t="str">
        <f t="shared" si="8"/>
        <v>Sans récupération de chaleur</v>
      </c>
      <c r="E561" s="66" t="s">
        <v>2815</v>
      </c>
      <c r="F561" s="125" t="s">
        <v>2991</v>
      </c>
      <c r="G561" s="67" t="s">
        <v>2992</v>
      </c>
    </row>
    <row r="562" spans="1:7" ht="25.9" customHeight="1">
      <c r="A562" s="65">
        <v>559</v>
      </c>
      <c r="D562" s="121" t="str">
        <f>INDEX($E$4:$G$603,$A562,$A$1)</f>
        <v>Lave-vaisselle</v>
      </c>
      <c r="E562" s="66" t="s">
        <v>2818</v>
      </c>
      <c r="F562" s="125" t="s">
        <v>2993</v>
      </c>
      <c r="G562" s="67" t="s">
        <v>2994</v>
      </c>
    </row>
    <row r="563" spans="1:7" ht="25.9" customHeight="1">
      <c r="A563" s="65">
        <v>560</v>
      </c>
      <c r="D563" s="121" t="str">
        <f t="shared" si="8"/>
        <v>Réfrigérateur et congélateur</v>
      </c>
      <c r="E563" s="66" t="s">
        <v>2819</v>
      </c>
      <c r="F563" s="125" t="s">
        <v>2995</v>
      </c>
      <c r="G563" s="67" t="s">
        <v>2996</v>
      </c>
    </row>
    <row r="564" spans="1:7" ht="25.9" customHeight="1">
      <c r="A564" s="65">
        <v>561</v>
      </c>
      <c r="D564" s="121" t="str">
        <f t="shared" si="8"/>
        <v>Lave-linge</v>
      </c>
      <c r="E564" s="66" t="s">
        <v>2820</v>
      </c>
      <c r="F564" s="125" t="s">
        <v>2997</v>
      </c>
      <c r="G564" s="67" t="s">
        <v>2998</v>
      </c>
    </row>
    <row r="565" spans="1:7" ht="25.9" customHeight="1">
      <c r="A565" s="65">
        <v>562</v>
      </c>
      <c r="D565" s="121" t="str">
        <f t="shared" si="8"/>
        <v>Sèche-linge</v>
      </c>
      <c r="E565" s="66" t="s">
        <v>2821</v>
      </c>
      <c r="F565" s="125" t="s">
        <v>2999</v>
      </c>
      <c r="G565" s="67" t="s">
        <v>3000</v>
      </c>
    </row>
    <row r="566" spans="1:7" ht="25.9" customHeight="1">
      <c r="A566" s="65">
        <v>563</v>
      </c>
      <c r="D566" s="121" t="str">
        <f t="shared" si="8"/>
        <v>Cuisinière</v>
      </c>
      <c r="E566" s="66" t="s">
        <v>2822</v>
      </c>
      <c r="F566" s="125" t="s">
        <v>3001</v>
      </c>
      <c r="G566" s="67" t="s">
        <v>3002</v>
      </c>
    </row>
    <row r="567" spans="1:7" ht="25.9" customHeight="1">
      <c r="A567" s="65">
        <v>564</v>
      </c>
      <c r="D567" s="121" t="str">
        <f t="shared" si="8"/>
        <v>Éclairage résidentiel [fixe]</v>
      </c>
      <c r="E567" s="66" t="s">
        <v>2824</v>
      </c>
      <c r="F567" s="125" t="s">
        <v>3003</v>
      </c>
      <c r="G567" s="67" t="s">
        <v>3004</v>
      </c>
    </row>
    <row r="568" spans="1:7" ht="25.9" customHeight="1">
      <c r="A568" s="65">
        <v>565</v>
      </c>
      <c r="D568" s="121" t="str">
        <f t="shared" si="8"/>
        <v>Éclairage général [comme les couloirs, cave extérieur de l'unité de logement]</v>
      </c>
      <c r="E568" s="66" t="s">
        <v>2825</v>
      </c>
      <c r="F568" s="125" t="s">
        <v>3169</v>
      </c>
      <c r="G568" s="67" t="s">
        <v>3005</v>
      </c>
    </row>
    <row r="569" spans="1:7" ht="25.9" customHeight="1">
      <c r="A569" s="65">
        <v>566</v>
      </c>
      <c r="D569" s="121" t="str">
        <f t="shared" ref="D569:D603" si="9">INDEX($E$4:$G$603,$A569,$A$1)</f>
        <v>Electricité générale et appareils [not. pompes de circulation, etc. extérieur de l'unité de logement]</v>
      </c>
      <c r="E569" s="66" t="s">
        <v>2826</v>
      </c>
      <c r="F569" s="125" t="s">
        <v>3170</v>
      </c>
      <c r="G569" s="67" t="s">
        <v>3006</v>
      </c>
    </row>
    <row r="570" spans="1:7" ht="25.9" customHeight="1">
      <c r="A570" s="65">
        <v>567</v>
      </c>
      <c r="D570" s="121" t="str">
        <f t="shared" si="9"/>
        <v>Classe d'efficacité énergétique A+++ / A++</v>
      </c>
      <c r="E570" s="66" t="s">
        <v>2905</v>
      </c>
      <c r="F570" s="125" t="s">
        <v>3007</v>
      </c>
      <c r="G570" s="67" t="s">
        <v>3008</v>
      </c>
    </row>
    <row r="571" spans="1:7" ht="25.9" customHeight="1">
      <c r="A571" s="65">
        <v>568</v>
      </c>
      <c r="D571" s="121" t="str">
        <f t="shared" si="9"/>
        <v>Cuisinière à induction [c.-à-d.: nouvelle cuisine]</v>
      </c>
      <c r="E571" s="66" t="s">
        <v>2823</v>
      </c>
      <c r="F571" s="125" t="s">
        <v>3009</v>
      </c>
      <c r="G571" s="67" t="s">
        <v>3010</v>
      </c>
    </row>
    <row r="572" spans="1:7" ht="25.9" customHeight="1">
      <c r="A572" s="65">
        <v>569</v>
      </c>
      <c r="D572" s="121" t="str">
        <f t="shared" si="9"/>
        <v>LED classe d'efficacité A++ / A+ [changer les lumières]</v>
      </c>
      <c r="E572" s="66" t="s">
        <v>2906</v>
      </c>
      <c r="F572" s="125" t="s">
        <v>3011</v>
      </c>
      <c r="G572" s="67" t="s">
        <v>3012</v>
      </c>
    </row>
    <row r="573" spans="1:7" ht="25.9" customHeight="1">
      <c r="A573" s="65">
        <v>570</v>
      </c>
      <c r="D573" s="121" t="str">
        <f t="shared" si="9"/>
        <v>LED classe d'efficacité A++ / A+ et régulation [p.ex. détecteur de mouvement, minuterie]</v>
      </c>
      <c r="E573" s="66" t="s">
        <v>2907</v>
      </c>
      <c r="F573" s="125" t="s">
        <v>3013</v>
      </c>
      <c r="G573" s="67" t="s">
        <v>3014</v>
      </c>
    </row>
    <row r="574" spans="1:7" ht="25.9" customHeight="1">
      <c r="A574" s="65">
        <v>571</v>
      </c>
      <c r="D574" s="121" t="str">
        <f t="shared" si="9"/>
        <v>Appareils efficaces pour l'exploitation des bâtiments et les bâtiments à usage d'habitation</v>
      </c>
      <c r="E574" s="66" t="s">
        <v>2827</v>
      </c>
      <c r="F574" s="125" t="s">
        <v>3015</v>
      </c>
      <c r="G574" s="67" t="s">
        <v>3016</v>
      </c>
    </row>
    <row r="575" spans="1:7" ht="25.9" customHeight="1">
      <c r="A575" s="65">
        <v>572</v>
      </c>
      <c r="D575" s="121" t="str">
        <f t="shared" si="9"/>
        <v>Max.</v>
      </c>
      <c r="E575" s="66" t="s">
        <v>2828</v>
      </c>
      <c r="F575" s="125" t="s">
        <v>3017</v>
      </c>
      <c r="G575" s="67" t="s">
        <v>3018</v>
      </c>
    </row>
    <row r="576" spans="1:7" ht="25.9" customHeight="1">
      <c r="A576" s="65">
        <v>573</v>
      </c>
      <c r="D576" s="121" t="str">
        <f t="shared" si="9"/>
        <v>Nouvelles constructions</v>
      </c>
      <c r="E576" s="66" t="s">
        <v>2816</v>
      </c>
      <c r="F576" s="125" t="s">
        <v>3019</v>
      </c>
      <c r="G576" s="67" t="s">
        <v>3020</v>
      </c>
    </row>
    <row r="577" spans="1:7" ht="25.9" customHeight="1">
      <c r="A577" s="65">
        <v>574</v>
      </c>
      <c r="D577" s="121" t="str">
        <f t="shared" si="9"/>
        <v>Rénovations</v>
      </c>
      <c r="E577" s="66" t="s">
        <v>2817</v>
      </c>
      <c r="F577" s="125" t="s">
        <v>3021</v>
      </c>
      <c r="G577" s="67" t="s">
        <v>3022</v>
      </c>
    </row>
    <row r="578" spans="1:7" ht="25.9" customHeight="1">
      <c r="A578" s="65">
        <v>575</v>
      </c>
      <c r="D578" s="121" t="str">
        <f t="shared" si="9"/>
        <v>Electricité</v>
      </c>
      <c r="E578" s="66" t="s">
        <v>1283</v>
      </c>
      <c r="F578" s="125" t="s">
        <v>1936</v>
      </c>
      <c r="G578" s="67" t="s">
        <v>3023</v>
      </c>
    </row>
    <row r="579" spans="1:7" ht="25.9" customHeight="1">
      <c r="A579" s="65">
        <v>576</v>
      </c>
      <c r="D579" s="121" t="str">
        <f t="shared" si="9"/>
        <v>Nombre disponible</v>
      </c>
      <c r="E579" s="66" t="s">
        <v>2877</v>
      </c>
      <c r="F579" s="125" t="s">
        <v>3024</v>
      </c>
      <c r="G579" s="67" t="s">
        <v>3025</v>
      </c>
    </row>
    <row r="580" spans="1:7" ht="25.9" customHeight="1">
      <c r="A580" s="65">
        <v>577</v>
      </c>
      <c r="D580" s="121" t="str">
        <f t="shared" si="9"/>
        <v>Exigence</v>
      </c>
      <c r="E580" s="66" t="s">
        <v>244</v>
      </c>
      <c r="F580" s="125" t="s">
        <v>1955</v>
      </c>
      <c r="G580" s="67" t="s">
        <v>3026</v>
      </c>
    </row>
    <row r="581" spans="1:7" ht="25.9" customHeight="1">
      <c r="A581" s="65">
        <v>578</v>
      </c>
      <c r="D581" s="121" t="str">
        <f t="shared" si="9"/>
        <v>Dont exigence respectée</v>
      </c>
      <c r="E581" s="66" t="s">
        <v>2878</v>
      </c>
      <c r="F581" s="125" t="s">
        <v>3027</v>
      </c>
      <c r="G581" s="67" t="s">
        <v>3028</v>
      </c>
    </row>
    <row r="582" spans="1:7" ht="25.9" customHeight="1">
      <c r="A582" s="65">
        <v>579</v>
      </c>
      <c r="D582" s="121" t="str">
        <f t="shared" si="9"/>
        <v>Respectée</v>
      </c>
      <c r="E582" s="66" t="s">
        <v>2829</v>
      </c>
      <c r="F582" s="125" t="s">
        <v>3029</v>
      </c>
      <c r="G582" s="67" t="s">
        <v>3030</v>
      </c>
    </row>
    <row r="583" spans="1:7" ht="25.9" customHeight="1">
      <c r="A583" s="65">
        <v>580</v>
      </c>
      <c r="D583" s="121" t="str">
        <f t="shared" si="9"/>
        <v>Non respectée</v>
      </c>
      <c r="E583" s="66" t="s">
        <v>2830</v>
      </c>
      <c r="F583" s="125" t="s">
        <v>3031</v>
      </c>
      <c r="G583" s="67" t="s">
        <v>3032</v>
      </c>
    </row>
    <row r="584" spans="1:7" ht="25.9" customHeight="1">
      <c r="A584" s="65">
        <v>581</v>
      </c>
      <c r="D584" s="121" t="str">
        <f t="shared" si="9"/>
        <v>Installation PV</v>
      </c>
      <c r="E584" s="66" t="s">
        <v>2832</v>
      </c>
      <c r="F584" s="125" t="s">
        <v>3033</v>
      </c>
      <c r="G584" s="67" t="s">
        <v>3034</v>
      </c>
    </row>
    <row r="585" spans="1:7" ht="25.9" customHeight="1">
      <c r="A585" s="65">
        <v>582</v>
      </c>
      <c r="D585" s="121" t="str">
        <f t="shared" si="9"/>
        <v>Variante 1</v>
      </c>
      <c r="E585" s="66" t="s">
        <v>2833</v>
      </c>
      <c r="F585" s="125" t="s">
        <v>3035</v>
      </c>
      <c r="G585" s="67" t="s">
        <v>2833</v>
      </c>
    </row>
    <row r="586" spans="1:7" ht="25.9" customHeight="1">
      <c r="A586" s="65">
        <v>583</v>
      </c>
      <c r="D586" s="121" t="str">
        <f t="shared" si="9"/>
        <v>Evaluation globale de cas standards pour les affectations suivantes: habitation, bureau individuel ou paysager, salle de réunion et dépôt (sans refroidissement)</v>
      </c>
      <c r="E586" s="66" t="s">
        <v>2836</v>
      </c>
      <c r="F586" s="125" t="s">
        <v>3036</v>
      </c>
      <c r="G586" s="67" t="s">
        <v>3037</v>
      </c>
    </row>
    <row r="587" spans="1:7" ht="25.9" customHeight="1">
      <c r="A587" s="65">
        <v>584</v>
      </c>
      <c r="D587" s="121" t="str">
        <f t="shared" si="9"/>
        <v>Variante 2</v>
      </c>
      <c r="E587" s="66" t="s">
        <v>2834</v>
      </c>
      <c r="F587" s="125" t="s">
        <v>3038</v>
      </c>
      <c r="G587" s="67" t="s">
        <v>2834</v>
      </c>
    </row>
    <row r="588" spans="1:7" ht="25.9" customHeight="1">
      <c r="A588" s="65">
        <v>585</v>
      </c>
      <c r="D588" s="121" t="str">
        <f t="shared" si="9"/>
        <v>Justification externe des critères selon SIA 382/1 (sans refroidissement)</v>
      </c>
      <c r="E588" s="66" t="s">
        <v>2837</v>
      </c>
      <c r="F588" s="125" t="s">
        <v>3039</v>
      </c>
      <c r="G588" s="67" t="s">
        <v>3040</v>
      </c>
    </row>
    <row r="589" spans="1:7" ht="25.9" customHeight="1">
      <c r="A589" s="65">
        <v>586</v>
      </c>
      <c r="D589" s="121" t="str">
        <f t="shared" si="9"/>
        <v>Variante 3</v>
      </c>
      <c r="E589" s="66" t="s">
        <v>2835</v>
      </c>
      <c r="F589" s="125" t="s">
        <v>3041</v>
      </c>
      <c r="G589" s="67" t="s">
        <v>2835</v>
      </c>
    </row>
    <row r="590" spans="1:7" ht="25.9" customHeight="1">
      <c r="A590" s="65">
        <v>587</v>
      </c>
      <c r="D590" s="121" t="str">
        <f t="shared" si="9"/>
        <v>Justification externe des critères selon SIA 382/1 (avec refroidissement)</v>
      </c>
      <c r="E590" s="66" t="s">
        <v>2838</v>
      </c>
      <c r="F590" s="125" t="s">
        <v>3042</v>
      </c>
      <c r="G590" s="67" t="s">
        <v>3043</v>
      </c>
    </row>
    <row r="591" spans="1:7" ht="25.9" customHeight="1">
      <c r="A591" s="65">
        <v>588</v>
      </c>
      <c r="D591" s="121" t="str">
        <f t="shared" si="9"/>
        <v>Pièces relatives à la demande de certification</v>
      </c>
      <c r="E591" s="771" t="s">
        <v>2841</v>
      </c>
      <c r="F591" s="125" t="s">
        <v>3044</v>
      </c>
      <c r="G591" s="67" t="s">
        <v>3045</v>
      </c>
    </row>
    <row r="592" spans="1:7" ht="25.9" customHeight="1">
      <c r="A592" s="65">
        <v>589</v>
      </c>
      <c r="D592" s="121" t="str">
        <f t="shared" si="9"/>
        <v>(toutes les pièces doivent être annexées à la demande)</v>
      </c>
      <c r="E592" s="66" t="s">
        <v>2842</v>
      </c>
      <c r="F592" s="125" t="s">
        <v>3046</v>
      </c>
      <c r="G592" s="67" t="s">
        <v>3047</v>
      </c>
    </row>
    <row r="593" spans="1:7" ht="25.9" customHeight="1">
      <c r="A593" s="65">
        <v>590</v>
      </c>
      <c r="D593" s="121" t="str">
        <f t="shared" si="9"/>
        <v>Valeur U du toit, des murs extérieurs, du sol</v>
      </c>
      <c r="E593" s="66" t="s">
        <v>2843</v>
      </c>
      <c r="F593" s="125" t="s">
        <v>3048</v>
      </c>
      <c r="G593" s="67" t="s">
        <v>3049</v>
      </c>
    </row>
    <row r="594" spans="1:7" ht="25.9" customHeight="1">
      <c r="A594" s="65">
        <v>591</v>
      </c>
      <c r="D594" s="121" t="str">
        <f t="shared" si="9"/>
        <v>Valeur U des fenêtres (confirmation écrite du respect 1.0)</v>
      </c>
      <c r="E594" s="66" t="s">
        <v>2844</v>
      </c>
      <c r="F594" s="125" t="s">
        <v>3050</v>
      </c>
      <c r="G594" s="67" t="s">
        <v>3051</v>
      </c>
    </row>
    <row r="595" spans="1:7" ht="25.9" customHeight="1">
      <c r="A595" s="65">
        <v>592</v>
      </c>
      <c r="D595" s="121" t="str">
        <f t="shared" si="9"/>
        <v>Plans à l'échelle 1:50 avec désignation des éléments de construction</v>
      </c>
      <c r="E595" s="66" t="s">
        <v>2845</v>
      </c>
      <c r="F595" s="125" t="s">
        <v>3052</v>
      </c>
      <c r="G595" s="67" t="s">
        <v>3053</v>
      </c>
    </row>
    <row r="596" spans="1:7" ht="25.9" customHeight="1">
      <c r="A596" s="65">
        <v>593</v>
      </c>
      <c r="D596" s="121" t="str">
        <f t="shared" si="9"/>
        <v>Plan de situation</v>
      </c>
      <c r="E596" s="66" t="s">
        <v>2846</v>
      </c>
      <c r="F596" s="125" t="s">
        <v>3054</v>
      </c>
      <c r="G596" s="67" t="s">
        <v>3055</v>
      </c>
    </row>
    <row r="597" spans="1:7" ht="25.9" customHeight="1">
      <c r="A597" s="65">
        <v>594</v>
      </c>
      <c r="D597" s="121" t="str">
        <f t="shared" si="9"/>
        <v>Version imprimée signée comprenant également les onglets « Enveloppe et électricité » et « Eté et documents »</v>
      </c>
      <c r="E597" s="66" t="s">
        <v>2910</v>
      </c>
      <c r="F597" s="125" t="s">
        <v>3056</v>
      </c>
      <c r="G597" s="67" t="s">
        <v>3057</v>
      </c>
    </row>
    <row r="598" spans="1:7" ht="25.9" customHeight="1">
      <c r="A598" s="65">
        <v>595</v>
      </c>
      <c r="D598" s="121" t="str">
        <f t="shared" si="9"/>
        <v>Caractéristiques techniques de l'appareil de ventilation</v>
      </c>
      <c r="E598" s="66" t="s">
        <v>2847</v>
      </c>
      <c r="F598" s="125" t="s">
        <v>3058</v>
      </c>
      <c r="G598" s="67" t="s">
        <v>3059</v>
      </c>
    </row>
    <row r="599" spans="1:7" ht="25.9" customHeight="1">
      <c r="A599" s="65">
        <v>596</v>
      </c>
      <c r="D599" s="121" t="str">
        <f t="shared" si="9"/>
        <v>Caractéristiques techniques de l'installation de production de chaleur</v>
      </c>
      <c r="E599" s="66" t="s">
        <v>2848</v>
      </c>
      <c r="F599" s="125" t="s">
        <v>3060</v>
      </c>
      <c r="G599" s="67" t="s">
        <v>3061</v>
      </c>
    </row>
    <row r="600" spans="1:7" ht="25.9" customHeight="1">
      <c r="A600" s="65">
        <v>597</v>
      </c>
      <c r="D600" s="121" t="str">
        <f t="shared" si="9"/>
        <v>Photos de l'ouvrage / max. 10, taille max. 3 MB</v>
      </c>
      <c r="E600" s="66" t="s">
        <v>2849</v>
      </c>
      <c r="F600" s="125" t="s">
        <v>3062</v>
      </c>
      <c r="G600" s="67" t="s">
        <v>3063</v>
      </c>
    </row>
    <row r="601" spans="1:7" ht="25.9" customHeight="1">
      <c r="A601" s="65">
        <v>598</v>
      </c>
      <c r="D601" s="121" t="str">
        <f t="shared" si="9"/>
        <v>Autres documents (facultatif):</v>
      </c>
      <c r="E601" s="66" t="s">
        <v>2850</v>
      </c>
      <c r="F601" s="125" t="s">
        <v>3064</v>
      </c>
      <c r="G601" s="67" t="s">
        <v>3065</v>
      </c>
    </row>
    <row r="602" spans="1:7" ht="25.9" customHeight="1">
      <c r="A602" s="65">
        <v>599</v>
      </c>
      <c r="D602" s="121" t="str">
        <f t="shared" si="9"/>
        <v>Obligation de documenter</v>
      </c>
      <c r="E602" s="66" t="s">
        <v>2851</v>
      </c>
      <c r="F602" s="125" t="s">
        <v>3066</v>
      </c>
      <c r="G602" s="67" t="s">
        <v>3067</v>
      </c>
    </row>
    <row r="603" spans="1:7" ht="25.9" customHeight="1">
      <c r="A603" s="65">
        <v>600</v>
      </c>
      <c r="D603" s="121" t="str">
        <f t="shared" si="9"/>
        <v>Pour le contrôle qualité effectué sur la base de contrôles aléatoires (20% des bâtiments), les signataires sont tenus de documenter l'avancement du projet par des photos, des copies de factures et de la documentation technique (p.ex. fiches de données du produit).</v>
      </c>
      <c r="E603" s="66" t="s">
        <v>2852</v>
      </c>
      <c r="F603" s="125" t="s">
        <v>3068</v>
      </c>
      <c r="G603" s="67" t="s">
        <v>3069</v>
      </c>
    </row>
    <row r="604" spans="1:7" ht="25.9" customHeight="1">
      <c r="A604" s="65">
        <v>601</v>
      </c>
      <c r="D604" s="121" t="str">
        <f>INDEX($E$4:$G$609,$A604,$A$1)</f>
        <v>Lieu, date</v>
      </c>
      <c r="E604" s="66" t="s">
        <v>2853</v>
      </c>
      <c r="F604" s="125" t="s">
        <v>3070</v>
      </c>
      <c r="G604" s="67" t="s">
        <v>3071</v>
      </c>
    </row>
    <row r="605" spans="1:7" ht="25.9" customHeight="1">
      <c r="A605" s="65">
        <v>602</v>
      </c>
      <c r="D605" s="121" t="str">
        <f t="shared" ref="D605:D608" si="10">INDEX($E$4:$G$609,$A605,$A$1)</f>
        <v>Signature</v>
      </c>
      <c r="E605" s="66" t="s">
        <v>2854</v>
      </c>
      <c r="F605" s="125" t="s">
        <v>1141</v>
      </c>
      <c r="G605" s="67" t="s">
        <v>3072</v>
      </c>
    </row>
    <row r="606" spans="1:7" ht="25.9" customHeight="1">
      <c r="A606" s="65">
        <v>603</v>
      </c>
      <c r="D606" s="121" t="str">
        <f t="shared" si="10"/>
        <v>Requérant</v>
      </c>
      <c r="E606" s="66" t="s">
        <v>2856</v>
      </c>
      <c r="F606" s="125" t="s">
        <v>3073</v>
      </c>
      <c r="G606" s="67" t="s">
        <v>3074</v>
      </c>
    </row>
    <row r="607" spans="1:7" ht="25.9" customHeight="1">
      <c r="A607" s="65">
        <v>604</v>
      </c>
      <c r="D607" s="121">
        <f t="shared" si="10"/>
        <v>0</v>
      </c>
      <c r="E607" s="66" t="s">
        <v>2857</v>
      </c>
      <c r="G607" s="67" t="s">
        <v>3075</v>
      </c>
    </row>
    <row r="608" spans="1:7" ht="25.9" customHeight="1">
      <c r="A608" s="65">
        <v>605</v>
      </c>
      <c r="D608" s="121" t="str">
        <f t="shared" si="10"/>
        <v>Maître d'ouvrage</v>
      </c>
      <c r="E608" s="66" t="s">
        <v>2855</v>
      </c>
      <c r="F608" s="125" t="s">
        <v>3076</v>
      </c>
      <c r="G608" s="67" t="s">
        <v>3077</v>
      </c>
    </row>
    <row r="609" spans="1:7" ht="25.9" customHeight="1">
      <c r="A609" s="65">
        <v>606</v>
      </c>
      <c r="D609" s="121" t="str">
        <f>INDEX($E$4:$G$625,$A609,$A$1)</f>
        <v>Les signataires</v>
      </c>
      <c r="E609" s="66" t="s">
        <v>2858</v>
      </c>
      <c r="F609" s="125" t="s">
        <v>3078</v>
      </c>
      <c r="G609" s="67" t="s">
        <v>3079</v>
      </c>
    </row>
    <row r="610" spans="1:7" ht="25.9" customHeight="1">
      <c r="A610" s="65">
        <v>607</v>
      </c>
      <c r="D610" s="121" t="str">
        <f t="shared" ref="D610:D622" si="11">INDEX($E$4:$G$625,$A610,$A$1)</f>
        <v>1. déclarent avoir pris connaissance de l'actuel règlement d'utilisation MINERGIE.</v>
      </c>
      <c r="E610" s="66" t="s">
        <v>2859</v>
      </c>
      <c r="F610" s="125" t="s">
        <v>3080</v>
      </c>
      <c r="G610" s="67" t="s">
        <v>3081</v>
      </c>
    </row>
    <row r="611" spans="1:7" ht="25.9" customHeight="1">
      <c r="A611" s="65">
        <v>608</v>
      </c>
      <c r="D611" s="121" t="str">
        <f t="shared" si="11"/>
        <v>2. reconnaissent le règlement MINERGIE comme condition intégrale de chacune des utilisations de la marque MINERGIE.</v>
      </c>
      <c r="E611" s="66" t="s">
        <v>2860</v>
      </c>
      <c r="F611" s="125" t="s">
        <v>3082</v>
      </c>
      <c r="G611" s="67" t="s">
        <v>3083</v>
      </c>
    </row>
    <row r="612" spans="1:7" ht="25.9" customHeight="1">
      <c r="A612" s="65">
        <v>609</v>
      </c>
      <c r="D612" s="121" t="str">
        <f t="shared" si="11"/>
        <v>3. déclarent avoir pris connaissance de l'actuel règlement sur les émoluments de MINERGIE.</v>
      </c>
      <c r="E612" s="66" t="s">
        <v>2861</v>
      </c>
      <c r="F612" s="125" t="s">
        <v>3084</v>
      </c>
      <c r="G612" s="67" t="s">
        <v>3085</v>
      </c>
    </row>
    <row r="613" spans="1:7" ht="25.9" customHeight="1">
      <c r="A613" s="65">
        <v>610</v>
      </c>
      <c r="D613" s="121" t="str">
        <f t="shared" si="11"/>
        <v>4. sont conscients du fait que le requérant est responsable de la mise en œuvre physique des exigences MINERGIE conformément à la demande et qu'il doit garantir ces dernières en consultant si nécessaire le spécialiste requis.</v>
      </c>
      <c r="E613" s="66" t="s">
        <v>2862</v>
      </c>
      <c r="F613" s="125" t="s">
        <v>3086</v>
      </c>
      <c r="G613" s="67" t="s">
        <v>3087</v>
      </c>
    </row>
    <row r="614" spans="1:7" ht="25.9" customHeight="1">
      <c r="A614" s="65">
        <v>611</v>
      </c>
      <c r="D614" s="121" t="str">
        <f t="shared" si="11"/>
        <v>5. ne sont pas opposés à la publication des données enregistrées (architecte, planificateur, emplacement du bâtiment, maître d'ouvrage).</v>
      </c>
      <c r="E614" s="66" t="s">
        <v>2863</v>
      </c>
      <c r="F614" s="125" t="s">
        <v>3088</v>
      </c>
      <c r="G614" s="67" t="s">
        <v>3089</v>
      </c>
    </row>
    <row r="615" spans="1:7" ht="25.9" customHeight="1">
      <c r="A615" s="65">
        <v>612</v>
      </c>
      <c r="D615" s="121" t="str">
        <f t="shared" si="11"/>
        <v>Solution standard</v>
      </c>
      <c r="E615" s="66" t="s">
        <v>2779</v>
      </c>
      <c r="F615" s="125" t="s">
        <v>2961</v>
      </c>
      <c r="G615" s="67" t="s">
        <v>2962</v>
      </c>
    </row>
    <row r="616" spans="1:7" ht="25.9" customHeight="1">
      <c r="A616" s="65">
        <v>613</v>
      </c>
      <c r="D616" s="121" t="str">
        <f t="shared" si="11"/>
        <v>Protection thermique</v>
      </c>
      <c r="E616" s="66" t="s">
        <v>2864</v>
      </c>
      <c r="F616" s="125" t="s">
        <v>3090</v>
      </c>
      <c r="G616" s="67" t="s">
        <v>3091</v>
      </c>
    </row>
    <row r="617" spans="1:7" ht="25.9" customHeight="1">
      <c r="A617" s="65">
        <v>614</v>
      </c>
      <c r="D617" s="121" t="str">
        <f t="shared" si="11"/>
        <v>Exigences MINERGIE respectées</v>
      </c>
      <c r="E617" s="66" t="s">
        <v>2865</v>
      </c>
      <c r="F617" s="125" t="s">
        <v>3092</v>
      </c>
      <c r="G617" s="67" t="s">
        <v>3093</v>
      </c>
    </row>
    <row r="618" spans="1:7" ht="25.9" customHeight="1">
      <c r="A618" s="65">
        <v>615</v>
      </c>
      <c r="D618" s="121" t="str">
        <f t="shared" si="11"/>
        <v>Exigences MINERGIE non respectées</v>
      </c>
      <c r="E618" s="66" t="s">
        <v>2866</v>
      </c>
      <c r="F618" s="125" t="s">
        <v>3094</v>
      </c>
      <c r="G618" s="67" t="s">
        <v>3095</v>
      </c>
    </row>
    <row r="619" spans="1:7" ht="25.9" customHeight="1">
      <c r="A619" s="65">
        <v>616</v>
      </c>
      <c r="D619" s="121">
        <f t="shared" si="11"/>
        <v>0</v>
      </c>
      <c r="E619" s="66" t="s">
        <v>2869</v>
      </c>
      <c r="G619" s="67" t="s">
        <v>3096</v>
      </c>
    </row>
    <row r="620" spans="1:7" ht="25.9" customHeight="1">
      <c r="A620" s="65">
        <v>617</v>
      </c>
      <c r="D620" s="121" t="str">
        <f t="shared" si="11"/>
        <v>Protection thermique estivale</v>
      </c>
      <c r="E620" s="66" t="s">
        <v>2867</v>
      </c>
      <c r="F620" s="125" t="s">
        <v>3097</v>
      </c>
      <c r="G620" s="67" t="s">
        <v>3098</v>
      </c>
    </row>
    <row r="621" spans="1:7" ht="25.9" customHeight="1">
      <c r="A621" s="65">
        <v>618</v>
      </c>
      <c r="D621" s="121" t="str">
        <f t="shared" si="11"/>
        <v>Pompes à chaleur sur air sortant</v>
      </c>
      <c r="E621" s="66" t="s">
        <v>2870</v>
      </c>
      <c r="F621" s="125" t="s">
        <v>3099</v>
      </c>
      <c r="G621" s="67" t="s">
        <v>3100</v>
      </c>
    </row>
    <row r="622" spans="1:7" ht="25.9" customHeight="1">
      <c r="A622" s="65">
        <v>619</v>
      </c>
      <c r="D622" s="121" t="str">
        <f t="shared" si="11"/>
        <v>Aération autom. par les fenêtres</v>
      </c>
      <c r="E622" s="66" t="s">
        <v>2874</v>
      </c>
      <c r="F622" s="125" t="s">
        <v>3101</v>
      </c>
      <c r="G622" s="67" t="s">
        <v>3102</v>
      </c>
    </row>
    <row r="623" spans="1:7" ht="25.9" customHeight="1">
      <c r="A623" s="65">
        <v>620</v>
      </c>
      <c r="D623" s="121" t="str">
        <f>INDEX($E$4:$G$1000,$A623,$A$1)</f>
        <v>Certificat énergétique cantonal des bâtiments</v>
      </c>
      <c r="E623" s="66" t="s">
        <v>2871</v>
      </c>
      <c r="F623" s="125" t="s">
        <v>3103</v>
      </c>
      <c r="G623" s="67" t="s">
        <v>3104</v>
      </c>
    </row>
    <row r="624" spans="1:7" ht="25.9" customHeight="1">
      <c r="A624" s="65">
        <v>621</v>
      </c>
      <c r="D624" s="121" t="str">
        <f t="shared" ref="D624:D687" si="12">INDEX($E$4:$G$1000,$A624,$A$1)</f>
        <v>Système de distribution</v>
      </c>
      <c r="E624" s="66" t="s">
        <v>2888</v>
      </c>
      <c r="F624" s="125" t="s">
        <v>3105</v>
      </c>
      <c r="G624" s="67" t="s">
        <v>3106</v>
      </c>
    </row>
    <row r="625" spans="1:7" ht="25.9" customHeight="1">
      <c r="A625" s="65">
        <v>622</v>
      </c>
      <c r="D625" s="121" t="str">
        <f t="shared" si="12"/>
        <v>Chauffage par le sol</v>
      </c>
      <c r="E625" s="66" t="s">
        <v>2872</v>
      </c>
      <c r="F625" s="125" t="s">
        <v>3107</v>
      </c>
      <c r="G625" s="67" t="s">
        <v>3108</v>
      </c>
    </row>
    <row r="626" spans="1:7" ht="25.9" customHeight="1">
      <c r="A626" s="65">
        <v>623</v>
      </c>
      <c r="D626" s="121" t="str">
        <f t="shared" si="12"/>
        <v>Corps de chauffe</v>
      </c>
      <c r="E626" s="66" t="s">
        <v>2873</v>
      </c>
      <c r="F626" s="125" t="s">
        <v>3109</v>
      </c>
      <c r="G626" s="67" t="s">
        <v>3110</v>
      </c>
    </row>
    <row r="627" spans="1:7" ht="25.9" customHeight="1">
      <c r="A627" s="65">
        <v>624</v>
      </c>
      <c r="D627" s="121" t="str">
        <f t="shared" si="12"/>
        <v>Nombre de pièce(s) avec entrée d'air</v>
      </c>
      <c r="E627" s="66" t="s">
        <v>2875</v>
      </c>
      <c r="F627" s="125" t="s">
        <v>3111</v>
      </c>
      <c r="G627" s="67" t="s">
        <v>3112</v>
      </c>
    </row>
    <row r="628" spans="1:7" ht="25.9" customHeight="1">
      <c r="A628" s="65">
        <v>625</v>
      </c>
      <c r="D628" s="121" t="str">
        <f t="shared" si="12"/>
        <v>Justificatif pour l'électricité option</v>
      </c>
      <c r="E628" s="66" t="s">
        <v>2879</v>
      </c>
      <c r="F628" s="125" t="s">
        <v>3171</v>
      </c>
      <c r="G628" s="67" t="s">
        <v>3113</v>
      </c>
    </row>
    <row r="629" spans="1:7" ht="25.9" customHeight="1">
      <c r="A629" s="65">
        <v>626</v>
      </c>
      <c r="D629" s="121" t="str">
        <f t="shared" si="12"/>
        <v>Appareils électriques</v>
      </c>
      <c r="E629" s="66" t="s">
        <v>2880</v>
      </c>
      <c r="F629" s="125" t="s">
        <v>3114</v>
      </c>
      <c r="G629" s="67" t="s">
        <v>3115</v>
      </c>
    </row>
    <row r="630" spans="1:7" ht="25.9" customHeight="1">
      <c r="A630" s="65">
        <v>627</v>
      </c>
      <c r="D630" s="121" t="str">
        <f t="shared" si="12"/>
        <v>Surface de capteurs solaires thermiques</v>
      </c>
      <c r="E630" s="66" t="s">
        <v>2881</v>
      </c>
      <c r="F630" s="125" t="s">
        <v>3116</v>
      </c>
      <c r="G630" s="67" t="s">
        <v>3117</v>
      </c>
    </row>
    <row r="631" spans="1:7" ht="25.9" customHeight="1">
      <c r="A631" s="65">
        <v>628</v>
      </c>
      <c r="D631" s="121" t="str">
        <f t="shared" si="12"/>
        <v>Pièces annexes incomplètes</v>
      </c>
      <c r="E631" s="66" t="s">
        <v>2886</v>
      </c>
      <c r="F631" s="125" t="s">
        <v>3118</v>
      </c>
      <c r="G631" s="67" t="s">
        <v>3119</v>
      </c>
    </row>
    <row r="632" spans="1:7" ht="25.9" customHeight="1">
      <c r="A632" s="65">
        <v>629</v>
      </c>
      <c r="D632" s="121" t="str">
        <f t="shared" si="12"/>
        <v>Nouvelle partie de construction</v>
      </c>
      <c r="E632" s="66" t="s">
        <v>2890</v>
      </c>
      <c r="F632" s="125" t="s">
        <v>3120</v>
      </c>
      <c r="G632" s="67" t="s">
        <v>3121</v>
      </c>
    </row>
    <row r="633" spans="1:7" ht="25.9" customHeight="1">
      <c r="A633" s="65">
        <v>630</v>
      </c>
      <c r="D633" s="121" t="str">
        <f t="shared" si="12"/>
        <v>Surface de référence énergétique SRE Nouvelle partie de construction</v>
      </c>
      <c r="E633" s="66" t="s">
        <v>2891</v>
      </c>
      <c r="F633" s="125" t="s">
        <v>3122</v>
      </c>
      <c r="G633" s="67" t="s">
        <v>3123</v>
      </c>
    </row>
    <row r="634" spans="1:7" ht="25.9" customHeight="1">
      <c r="A634" s="65">
        <v>631</v>
      </c>
      <c r="D634" s="121" t="str">
        <f t="shared" si="12"/>
        <v>Justificatif optionnel pour l'enveloppe du bâtiment</v>
      </c>
      <c r="E634" s="66" t="s">
        <v>2892</v>
      </c>
      <c r="F634" s="125" t="s">
        <v>3124</v>
      </c>
      <c r="G634" s="67" t="s">
        <v>3125</v>
      </c>
    </row>
    <row r="635" spans="1:7" ht="25.9" customHeight="1">
      <c r="A635" s="65">
        <v>632</v>
      </c>
      <c r="D635" s="121" t="str">
        <f t="shared" si="12"/>
        <v>Valeurs U</v>
      </c>
      <c r="E635" s="66" t="s">
        <v>2894</v>
      </c>
      <c r="F635" s="125" t="s">
        <v>3126</v>
      </c>
      <c r="G635" s="67" t="s">
        <v>3127</v>
      </c>
    </row>
    <row r="636" spans="1:7" ht="25.9" customHeight="1">
      <c r="A636" s="65">
        <v>633</v>
      </c>
      <c r="D636" s="121" t="str">
        <f t="shared" si="12"/>
        <v>CECB</v>
      </c>
      <c r="E636" s="66" t="s">
        <v>2893</v>
      </c>
      <c r="F636" s="125" t="s">
        <v>3128</v>
      </c>
      <c r="G636" s="67" t="s">
        <v>3129</v>
      </c>
    </row>
    <row r="637" spans="1:7" ht="25.9" customHeight="1">
      <c r="A637" s="65">
        <v>634</v>
      </c>
      <c r="D637" s="121" t="str">
        <f t="shared" si="12"/>
        <v>Transformation</v>
      </c>
      <c r="E637" s="66" t="s">
        <v>2897</v>
      </c>
      <c r="F637" s="125" t="s">
        <v>3130</v>
      </c>
      <c r="G637" s="67" t="s">
        <v>3131</v>
      </c>
    </row>
    <row r="638" spans="1:7" ht="25.9" customHeight="1">
      <c r="A638" s="65">
        <v>635</v>
      </c>
      <c r="D638" s="121" t="str">
        <f t="shared" si="12"/>
        <v>Nouvelle construction</v>
      </c>
      <c r="E638" s="66" t="s">
        <v>330</v>
      </c>
      <c r="F638" s="125" t="s">
        <v>1087</v>
      </c>
      <c r="G638" s="67" t="s">
        <v>3132</v>
      </c>
    </row>
    <row r="639" spans="1:7" ht="25.9" customHeight="1">
      <c r="A639" s="65">
        <v>636</v>
      </c>
      <c r="D639" s="121" t="str">
        <f t="shared" si="12"/>
        <v>Extension SRE</v>
      </c>
      <c r="E639" s="66" t="s">
        <v>2941</v>
      </c>
      <c r="F639" s="125" t="s">
        <v>3133</v>
      </c>
      <c r="G639" s="67" t="s">
        <v>3134</v>
      </c>
    </row>
    <row r="640" spans="1:7" ht="25.9" customHeight="1">
      <c r="A640" s="65">
        <v>637</v>
      </c>
      <c r="D640" s="121" t="str">
        <f t="shared" si="12"/>
        <v>Type de pompe à chaleur</v>
      </c>
      <c r="E640" s="66" t="s">
        <v>2898</v>
      </c>
      <c r="F640" s="125" t="s">
        <v>3135</v>
      </c>
      <c r="G640" s="67" t="s">
        <v>3136</v>
      </c>
    </row>
    <row r="641" spans="1:7" ht="25.9" customHeight="1">
      <c r="A641" s="65">
        <v>638</v>
      </c>
      <c r="D641" s="121" t="str">
        <f t="shared" si="12"/>
        <v>Calcul de la surface (en %) des parties isolées</v>
      </c>
      <c r="E641" s="66" t="s">
        <v>2899</v>
      </c>
      <c r="F641" s="125" t="s">
        <v>3137</v>
      </c>
      <c r="G641" s="67" t="s">
        <v>3138</v>
      </c>
    </row>
    <row r="642" spans="1:7" ht="25.9" customHeight="1">
      <c r="A642" s="65">
        <v>639</v>
      </c>
      <c r="D642" s="121" t="str">
        <f t="shared" si="12"/>
        <v>Systèmes 2-4</v>
      </c>
      <c r="E642" s="66" t="s">
        <v>2900</v>
      </c>
      <c r="F642" s="125" t="s">
        <v>3139</v>
      </c>
      <c r="G642" s="67" t="s">
        <v>3140</v>
      </c>
    </row>
    <row r="643" spans="1:7" ht="25.9" customHeight="1">
      <c r="A643" s="65">
        <v>640</v>
      </c>
      <c r="D643" s="121" t="str">
        <f t="shared" si="12"/>
        <v>Solution standard non valide!</v>
      </c>
      <c r="E643" s="66" t="s">
        <v>2901</v>
      </c>
      <c r="F643" s="125" t="s">
        <v>3141</v>
      </c>
      <c r="G643" s="67" t="s">
        <v>3142</v>
      </c>
    </row>
    <row r="644" spans="1:7" ht="25.9" customHeight="1">
      <c r="A644" s="65">
        <v>641</v>
      </c>
      <c r="D644" s="121" t="str">
        <f t="shared" si="12"/>
        <v>Système de production de chaleur non valide!</v>
      </c>
      <c r="E644" s="66" t="s">
        <v>2902</v>
      </c>
      <c r="F644" s="125" t="s">
        <v>3143</v>
      </c>
      <c r="G644" s="67" t="s">
        <v>3144</v>
      </c>
    </row>
    <row r="645" spans="1:7" ht="25.9" customHeight="1">
      <c r="A645" s="65">
        <v>642</v>
      </c>
      <c r="D645" s="121" t="str">
        <f t="shared" si="12"/>
        <v>Formulaire pour les modèles de rénovation</v>
      </c>
      <c r="E645" s="66" t="s">
        <v>2903</v>
      </c>
      <c r="F645" s="125" t="s">
        <v>3145</v>
      </c>
      <c r="G645" s="67" t="s">
        <v>3146</v>
      </c>
    </row>
    <row r="646" spans="1:7" ht="25.9" customHeight="1">
      <c r="A646" s="65">
        <v>643</v>
      </c>
      <c r="D646" s="121" t="str">
        <f t="shared" si="12"/>
        <v>v 1.1</v>
      </c>
      <c r="E646" s="66" t="s">
        <v>2904</v>
      </c>
      <c r="F646" s="125" t="s">
        <v>2904</v>
      </c>
      <c r="G646" s="67" t="s">
        <v>3147</v>
      </c>
    </row>
    <row r="647" spans="1:7" ht="25.9" customHeight="1">
      <c r="A647" s="65">
        <v>644</v>
      </c>
      <c r="D647" s="121" t="str">
        <f t="shared" si="12"/>
        <v>Transformations &amp; nouvelles constructions</v>
      </c>
      <c r="E647" s="66" t="s">
        <v>2908</v>
      </c>
      <c r="F647" s="125" t="s">
        <v>3148</v>
      </c>
      <c r="G647" s="67" t="s">
        <v>3149</v>
      </c>
    </row>
    <row r="648" spans="1:7" ht="25.9" customHeight="1">
      <c r="A648" s="65">
        <v>645</v>
      </c>
      <c r="D648" s="121" t="str">
        <f t="shared" si="12"/>
        <v>Part de la nouvelle construction trop élevée pour le justificatif du modèle de rénovation!</v>
      </c>
      <c r="E648" s="66" t="s">
        <v>2909</v>
      </c>
      <c r="F648" s="125" t="s">
        <v>3150</v>
      </c>
      <c r="G648" s="67" t="s">
        <v>3151</v>
      </c>
    </row>
    <row r="649" spans="1:7" ht="25.9" customHeight="1">
      <c r="A649" s="65">
        <v>646</v>
      </c>
      <c r="D649" s="121" t="str">
        <f t="shared" si="12"/>
        <v>5 Wp par m2 SRE</v>
      </c>
      <c r="E649" s="66" t="s">
        <v>2911</v>
      </c>
      <c r="F649" s="125" t="s">
        <v>3152</v>
      </c>
      <c r="G649" s="67" t="s">
        <v>3153</v>
      </c>
    </row>
    <row r="650" spans="1:7" ht="25.9" customHeight="1">
      <c r="A650" s="65">
        <v>647</v>
      </c>
      <c r="D650" s="121" t="str">
        <f t="shared" si="12"/>
        <v>Existant &lt; respecté</v>
      </c>
      <c r="E650" s="66" t="s">
        <v>2912</v>
      </c>
      <c r="F650" s="125" t="s">
        <v>3154</v>
      </c>
      <c r="G650" s="67" t="s">
        <v>3155</v>
      </c>
    </row>
    <row r="651" spans="1:7" ht="25.9" customHeight="1">
      <c r="A651" s="65">
        <v>648</v>
      </c>
      <c r="D651" s="121" t="str">
        <f t="shared" si="12"/>
        <v>Surface de référence énergétique SRE existante</v>
      </c>
      <c r="E651" s="66" t="s">
        <v>2940</v>
      </c>
      <c r="F651" s="125" t="s">
        <v>3156</v>
      </c>
      <c r="G651" s="67" t="s">
        <v>3157</v>
      </c>
    </row>
    <row r="652" spans="1:7" ht="25.9" customHeight="1">
      <c r="A652" s="65">
        <v>649</v>
      </c>
      <c r="D652" s="121" t="str">
        <f t="shared" si="12"/>
        <v>Les nouvelles parties de construction doivent correspondre aux exigences légales</v>
      </c>
      <c r="E652" s="66" t="s">
        <v>2943</v>
      </c>
      <c r="F652" s="125" t="s">
        <v>3158</v>
      </c>
      <c r="G652" s="67" t="s">
        <v>3159</v>
      </c>
    </row>
    <row r="653" spans="1:7" ht="25.9" customHeight="1">
      <c r="A653" s="65">
        <v>650</v>
      </c>
      <c r="D653" s="121" t="str">
        <f t="shared" si="12"/>
        <v>Débit d'air fourni &gt; 1000 m3/h récupération de chaleur obligatoire</v>
      </c>
      <c r="E653" s="66" t="s">
        <v>2944</v>
      </c>
      <c r="F653" s="125" t="s">
        <v>3160</v>
      </c>
      <c r="G653" s="67" t="s">
        <v>3161</v>
      </c>
    </row>
    <row r="654" spans="1:7" ht="25.9" customHeight="1">
      <c r="A654" s="65">
        <v>651</v>
      </c>
      <c r="D654" s="121" t="str">
        <f t="shared" si="12"/>
        <v>Température de départ trop élevée</v>
      </c>
      <c r="E654" s="66" t="s">
        <v>2945</v>
      </c>
      <c r="F654" s="125" t="s">
        <v>3162</v>
      </c>
      <c r="G654" s="67" t="s">
        <v>3163</v>
      </c>
    </row>
    <row r="655" spans="1:7" ht="25.9" customHeight="1">
      <c r="A655" s="65">
        <v>652</v>
      </c>
      <c r="D655" s="121" t="str">
        <f t="shared" si="12"/>
        <v>Récupération de chaleur nécessaire</v>
      </c>
      <c r="E655" s="66" t="s">
        <v>2946</v>
      </c>
      <c r="F655" s="125" t="s">
        <v>3164</v>
      </c>
      <c r="G655" s="67" t="s">
        <v>3165</v>
      </c>
    </row>
    <row r="656" spans="1:7" ht="25.9" customHeight="1">
      <c r="A656" s="65">
        <v>653</v>
      </c>
      <c r="D656" s="121" t="str">
        <f t="shared" si="12"/>
        <v>Exigence:</v>
      </c>
      <c r="E656" s="66" t="s">
        <v>2947</v>
      </c>
      <c r="F656" s="125" t="s">
        <v>3166</v>
      </c>
      <c r="G656" s="67" t="s">
        <v>2052</v>
      </c>
    </row>
    <row r="657" spans="1:7" ht="25.9" customHeight="1">
      <c r="A657" s="65">
        <v>654</v>
      </c>
      <c r="D657" s="121" t="str">
        <f t="shared" si="12"/>
        <v>Surface de capteurs trop petite</v>
      </c>
      <c r="E657" s="66" t="s">
        <v>2948</v>
      </c>
      <c r="F657" s="125" t="s">
        <v>3167</v>
      </c>
      <c r="G657" s="67" t="s">
        <v>3168</v>
      </c>
    </row>
    <row r="658" spans="1:7" ht="25.9" customHeight="1">
      <c r="A658" s="65">
        <v>655</v>
      </c>
      <c r="D658" s="121">
        <f t="shared" si="12"/>
        <v>0</v>
      </c>
    </row>
    <row r="659" spans="1:7" ht="25.9" customHeight="1">
      <c r="A659" s="65">
        <v>656</v>
      </c>
      <c r="D659" s="121">
        <f t="shared" si="12"/>
        <v>0</v>
      </c>
    </row>
    <row r="660" spans="1:7" ht="25.9" customHeight="1">
      <c r="A660" s="65">
        <v>657</v>
      </c>
      <c r="D660" s="121">
        <f t="shared" si="12"/>
        <v>0</v>
      </c>
    </row>
    <row r="661" spans="1:7" ht="25.9" customHeight="1">
      <c r="A661" s="65">
        <v>658</v>
      </c>
      <c r="D661" s="121">
        <f t="shared" si="12"/>
        <v>0</v>
      </c>
    </row>
    <row r="662" spans="1:7" ht="25.9" customHeight="1">
      <c r="A662" s="65">
        <v>659</v>
      </c>
      <c r="D662" s="121">
        <f t="shared" si="12"/>
        <v>0</v>
      </c>
    </row>
    <row r="663" spans="1:7" ht="25.9" customHeight="1">
      <c r="A663" s="65">
        <v>660</v>
      </c>
      <c r="D663" s="121">
        <f t="shared" si="12"/>
        <v>0</v>
      </c>
    </row>
    <row r="664" spans="1:7" ht="25.9" customHeight="1">
      <c r="A664" s="65">
        <v>661</v>
      </c>
      <c r="D664" s="121">
        <f t="shared" si="12"/>
        <v>0</v>
      </c>
    </row>
    <row r="665" spans="1:7" ht="25.9" customHeight="1">
      <c r="A665" s="65">
        <v>662</v>
      </c>
      <c r="D665" s="121">
        <f t="shared" si="12"/>
        <v>0</v>
      </c>
    </row>
    <row r="666" spans="1:7" ht="25.9" customHeight="1">
      <c r="A666" s="65">
        <v>663</v>
      </c>
      <c r="D666" s="121">
        <f t="shared" si="12"/>
        <v>0</v>
      </c>
    </row>
    <row r="667" spans="1:7" ht="25.9" customHeight="1">
      <c r="A667" s="65">
        <v>664</v>
      </c>
      <c r="D667" s="121">
        <f t="shared" si="12"/>
        <v>0</v>
      </c>
    </row>
    <row r="668" spans="1:7" ht="25.9" customHeight="1">
      <c r="A668" s="65">
        <v>665</v>
      </c>
      <c r="D668" s="121">
        <f t="shared" si="12"/>
        <v>0</v>
      </c>
    </row>
    <row r="669" spans="1:7" ht="25.9" customHeight="1">
      <c r="A669" s="65">
        <v>666</v>
      </c>
      <c r="D669" s="121">
        <f t="shared" si="12"/>
        <v>0</v>
      </c>
    </row>
    <row r="670" spans="1:7" ht="25.9" customHeight="1">
      <c r="A670" s="65">
        <v>667</v>
      </c>
      <c r="D670" s="121">
        <f t="shared" si="12"/>
        <v>0</v>
      </c>
    </row>
    <row r="671" spans="1:7" ht="25.9" customHeight="1">
      <c r="A671" s="65">
        <v>668</v>
      </c>
      <c r="D671" s="121">
        <f t="shared" si="12"/>
        <v>0</v>
      </c>
    </row>
    <row r="672" spans="1:7" ht="25.9" customHeight="1">
      <c r="A672" s="65">
        <v>669</v>
      </c>
      <c r="D672" s="121">
        <f t="shared" si="12"/>
        <v>0</v>
      </c>
    </row>
    <row r="673" spans="1:4" ht="25.9" customHeight="1">
      <c r="A673" s="65">
        <v>670</v>
      </c>
      <c r="D673" s="121">
        <f t="shared" si="12"/>
        <v>0</v>
      </c>
    </row>
    <row r="674" spans="1:4" ht="25.9" customHeight="1">
      <c r="A674" s="65">
        <v>671</v>
      </c>
      <c r="D674" s="121">
        <f t="shared" si="12"/>
        <v>0</v>
      </c>
    </row>
    <row r="675" spans="1:4" ht="25.9" customHeight="1">
      <c r="A675" s="65">
        <v>672</v>
      </c>
      <c r="D675" s="121">
        <f t="shared" si="12"/>
        <v>0</v>
      </c>
    </row>
    <row r="676" spans="1:4" ht="25.9" customHeight="1">
      <c r="A676" s="65">
        <v>673</v>
      </c>
      <c r="D676" s="121">
        <f t="shared" si="12"/>
        <v>0</v>
      </c>
    </row>
    <row r="677" spans="1:4" ht="25.9" customHeight="1">
      <c r="A677" s="65">
        <v>674</v>
      </c>
      <c r="D677" s="121">
        <f t="shared" si="12"/>
        <v>0</v>
      </c>
    </row>
    <row r="678" spans="1:4" ht="25.9" customHeight="1">
      <c r="A678" s="65">
        <v>675</v>
      </c>
      <c r="D678" s="121">
        <f t="shared" si="12"/>
        <v>0</v>
      </c>
    </row>
    <row r="679" spans="1:4" ht="25.9" customHeight="1">
      <c r="A679" s="65">
        <v>676</v>
      </c>
      <c r="D679" s="121">
        <f t="shared" si="12"/>
        <v>0</v>
      </c>
    </row>
    <row r="680" spans="1:4" ht="25.9" customHeight="1">
      <c r="A680" s="65">
        <v>677</v>
      </c>
      <c r="D680" s="121">
        <f t="shared" si="12"/>
        <v>0</v>
      </c>
    </row>
    <row r="681" spans="1:4" ht="25.9" customHeight="1">
      <c r="A681" s="65">
        <v>678</v>
      </c>
      <c r="D681" s="121">
        <f t="shared" si="12"/>
        <v>0</v>
      </c>
    </row>
    <row r="682" spans="1:4" ht="25.9" customHeight="1">
      <c r="A682" s="65">
        <v>679</v>
      </c>
      <c r="D682" s="121">
        <f t="shared" si="12"/>
        <v>0</v>
      </c>
    </row>
    <row r="683" spans="1:4" ht="25.9" customHeight="1">
      <c r="A683" s="65">
        <v>680</v>
      </c>
      <c r="D683" s="121">
        <f t="shared" si="12"/>
        <v>0</v>
      </c>
    </row>
    <row r="684" spans="1:4" ht="25.9" customHeight="1">
      <c r="A684" s="65">
        <v>681</v>
      </c>
      <c r="D684" s="121">
        <f t="shared" si="12"/>
        <v>0</v>
      </c>
    </row>
    <row r="685" spans="1:4" ht="25.9" customHeight="1">
      <c r="A685" s="65">
        <v>682</v>
      </c>
      <c r="D685" s="121">
        <f t="shared" si="12"/>
        <v>0</v>
      </c>
    </row>
    <row r="686" spans="1:4" ht="25.9" customHeight="1">
      <c r="A686" s="65">
        <v>683</v>
      </c>
      <c r="D686" s="121">
        <f t="shared" si="12"/>
        <v>0</v>
      </c>
    </row>
    <row r="687" spans="1:4" ht="25.9" customHeight="1">
      <c r="A687" s="65">
        <v>684</v>
      </c>
      <c r="D687" s="121">
        <f t="shared" si="12"/>
        <v>0</v>
      </c>
    </row>
    <row r="688" spans="1:4" ht="25.9" customHeight="1">
      <c r="A688" s="65">
        <v>685</v>
      </c>
      <c r="D688" s="121">
        <f t="shared" ref="D688:D751" si="13">INDEX($E$4:$G$1000,$A688,$A$1)</f>
        <v>0</v>
      </c>
    </row>
    <row r="689" spans="1:4" ht="25.9" customHeight="1">
      <c r="A689" s="65">
        <v>686</v>
      </c>
      <c r="D689" s="121">
        <f t="shared" si="13"/>
        <v>0</v>
      </c>
    </row>
    <row r="690" spans="1:4" ht="25.9" customHeight="1">
      <c r="A690" s="65">
        <v>687</v>
      </c>
      <c r="D690" s="121">
        <f t="shared" si="13"/>
        <v>0</v>
      </c>
    </row>
    <row r="691" spans="1:4" ht="25.9" customHeight="1">
      <c r="A691" s="65">
        <v>688</v>
      </c>
      <c r="D691" s="121">
        <f t="shared" si="13"/>
        <v>0</v>
      </c>
    </row>
    <row r="692" spans="1:4" ht="25.9" customHeight="1">
      <c r="A692" s="65">
        <v>689</v>
      </c>
      <c r="D692" s="121">
        <f t="shared" si="13"/>
        <v>0</v>
      </c>
    </row>
    <row r="693" spans="1:4" ht="25.9" customHeight="1">
      <c r="A693" s="65">
        <v>690</v>
      </c>
      <c r="D693" s="121">
        <f t="shared" si="13"/>
        <v>0</v>
      </c>
    </row>
    <row r="694" spans="1:4" ht="25.9" customHeight="1">
      <c r="A694" s="65">
        <v>691</v>
      </c>
      <c r="D694" s="121">
        <f t="shared" si="13"/>
        <v>0</v>
      </c>
    </row>
    <row r="695" spans="1:4" ht="25.9" customHeight="1">
      <c r="A695" s="65">
        <v>692</v>
      </c>
      <c r="D695" s="121">
        <f t="shared" si="13"/>
        <v>0</v>
      </c>
    </row>
    <row r="696" spans="1:4" ht="25.9" customHeight="1">
      <c r="A696" s="65">
        <v>693</v>
      </c>
      <c r="D696" s="121">
        <f t="shared" si="13"/>
        <v>0</v>
      </c>
    </row>
    <row r="697" spans="1:4" ht="25.9" customHeight="1">
      <c r="A697" s="65">
        <v>694</v>
      </c>
      <c r="D697" s="121">
        <f t="shared" si="13"/>
        <v>0</v>
      </c>
    </row>
    <row r="698" spans="1:4" ht="25.9" customHeight="1">
      <c r="A698" s="65">
        <v>695</v>
      </c>
      <c r="D698" s="121">
        <f t="shared" si="13"/>
        <v>0</v>
      </c>
    </row>
    <row r="699" spans="1:4" ht="25.9" customHeight="1">
      <c r="A699" s="65">
        <v>696</v>
      </c>
      <c r="D699" s="121">
        <f t="shared" si="13"/>
        <v>0</v>
      </c>
    </row>
    <row r="700" spans="1:4" ht="25.9" customHeight="1">
      <c r="A700" s="65">
        <v>697</v>
      </c>
      <c r="D700" s="121">
        <f t="shared" si="13"/>
        <v>0</v>
      </c>
    </row>
    <row r="701" spans="1:4" ht="25.9" customHeight="1">
      <c r="A701" s="65">
        <v>698</v>
      </c>
      <c r="D701" s="121">
        <f t="shared" si="13"/>
        <v>0</v>
      </c>
    </row>
    <row r="702" spans="1:4" ht="25.9" customHeight="1">
      <c r="A702" s="65">
        <v>699</v>
      </c>
      <c r="D702" s="121">
        <f t="shared" si="13"/>
        <v>0</v>
      </c>
    </row>
    <row r="703" spans="1:4" ht="25.9" customHeight="1">
      <c r="A703" s="65">
        <v>700</v>
      </c>
      <c r="D703" s="121">
        <f t="shared" si="13"/>
        <v>0</v>
      </c>
    </row>
    <row r="704" spans="1:4" ht="25.9" customHeight="1">
      <c r="A704" s="65">
        <v>701</v>
      </c>
      <c r="D704" s="121">
        <f t="shared" si="13"/>
        <v>0</v>
      </c>
    </row>
    <row r="705" spans="1:4" ht="25.9" customHeight="1">
      <c r="A705" s="65">
        <v>702</v>
      </c>
      <c r="D705" s="121">
        <f t="shared" si="13"/>
        <v>0</v>
      </c>
    </row>
    <row r="706" spans="1:4" ht="25.9" customHeight="1">
      <c r="A706" s="65">
        <v>703</v>
      </c>
      <c r="D706" s="121">
        <f t="shared" si="13"/>
        <v>0</v>
      </c>
    </row>
    <row r="707" spans="1:4" ht="25.9" customHeight="1">
      <c r="A707" s="65">
        <v>704</v>
      </c>
      <c r="D707" s="121">
        <f t="shared" si="13"/>
        <v>0</v>
      </c>
    </row>
    <row r="708" spans="1:4" ht="25.9" customHeight="1">
      <c r="A708" s="65">
        <v>705</v>
      </c>
      <c r="D708" s="121">
        <f t="shared" si="13"/>
        <v>0</v>
      </c>
    </row>
    <row r="709" spans="1:4" ht="25.9" customHeight="1">
      <c r="A709" s="65">
        <v>706</v>
      </c>
      <c r="D709" s="121">
        <f t="shared" si="13"/>
        <v>0</v>
      </c>
    </row>
    <row r="710" spans="1:4" ht="25.9" customHeight="1">
      <c r="A710" s="65">
        <v>707</v>
      </c>
      <c r="D710" s="121">
        <f t="shared" si="13"/>
        <v>0</v>
      </c>
    </row>
    <row r="711" spans="1:4" ht="25.9" customHeight="1">
      <c r="A711" s="65">
        <v>708</v>
      </c>
      <c r="D711" s="121">
        <f t="shared" si="13"/>
        <v>0</v>
      </c>
    </row>
    <row r="712" spans="1:4" ht="25.9" customHeight="1">
      <c r="A712" s="65">
        <v>709</v>
      </c>
      <c r="D712" s="121">
        <f t="shared" si="13"/>
        <v>0</v>
      </c>
    </row>
    <row r="713" spans="1:4" ht="25.9" customHeight="1">
      <c r="A713" s="65">
        <v>710</v>
      </c>
      <c r="D713" s="121">
        <f t="shared" si="13"/>
        <v>0</v>
      </c>
    </row>
    <row r="714" spans="1:4" ht="25.9" customHeight="1">
      <c r="A714" s="65">
        <v>711</v>
      </c>
      <c r="D714" s="121">
        <f t="shared" si="13"/>
        <v>0</v>
      </c>
    </row>
    <row r="715" spans="1:4" ht="25.9" customHeight="1">
      <c r="A715" s="65">
        <v>712</v>
      </c>
      <c r="D715" s="121">
        <f t="shared" si="13"/>
        <v>0</v>
      </c>
    </row>
    <row r="716" spans="1:4" ht="25.9" customHeight="1">
      <c r="A716" s="65">
        <v>713</v>
      </c>
      <c r="D716" s="121">
        <f t="shared" si="13"/>
        <v>0</v>
      </c>
    </row>
    <row r="717" spans="1:4" ht="25.9" customHeight="1">
      <c r="A717" s="65">
        <v>714</v>
      </c>
      <c r="D717" s="121">
        <f t="shared" si="13"/>
        <v>0</v>
      </c>
    </row>
    <row r="718" spans="1:4" ht="25.9" customHeight="1">
      <c r="A718" s="65">
        <v>715</v>
      </c>
      <c r="D718" s="121">
        <f t="shared" si="13"/>
        <v>0</v>
      </c>
    </row>
    <row r="719" spans="1:4" ht="25.9" customHeight="1">
      <c r="A719" s="65">
        <v>716</v>
      </c>
      <c r="D719" s="121">
        <f t="shared" si="13"/>
        <v>0</v>
      </c>
    </row>
    <row r="720" spans="1:4" ht="25.9" customHeight="1">
      <c r="A720" s="65">
        <v>717</v>
      </c>
      <c r="D720" s="121">
        <f t="shared" si="13"/>
        <v>0</v>
      </c>
    </row>
    <row r="721" spans="1:4" ht="25.9" customHeight="1">
      <c r="A721" s="65">
        <v>718</v>
      </c>
      <c r="D721" s="121">
        <f t="shared" si="13"/>
        <v>0</v>
      </c>
    </row>
    <row r="722" spans="1:4" ht="25.9" customHeight="1">
      <c r="A722" s="65">
        <v>719</v>
      </c>
      <c r="D722" s="121">
        <f t="shared" si="13"/>
        <v>0</v>
      </c>
    </row>
    <row r="723" spans="1:4" ht="25.9" customHeight="1">
      <c r="A723" s="65">
        <v>720</v>
      </c>
      <c r="D723" s="121">
        <f t="shared" si="13"/>
        <v>0</v>
      </c>
    </row>
    <row r="724" spans="1:4" ht="25.9" customHeight="1">
      <c r="A724" s="65">
        <v>721</v>
      </c>
      <c r="D724" s="121">
        <f t="shared" si="13"/>
        <v>0</v>
      </c>
    </row>
    <row r="725" spans="1:4" ht="25.9" customHeight="1">
      <c r="A725" s="65">
        <v>722</v>
      </c>
      <c r="D725" s="121">
        <f t="shared" si="13"/>
        <v>0</v>
      </c>
    </row>
    <row r="726" spans="1:4" ht="25.9" customHeight="1">
      <c r="A726" s="65">
        <v>723</v>
      </c>
      <c r="D726" s="121">
        <f t="shared" si="13"/>
        <v>0</v>
      </c>
    </row>
    <row r="727" spans="1:4" ht="25.9" customHeight="1">
      <c r="A727" s="65">
        <v>724</v>
      </c>
      <c r="D727" s="121">
        <f t="shared" si="13"/>
        <v>0</v>
      </c>
    </row>
    <row r="728" spans="1:4" ht="25.9" customHeight="1">
      <c r="A728" s="65">
        <v>725</v>
      </c>
      <c r="D728" s="121">
        <f t="shared" si="13"/>
        <v>0</v>
      </c>
    </row>
    <row r="729" spans="1:4" ht="25.9" customHeight="1">
      <c r="A729" s="65">
        <v>726</v>
      </c>
      <c r="D729" s="121">
        <f t="shared" si="13"/>
        <v>0</v>
      </c>
    </row>
    <row r="730" spans="1:4" ht="25.9" customHeight="1">
      <c r="A730" s="65">
        <v>727</v>
      </c>
      <c r="D730" s="121">
        <f t="shared" si="13"/>
        <v>0</v>
      </c>
    </row>
    <row r="731" spans="1:4" ht="25.9" customHeight="1">
      <c r="A731" s="65">
        <v>728</v>
      </c>
      <c r="D731" s="121">
        <f t="shared" si="13"/>
        <v>0</v>
      </c>
    </row>
    <row r="732" spans="1:4" ht="25.9" customHeight="1">
      <c r="A732" s="65">
        <v>729</v>
      </c>
      <c r="D732" s="121">
        <f t="shared" si="13"/>
        <v>0</v>
      </c>
    </row>
    <row r="733" spans="1:4" ht="25.9" customHeight="1">
      <c r="A733" s="65">
        <v>730</v>
      </c>
      <c r="D733" s="121">
        <f t="shared" si="13"/>
        <v>0</v>
      </c>
    </row>
    <row r="734" spans="1:4" ht="25.9" customHeight="1">
      <c r="A734" s="65">
        <v>731</v>
      </c>
      <c r="D734" s="121">
        <f t="shared" si="13"/>
        <v>0</v>
      </c>
    </row>
    <row r="735" spans="1:4" ht="25.9" customHeight="1">
      <c r="A735" s="65">
        <v>732</v>
      </c>
      <c r="D735" s="121">
        <f t="shared" si="13"/>
        <v>0</v>
      </c>
    </row>
    <row r="736" spans="1:4" ht="25.9" customHeight="1">
      <c r="A736" s="65">
        <v>733</v>
      </c>
      <c r="D736" s="121">
        <f t="shared" si="13"/>
        <v>0</v>
      </c>
    </row>
    <row r="737" spans="1:4" ht="25.9" customHeight="1">
      <c r="A737" s="65">
        <v>734</v>
      </c>
      <c r="D737" s="121">
        <f t="shared" si="13"/>
        <v>0</v>
      </c>
    </row>
    <row r="738" spans="1:4" ht="25.9" customHeight="1">
      <c r="A738" s="65">
        <v>735</v>
      </c>
      <c r="D738" s="121">
        <f t="shared" si="13"/>
        <v>0</v>
      </c>
    </row>
    <row r="739" spans="1:4" ht="25.9" customHeight="1">
      <c r="A739" s="65">
        <v>736</v>
      </c>
      <c r="D739" s="121">
        <f t="shared" si="13"/>
        <v>0</v>
      </c>
    </row>
    <row r="740" spans="1:4" ht="25.9" customHeight="1">
      <c r="A740" s="65">
        <v>737</v>
      </c>
      <c r="D740" s="121">
        <f t="shared" si="13"/>
        <v>0</v>
      </c>
    </row>
    <row r="741" spans="1:4" ht="25.9" customHeight="1">
      <c r="A741" s="65">
        <v>738</v>
      </c>
      <c r="D741" s="121">
        <f t="shared" si="13"/>
        <v>0</v>
      </c>
    </row>
    <row r="742" spans="1:4" ht="25.9" customHeight="1">
      <c r="A742" s="65">
        <v>739</v>
      </c>
      <c r="D742" s="121">
        <f t="shared" si="13"/>
        <v>0</v>
      </c>
    </row>
    <row r="743" spans="1:4" ht="25.9" customHeight="1">
      <c r="A743" s="65">
        <v>740</v>
      </c>
      <c r="D743" s="121">
        <f t="shared" si="13"/>
        <v>0</v>
      </c>
    </row>
    <row r="744" spans="1:4" ht="25.9" customHeight="1">
      <c r="A744" s="65">
        <v>741</v>
      </c>
      <c r="D744" s="121">
        <f t="shared" si="13"/>
        <v>0</v>
      </c>
    </row>
    <row r="745" spans="1:4" ht="25.9" customHeight="1">
      <c r="A745" s="65">
        <v>742</v>
      </c>
      <c r="D745" s="121">
        <f t="shared" si="13"/>
        <v>0</v>
      </c>
    </row>
    <row r="746" spans="1:4" ht="25.9" customHeight="1">
      <c r="A746" s="65">
        <v>743</v>
      </c>
      <c r="D746" s="121">
        <f t="shared" si="13"/>
        <v>0</v>
      </c>
    </row>
    <row r="747" spans="1:4" ht="25.9" customHeight="1">
      <c r="A747" s="65">
        <v>744</v>
      </c>
      <c r="D747" s="121">
        <f t="shared" si="13"/>
        <v>0</v>
      </c>
    </row>
    <row r="748" spans="1:4" ht="25.9" customHeight="1">
      <c r="A748" s="65">
        <v>745</v>
      </c>
      <c r="D748" s="121">
        <f t="shared" si="13"/>
        <v>0</v>
      </c>
    </row>
    <row r="749" spans="1:4" ht="25.9" customHeight="1">
      <c r="A749" s="65">
        <v>746</v>
      </c>
      <c r="D749" s="121">
        <f t="shared" si="13"/>
        <v>0</v>
      </c>
    </row>
    <row r="750" spans="1:4" ht="25.9" customHeight="1">
      <c r="A750" s="65">
        <v>747</v>
      </c>
      <c r="D750" s="121">
        <f t="shared" si="13"/>
        <v>0</v>
      </c>
    </row>
    <row r="751" spans="1:4" ht="25.9" customHeight="1">
      <c r="A751" s="65">
        <v>748</v>
      </c>
      <c r="D751" s="121">
        <f t="shared" si="13"/>
        <v>0</v>
      </c>
    </row>
    <row r="752" spans="1:4" ht="25.9" customHeight="1">
      <c r="A752" s="65">
        <v>749</v>
      </c>
      <c r="D752" s="121">
        <f t="shared" ref="D752:D815" si="14">INDEX($E$4:$G$1000,$A752,$A$1)</f>
        <v>0</v>
      </c>
    </row>
    <row r="753" spans="1:4" ht="25.9" customHeight="1">
      <c r="A753" s="65">
        <v>750</v>
      </c>
      <c r="D753" s="121">
        <f t="shared" si="14"/>
        <v>0</v>
      </c>
    </row>
    <row r="754" spans="1:4" ht="25.9" customHeight="1">
      <c r="A754" s="65">
        <v>751</v>
      </c>
      <c r="D754" s="121">
        <f t="shared" si="14"/>
        <v>0</v>
      </c>
    </row>
    <row r="755" spans="1:4" ht="25.9" customHeight="1">
      <c r="A755" s="65">
        <v>752</v>
      </c>
      <c r="D755" s="121">
        <f t="shared" si="14"/>
        <v>0</v>
      </c>
    </row>
    <row r="756" spans="1:4" ht="25.9" customHeight="1">
      <c r="A756" s="65">
        <v>753</v>
      </c>
      <c r="D756" s="121">
        <f t="shared" si="14"/>
        <v>0</v>
      </c>
    </row>
    <row r="757" spans="1:4" ht="25.9" customHeight="1">
      <c r="A757" s="65">
        <v>754</v>
      </c>
      <c r="D757" s="121">
        <f t="shared" si="14"/>
        <v>0</v>
      </c>
    </row>
    <row r="758" spans="1:4" ht="25.9" customHeight="1">
      <c r="A758" s="65">
        <v>755</v>
      </c>
      <c r="D758" s="121">
        <f t="shared" si="14"/>
        <v>0</v>
      </c>
    </row>
    <row r="759" spans="1:4" ht="25.9" customHeight="1">
      <c r="A759" s="65">
        <v>756</v>
      </c>
      <c r="D759" s="121">
        <f t="shared" si="14"/>
        <v>0</v>
      </c>
    </row>
    <row r="760" spans="1:4" ht="25.9" customHeight="1">
      <c r="A760" s="65">
        <v>757</v>
      </c>
      <c r="D760" s="121">
        <f t="shared" si="14"/>
        <v>0</v>
      </c>
    </row>
    <row r="761" spans="1:4" ht="25.9" customHeight="1">
      <c r="A761" s="65">
        <v>758</v>
      </c>
      <c r="D761" s="121">
        <f t="shared" si="14"/>
        <v>0</v>
      </c>
    </row>
    <row r="762" spans="1:4" ht="25.9" customHeight="1">
      <c r="A762" s="65">
        <v>759</v>
      </c>
      <c r="D762" s="121">
        <f t="shared" si="14"/>
        <v>0</v>
      </c>
    </row>
    <row r="763" spans="1:4" ht="25.9" customHeight="1">
      <c r="A763" s="65">
        <v>760</v>
      </c>
      <c r="D763" s="121">
        <f t="shared" si="14"/>
        <v>0</v>
      </c>
    </row>
    <row r="764" spans="1:4" ht="25.9" customHeight="1">
      <c r="A764" s="65">
        <v>761</v>
      </c>
      <c r="D764" s="121">
        <f t="shared" si="14"/>
        <v>0</v>
      </c>
    </row>
    <row r="765" spans="1:4" ht="25.9" customHeight="1">
      <c r="A765" s="65">
        <v>762</v>
      </c>
      <c r="D765" s="121">
        <f t="shared" si="14"/>
        <v>0</v>
      </c>
    </row>
    <row r="766" spans="1:4" ht="25.9" customHeight="1">
      <c r="A766" s="65">
        <v>763</v>
      </c>
      <c r="D766" s="121">
        <f t="shared" si="14"/>
        <v>0</v>
      </c>
    </row>
    <row r="767" spans="1:4" ht="25.9" customHeight="1">
      <c r="A767" s="65">
        <v>764</v>
      </c>
      <c r="D767" s="121">
        <f t="shared" si="14"/>
        <v>0</v>
      </c>
    </row>
    <row r="768" spans="1:4" ht="25.9" customHeight="1">
      <c r="A768" s="65">
        <v>765</v>
      </c>
      <c r="D768" s="121">
        <f t="shared" si="14"/>
        <v>0</v>
      </c>
    </row>
    <row r="769" spans="1:4" ht="25.9" customHeight="1">
      <c r="A769" s="65">
        <v>766</v>
      </c>
      <c r="D769" s="121">
        <f t="shared" si="14"/>
        <v>0</v>
      </c>
    </row>
    <row r="770" spans="1:4" ht="25.9" customHeight="1">
      <c r="A770" s="65">
        <v>767</v>
      </c>
      <c r="D770" s="121">
        <f t="shared" si="14"/>
        <v>0</v>
      </c>
    </row>
    <row r="771" spans="1:4" ht="25.9" customHeight="1">
      <c r="A771" s="65">
        <v>768</v>
      </c>
      <c r="D771" s="121">
        <f t="shared" si="14"/>
        <v>0</v>
      </c>
    </row>
    <row r="772" spans="1:4" ht="25.9" customHeight="1">
      <c r="A772" s="65">
        <v>769</v>
      </c>
      <c r="D772" s="121">
        <f t="shared" si="14"/>
        <v>0</v>
      </c>
    </row>
    <row r="773" spans="1:4" ht="25.9" customHeight="1">
      <c r="A773" s="65">
        <v>770</v>
      </c>
      <c r="D773" s="121">
        <f t="shared" si="14"/>
        <v>0</v>
      </c>
    </row>
    <row r="774" spans="1:4" ht="25.9" customHeight="1">
      <c r="A774" s="65">
        <v>771</v>
      </c>
      <c r="D774" s="121">
        <f t="shared" si="14"/>
        <v>0</v>
      </c>
    </row>
    <row r="775" spans="1:4" ht="25.9" customHeight="1">
      <c r="A775" s="65">
        <v>772</v>
      </c>
      <c r="D775" s="121">
        <f t="shared" si="14"/>
        <v>0</v>
      </c>
    </row>
    <row r="776" spans="1:4" ht="25.9" customHeight="1">
      <c r="A776" s="65">
        <v>773</v>
      </c>
      <c r="D776" s="121">
        <f t="shared" si="14"/>
        <v>0</v>
      </c>
    </row>
    <row r="777" spans="1:4" ht="25.9" customHeight="1">
      <c r="A777" s="65">
        <v>774</v>
      </c>
      <c r="D777" s="121">
        <f t="shared" si="14"/>
        <v>0</v>
      </c>
    </row>
    <row r="778" spans="1:4" ht="25.9" customHeight="1">
      <c r="A778" s="65">
        <v>775</v>
      </c>
      <c r="D778" s="121">
        <f t="shared" si="14"/>
        <v>0</v>
      </c>
    </row>
    <row r="779" spans="1:4" ht="25.9" customHeight="1">
      <c r="A779" s="65">
        <v>776</v>
      </c>
      <c r="D779" s="121">
        <f t="shared" si="14"/>
        <v>0</v>
      </c>
    </row>
    <row r="780" spans="1:4" ht="25.9" customHeight="1">
      <c r="A780" s="65">
        <v>777</v>
      </c>
      <c r="D780" s="121">
        <f t="shared" si="14"/>
        <v>0</v>
      </c>
    </row>
    <row r="781" spans="1:4" ht="25.9" customHeight="1">
      <c r="A781" s="65">
        <v>778</v>
      </c>
      <c r="D781" s="121">
        <f t="shared" si="14"/>
        <v>0</v>
      </c>
    </row>
    <row r="782" spans="1:4" ht="25.9" customHeight="1">
      <c r="A782" s="65">
        <v>779</v>
      </c>
      <c r="D782" s="121">
        <f t="shared" si="14"/>
        <v>0</v>
      </c>
    </row>
    <row r="783" spans="1:4" ht="25.9" customHeight="1">
      <c r="A783" s="65">
        <v>780</v>
      </c>
      <c r="D783" s="121">
        <f t="shared" si="14"/>
        <v>0</v>
      </c>
    </row>
    <row r="784" spans="1:4" ht="25.9" customHeight="1">
      <c r="A784" s="65">
        <v>781</v>
      </c>
      <c r="D784" s="121">
        <f t="shared" si="14"/>
        <v>0</v>
      </c>
    </row>
    <row r="785" spans="1:4" ht="25.9" customHeight="1">
      <c r="A785" s="65">
        <v>782</v>
      </c>
      <c r="D785" s="121">
        <f t="shared" si="14"/>
        <v>0</v>
      </c>
    </row>
    <row r="786" spans="1:4" ht="25.9" customHeight="1">
      <c r="A786" s="65">
        <v>783</v>
      </c>
      <c r="D786" s="121">
        <f t="shared" si="14"/>
        <v>0</v>
      </c>
    </row>
    <row r="787" spans="1:4" ht="25.9" customHeight="1">
      <c r="A787" s="65">
        <v>784</v>
      </c>
      <c r="D787" s="121">
        <f t="shared" si="14"/>
        <v>0</v>
      </c>
    </row>
    <row r="788" spans="1:4" ht="25.9" customHeight="1">
      <c r="A788" s="65">
        <v>785</v>
      </c>
      <c r="D788" s="121">
        <f t="shared" si="14"/>
        <v>0</v>
      </c>
    </row>
    <row r="789" spans="1:4" ht="25.9" customHeight="1">
      <c r="A789" s="65">
        <v>786</v>
      </c>
      <c r="D789" s="121">
        <f t="shared" si="14"/>
        <v>0</v>
      </c>
    </row>
    <row r="790" spans="1:4" ht="25.9" customHeight="1">
      <c r="A790" s="65">
        <v>787</v>
      </c>
      <c r="D790" s="121">
        <f t="shared" si="14"/>
        <v>0</v>
      </c>
    </row>
    <row r="791" spans="1:4" ht="25.9" customHeight="1">
      <c r="A791" s="65">
        <v>788</v>
      </c>
      <c r="D791" s="121">
        <f t="shared" si="14"/>
        <v>0</v>
      </c>
    </row>
    <row r="792" spans="1:4" ht="25.9" customHeight="1">
      <c r="A792" s="65">
        <v>789</v>
      </c>
      <c r="D792" s="121">
        <f t="shared" si="14"/>
        <v>0</v>
      </c>
    </row>
    <row r="793" spans="1:4" ht="25.9" customHeight="1">
      <c r="A793" s="65">
        <v>790</v>
      </c>
      <c r="D793" s="121">
        <f t="shared" si="14"/>
        <v>0</v>
      </c>
    </row>
    <row r="794" spans="1:4" ht="25.9" customHeight="1">
      <c r="A794" s="65">
        <v>791</v>
      </c>
      <c r="D794" s="121">
        <f t="shared" si="14"/>
        <v>0</v>
      </c>
    </row>
    <row r="795" spans="1:4" ht="25.9" customHeight="1">
      <c r="A795" s="65">
        <v>792</v>
      </c>
      <c r="D795" s="121">
        <f t="shared" si="14"/>
        <v>0</v>
      </c>
    </row>
    <row r="796" spans="1:4" ht="25.9" customHeight="1">
      <c r="A796" s="65">
        <v>793</v>
      </c>
      <c r="D796" s="121">
        <f t="shared" si="14"/>
        <v>0</v>
      </c>
    </row>
    <row r="797" spans="1:4" ht="25.9" customHeight="1">
      <c r="A797" s="65">
        <v>794</v>
      </c>
      <c r="D797" s="121">
        <f t="shared" si="14"/>
        <v>0</v>
      </c>
    </row>
    <row r="798" spans="1:4" ht="25.9" customHeight="1">
      <c r="A798" s="65">
        <v>795</v>
      </c>
      <c r="D798" s="121">
        <f t="shared" si="14"/>
        <v>0</v>
      </c>
    </row>
    <row r="799" spans="1:4" ht="25.9" customHeight="1">
      <c r="A799" s="65">
        <v>796</v>
      </c>
      <c r="D799" s="121">
        <f t="shared" si="14"/>
        <v>0</v>
      </c>
    </row>
    <row r="800" spans="1:4" ht="25.9" customHeight="1">
      <c r="A800" s="65">
        <v>797</v>
      </c>
      <c r="D800" s="121">
        <f t="shared" si="14"/>
        <v>0</v>
      </c>
    </row>
    <row r="801" spans="1:4" ht="25.9" customHeight="1">
      <c r="A801" s="65">
        <v>798</v>
      </c>
      <c r="D801" s="121">
        <f t="shared" si="14"/>
        <v>0</v>
      </c>
    </row>
    <row r="802" spans="1:4" ht="25.9" customHeight="1">
      <c r="A802" s="65">
        <v>799</v>
      </c>
      <c r="D802" s="121">
        <f t="shared" si="14"/>
        <v>0</v>
      </c>
    </row>
    <row r="803" spans="1:4" ht="25.9" customHeight="1">
      <c r="A803" s="65">
        <v>800</v>
      </c>
      <c r="D803" s="121">
        <f t="shared" si="14"/>
        <v>0</v>
      </c>
    </row>
    <row r="804" spans="1:4" ht="25.9" customHeight="1">
      <c r="A804" s="65">
        <v>801</v>
      </c>
      <c r="D804" s="121">
        <f t="shared" si="14"/>
        <v>0</v>
      </c>
    </row>
    <row r="805" spans="1:4" ht="25.9" customHeight="1">
      <c r="A805" s="65">
        <v>802</v>
      </c>
      <c r="D805" s="121">
        <f t="shared" si="14"/>
        <v>0</v>
      </c>
    </row>
    <row r="806" spans="1:4" ht="25.9" customHeight="1">
      <c r="A806" s="65">
        <v>803</v>
      </c>
      <c r="D806" s="121">
        <f t="shared" si="14"/>
        <v>0</v>
      </c>
    </row>
    <row r="807" spans="1:4" ht="25.9" customHeight="1">
      <c r="A807" s="65">
        <v>804</v>
      </c>
      <c r="D807" s="121">
        <f t="shared" si="14"/>
        <v>0</v>
      </c>
    </row>
    <row r="808" spans="1:4" ht="25.9" customHeight="1">
      <c r="A808" s="65">
        <v>805</v>
      </c>
      <c r="D808" s="121">
        <f t="shared" si="14"/>
        <v>0</v>
      </c>
    </row>
    <row r="809" spans="1:4" ht="25.9" customHeight="1">
      <c r="A809" s="65">
        <v>806</v>
      </c>
      <c r="D809" s="121">
        <f t="shared" si="14"/>
        <v>0</v>
      </c>
    </row>
    <row r="810" spans="1:4" ht="25.9" customHeight="1">
      <c r="A810" s="65">
        <v>807</v>
      </c>
      <c r="D810" s="121">
        <f t="shared" si="14"/>
        <v>0</v>
      </c>
    </row>
    <row r="811" spans="1:4" ht="25.9" customHeight="1">
      <c r="A811" s="65">
        <v>808</v>
      </c>
      <c r="D811" s="121">
        <f t="shared" si="14"/>
        <v>0</v>
      </c>
    </row>
    <row r="812" spans="1:4" ht="25.9" customHeight="1">
      <c r="A812" s="65">
        <v>809</v>
      </c>
      <c r="D812" s="121">
        <f t="shared" si="14"/>
        <v>0</v>
      </c>
    </row>
    <row r="813" spans="1:4" ht="25.9" customHeight="1">
      <c r="A813" s="65">
        <v>810</v>
      </c>
      <c r="D813" s="121">
        <f t="shared" si="14"/>
        <v>0</v>
      </c>
    </row>
    <row r="814" spans="1:4" ht="25.9" customHeight="1">
      <c r="A814" s="65">
        <v>811</v>
      </c>
      <c r="D814" s="121">
        <f t="shared" si="14"/>
        <v>0</v>
      </c>
    </row>
    <row r="815" spans="1:4" ht="25.9" customHeight="1">
      <c r="A815" s="65">
        <v>812</v>
      </c>
      <c r="D815" s="121">
        <f t="shared" si="14"/>
        <v>0</v>
      </c>
    </row>
    <row r="816" spans="1:4" ht="25.9" customHeight="1">
      <c r="A816" s="65">
        <v>813</v>
      </c>
      <c r="D816" s="121">
        <f t="shared" ref="D816:D879" si="15">INDEX($E$4:$G$1000,$A816,$A$1)</f>
        <v>0</v>
      </c>
    </row>
    <row r="817" spans="1:4" ht="25.9" customHeight="1">
      <c r="A817" s="65">
        <v>814</v>
      </c>
      <c r="D817" s="121">
        <f t="shared" si="15"/>
        <v>0</v>
      </c>
    </row>
    <row r="818" spans="1:4" ht="25.9" customHeight="1">
      <c r="A818" s="65">
        <v>815</v>
      </c>
      <c r="D818" s="121">
        <f t="shared" si="15"/>
        <v>0</v>
      </c>
    </row>
    <row r="819" spans="1:4" ht="25.9" customHeight="1">
      <c r="A819" s="65">
        <v>816</v>
      </c>
      <c r="D819" s="121">
        <f t="shared" si="15"/>
        <v>0</v>
      </c>
    </row>
    <row r="820" spans="1:4" ht="25.9" customHeight="1">
      <c r="A820" s="65">
        <v>817</v>
      </c>
      <c r="D820" s="121">
        <f t="shared" si="15"/>
        <v>0</v>
      </c>
    </row>
    <row r="821" spans="1:4" ht="25.9" customHeight="1">
      <c r="A821" s="65">
        <v>818</v>
      </c>
      <c r="D821" s="121">
        <f t="shared" si="15"/>
        <v>0</v>
      </c>
    </row>
    <row r="822" spans="1:4" ht="25.9" customHeight="1">
      <c r="A822" s="65">
        <v>819</v>
      </c>
      <c r="D822" s="121">
        <f t="shared" si="15"/>
        <v>0</v>
      </c>
    </row>
    <row r="823" spans="1:4" ht="25.9" customHeight="1">
      <c r="A823" s="65">
        <v>820</v>
      </c>
      <c r="D823" s="121">
        <f t="shared" si="15"/>
        <v>0</v>
      </c>
    </row>
    <row r="824" spans="1:4" ht="25.9" customHeight="1">
      <c r="A824" s="65">
        <v>821</v>
      </c>
      <c r="D824" s="121">
        <f t="shared" si="15"/>
        <v>0</v>
      </c>
    </row>
    <row r="825" spans="1:4" ht="25.9" customHeight="1">
      <c r="A825" s="65">
        <v>822</v>
      </c>
      <c r="D825" s="121">
        <f t="shared" si="15"/>
        <v>0</v>
      </c>
    </row>
    <row r="826" spans="1:4" ht="25.9" customHeight="1">
      <c r="A826" s="65">
        <v>823</v>
      </c>
      <c r="D826" s="121">
        <f t="shared" si="15"/>
        <v>0</v>
      </c>
    </row>
    <row r="827" spans="1:4" ht="25.9" customHeight="1">
      <c r="A827" s="65">
        <v>824</v>
      </c>
      <c r="D827" s="121">
        <f t="shared" si="15"/>
        <v>0</v>
      </c>
    </row>
    <row r="828" spans="1:4" ht="25.9" customHeight="1">
      <c r="A828" s="65">
        <v>825</v>
      </c>
      <c r="D828" s="121">
        <f t="shared" si="15"/>
        <v>0</v>
      </c>
    </row>
    <row r="829" spans="1:4" ht="25.9" customHeight="1">
      <c r="A829" s="65">
        <v>826</v>
      </c>
      <c r="D829" s="121">
        <f t="shared" si="15"/>
        <v>0</v>
      </c>
    </row>
    <row r="830" spans="1:4" ht="25.9" customHeight="1">
      <c r="A830" s="65">
        <v>827</v>
      </c>
      <c r="D830" s="121">
        <f t="shared" si="15"/>
        <v>0</v>
      </c>
    </row>
    <row r="831" spans="1:4" ht="25.9" customHeight="1">
      <c r="A831" s="65">
        <v>828</v>
      </c>
      <c r="D831" s="121">
        <f t="shared" si="15"/>
        <v>0</v>
      </c>
    </row>
    <row r="832" spans="1:4" ht="25.9" customHeight="1">
      <c r="A832" s="65">
        <v>829</v>
      </c>
      <c r="D832" s="121">
        <f t="shared" si="15"/>
        <v>0</v>
      </c>
    </row>
    <row r="833" spans="1:4" ht="25.9" customHeight="1">
      <c r="A833" s="65">
        <v>830</v>
      </c>
      <c r="D833" s="121">
        <f t="shared" si="15"/>
        <v>0</v>
      </c>
    </row>
    <row r="834" spans="1:4" ht="25.9" customHeight="1">
      <c r="A834" s="65">
        <v>831</v>
      </c>
      <c r="D834" s="121">
        <f t="shared" si="15"/>
        <v>0</v>
      </c>
    </row>
    <row r="835" spans="1:4" ht="25.9" customHeight="1">
      <c r="A835" s="65">
        <v>832</v>
      </c>
      <c r="D835" s="121">
        <f t="shared" si="15"/>
        <v>0</v>
      </c>
    </row>
    <row r="836" spans="1:4" ht="25.9" customHeight="1">
      <c r="A836" s="65">
        <v>833</v>
      </c>
      <c r="D836" s="121">
        <f t="shared" si="15"/>
        <v>0</v>
      </c>
    </row>
    <row r="837" spans="1:4" ht="25.9" customHeight="1">
      <c r="A837" s="65">
        <v>834</v>
      </c>
      <c r="D837" s="121">
        <f t="shared" si="15"/>
        <v>0</v>
      </c>
    </row>
    <row r="838" spans="1:4" ht="25.9" customHeight="1">
      <c r="A838" s="65">
        <v>835</v>
      </c>
      <c r="D838" s="121">
        <f t="shared" si="15"/>
        <v>0</v>
      </c>
    </row>
    <row r="839" spans="1:4" ht="25.9" customHeight="1">
      <c r="A839" s="65">
        <v>836</v>
      </c>
      <c r="D839" s="121">
        <f t="shared" si="15"/>
        <v>0</v>
      </c>
    </row>
    <row r="840" spans="1:4" ht="25.9" customHeight="1">
      <c r="A840" s="65">
        <v>837</v>
      </c>
      <c r="D840" s="121">
        <f t="shared" si="15"/>
        <v>0</v>
      </c>
    </row>
    <row r="841" spans="1:4" ht="25.9" customHeight="1">
      <c r="A841" s="65">
        <v>838</v>
      </c>
      <c r="D841" s="121">
        <f t="shared" si="15"/>
        <v>0</v>
      </c>
    </row>
    <row r="842" spans="1:4" ht="25.9" customHeight="1">
      <c r="A842" s="65">
        <v>839</v>
      </c>
      <c r="D842" s="121">
        <f t="shared" si="15"/>
        <v>0</v>
      </c>
    </row>
    <row r="843" spans="1:4" ht="25.9" customHeight="1">
      <c r="A843" s="65">
        <v>840</v>
      </c>
      <c r="D843" s="121">
        <f t="shared" si="15"/>
        <v>0</v>
      </c>
    </row>
    <row r="844" spans="1:4" ht="25.9" customHeight="1">
      <c r="A844" s="65">
        <v>841</v>
      </c>
      <c r="D844" s="121">
        <f t="shared" si="15"/>
        <v>0</v>
      </c>
    </row>
    <row r="845" spans="1:4" ht="25.9" customHeight="1">
      <c r="A845" s="65">
        <v>842</v>
      </c>
      <c r="D845" s="121">
        <f t="shared" si="15"/>
        <v>0</v>
      </c>
    </row>
    <row r="846" spans="1:4" ht="25.9" customHeight="1">
      <c r="A846" s="65">
        <v>843</v>
      </c>
      <c r="D846" s="121">
        <f t="shared" si="15"/>
        <v>0</v>
      </c>
    </row>
    <row r="847" spans="1:4" ht="25.9" customHeight="1">
      <c r="A847" s="65">
        <v>844</v>
      </c>
      <c r="D847" s="121">
        <f t="shared" si="15"/>
        <v>0</v>
      </c>
    </row>
    <row r="848" spans="1:4" ht="25.9" customHeight="1">
      <c r="A848" s="65">
        <v>845</v>
      </c>
      <c r="D848" s="121">
        <f t="shared" si="15"/>
        <v>0</v>
      </c>
    </row>
    <row r="849" spans="1:4" ht="25.9" customHeight="1">
      <c r="A849" s="65">
        <v>846</v>
      </c>
      <c r="D849" s="121">
        <f t="shared" si="15"/>
        <v>0</v>
      </c>
    </row>
    <row r="850" spans="1:4" ht="25.9" customHeight="1">
      <c r="A850" s="65">
        <v>847</v>
      </c>
      <c r="D850" s="121">
        <f t="shared" si="15"/>
        <v>0</v>
      </c>
    </row>
    <row r="851" spans="1:4" ht="25.9" customHeight="1">
      <c r="A851" s="65">
        <v>848</v>
      </c>
      <c r="D851" s="121">
        <f t="shared" si="15"/>
        <v>0</v>
      </c>
    </row>
    <row r="852" spans="1:4" ht="25.9" customHeight="1">
      <c r="A852" s="65">
        <v>849</v>
      </c>
      <c r="D852" s="121">
        <f t="shared" si="15"/>
        <v>0</v>
      </c>
    </row>
    <row r="853" spans="1:4" ht="25.9" customHeight="1">
      <c r="A853" s="65">
        <v>850</v>
      </c>
      <c r="D853" s="121">
        <f t="shared" si="15"/>
        <v>0</v>
      </c>
    </row>
    <row r="854" spans="1:4" ht="25.9" customHeight="1">
      <c r="A854" s="65">
        <v>851</v>
      </c>
      <c r="D854" s="121">
        <f t="shared" si="15"/>
        <v>0</v>
      </c>
    </row>
    <row r="855" spans="1:4" ht="25.9" customHeight="1">
      <c r="A855" s="65">
        <v>852</v>
      </c>
      <c r="D855" s="121">
        <f t="shared" si="15"/>
        <v>0</v>
      </c>
    </row>
    <row r="856" spans="1:4" ht="25.9" customHeight="1">
      <c r="A856" s="65">
        <v>853</v>
      </c>
      <c r="D856" s="121">
        <f t="shared" si="15"/>
        <v>0</v>
      </c>
    </row>
    <row r="857" spans="1:4" ht="25.9" customHeight="1">
      <c r="A857" s="65">
        <v>854</v>
      </c>
      <c r="D857" s="121">
        <f t="shared" si="15"/>
        <v>0</v>
      </c>
    </row>
    <row r="858" spans="1:4" ht="25.9" customHeight="1">
      <c r="A858" s="65">
        <v>855</v>
      </c>
      <c r="D858" s="121">
        <f t="shared" si="15"/>
        <v>0</v>
      </c>
    </row>
    <row r="859" spans="1:4" ht="25.9" customHeight="1">
      <c r="A859" s="65">
        <v>856</v>
      </c>
      <c r="D859" s="121">
        <f t="shared" si="15"/>
        <v>0</v>
      </c>
    </row>
    <row r="860" spans="1:4" ht="25.9" customHeight="1">
      <c r="A860" s="65">
        <v>857</v>
      </c>
      <c r="D860" s="121">
        <f t="shared" si="15"/>
        <v>0</v>
      </c>
    </row>
    <row r="861" spans="1:4" ht="25.9" customHeight="1">
      <c r="A861" s="65">
        <v>858</v>
      </c>
      <c r="D861" s="121">
        <f t="shared" si="15"/>
        <v>0</v>
      </c>
    </row>
    <row r="862" spans="1:4" ht="25.9" customHeight="1">
      <c r="A862" s="65">
        <v>859</v>
      </c>
      <c r="D862" s="121">
        <f t="shared" si="15"/>
        <v>0</v>
      </c>
    </row>
    <row r="863" spans="1:4" ht="25.9" customHeight="1">
      <c r="A863" s="65">
        <v>860</v>
      </c>
      <c r="D863" s="121">
        <f t="shared" si="15"/>
        <v>0</v>
      </c>
    </row>
    <row r="864" spans="1:4" ht="25.9" customHeight="1">
      <c r="A864" s="65">
        <v>861</v>
      </c>
      <c r="D864" s="121">
        <f t="shared" si="15"/>
        <v>0</v>
      </c>
    </row>
    <row r="865" spans="1:4" ht="25.9" customHeight="1">
      <c r="A865" s="65">
        <v>862</v>
      </c>
      <c r="D865" s="121">
        <f t="shared" si="15"/>
        <v>0</v>
      </c>
    </row>
    <row r="866" spans="1:4" ht="25.9" customHeight="1">
      <c r="A866" s="65">
        <v>863</v>
      </c>
      <c r="D866" s="121">
        <f t="shared" si="15"/>
        <v>0</v>
      </c>
    </row>
    <row r="867" spans="1:4" ht="25.9" customHeight="1">
      <c r="A867" s="65">
        <v>864</v>
      </c>
      <c r="D867" s="121">
        <f t="shared" si="15"/>
        <v>0</v>
      </c>
    </row>
    <row r="868" spans="1:4" ht="25.9" customHeight="1">
      <c r="A868" s="65">
        <v>865</v>
      </c>
      <c r="D868" s="121">
        <f t="shared" si="15"/>
        <v>0</v>
      </c>
    </row>
    <row r="869" spans="1:4" ht="25.9" customHeight="1">
      <c r="A869" s="65">
        <v>866</v>
      </c>
      <c r="D869" s="121">
        <f t="shared" si="15"/>
        <v>0</v>
      </c>
    </row>
    <row r="870" spans="1:4" ht="25.9" customHeight="1">
      <c r="A870" s="65">
        <v>867</v>
      </c>
      <c r="D870" s="121">
        <f t="shared" si="15"/>
        <v>0</v>
      </c>
    </row>
    <row r="871" spans="1:4" ht="25.9" customHeight="1">
      <c r="A871" s="65">
        <v>868</v>
      </c>
      <c r="D871" s="121">
        <f t="shared" si="15"/>
        <v>0</v>
      </c>
    </row>
    <row r="872" spans="1:4" ht="25.9" customHeight="1">
      <c r="A872" s="65">
        <v>869</v>
      </c>
      <c r="D872" s="121">
        <f t="shared" si="15"/>
        <v>0</v>
      </c>
    </row>
    <row r="873" spans="1:4" ht="25.9" customHeight="1">
      <c r="A873" s="65">
        <v>870</v>
      </c>
      <c r="D873" s="121">
        <f t="shared" si="15"/>
        <v>0</v>
      </c>
    </row>
    <row r="874" spans="1:4" ht="25.9" customHeight="1">
      <c r="A874" s="65">
        <v>871</v>
      </c>
      <c r="D874" s="121">
        <f t="shared" si="15"/>
        <v>0</v>
      </c>
    </row>
    <row r="875" spans="1:4" ht="25.9" customHeight="1">
      <c r="A875" s="65">
        <v>872</v>
      </c>
      <c r="D875" s="121">
        <f t="shared" si="15"/>
        <v>0</v>
      </c>
    </row>
    <row r="876" spans="1:4" ht="25.9" customHeight="1">
      <c r="A876" s="65">
        <v>873</v>
      </c>
      <c r="D876" s="121">
        <f t="shared" si="15"/>
        <v>0</v>
      </c>
    </row>
    <row r="877" spans="1:4" ht="25.9" customHeight="1">
      <c r="A877" s="65">
        <v>874</v>
      </c>
      <c r="D877" s="121">
        <f t="shared" si="15"/>
        <v>0</v>
      </c>
    </row>
    <row r="878" spans="1:4" ht="25.9" customHeight="1">
      <c r="A878" s="65">
        <v>875</v>
      </c>
      <c r="D878" s="121">
        <f t="shared" si="15"/>
        <v>0</v>
      </c>
    </row>
    <row r="879" spans="1:4" ht="25.9" customHeight="1">
      <c r="A879" s="65">
        <v>876</v>
      </c>
      <c r="D879" s="121">
        <f t="shared" si="15"/>
        <v>0</v>
      </c>
    </row>
    <row r="880" spans="1:4" ht="25.9" customHeight="1">
      <c r="A880" s="65">
        <v>877</v>
      </c>
      <c r="D880" s="121">
        <f t="shared" ref="D880:D943" si="16">INDEX($E$4:$G$1000,$A880,$A$1)</f>
        <v>0</v>
      </c>
    </row>
    <row r="881" spans="1:4" ht="25.9" customHeight="1">
      <c r="A881" s="65">
        <v>878</v>
      </c>
      <c r="D881" s="121">
        <f t="shared" si="16"/>
        <v>0</v>
      </c>
    </row>
    <row r="882" spans="1:4" ht="25.9" customHeight="1">
      <c r="A882" s="65">
        <v>879</v>
      </c>
      <c r="D882" s="121">
        <f t="shared" si="16"/>
        <v>0</v>
      </c>
    </row>
    <row r="883" spans="1:4" ht="25.9" customHeight="1">
      <c r="A883" s="65">
        <v>880</v>
      </c>
      <c r="D883" s="121">
        <f t="shared" si="16"/>
        <v>0</v>
      </c>
    </row>
    <row r="884" spans="1:4" ht="25.9" customHeight="1">
      <c r="A884" s="65">
        <v>881</v>
      </c>
      <c r="D884" s="121">
        <f t="shared" si="16"/>
        <v>0</v>
      </c>
    </row>
    <row r="885" spans="1:4" ht="25.9" customHeight="1">
      <c r="A885" s="65">
        <v>882</v>
      </c>
      <c r="D885" s="121">
        <f t="shared" si="16"/>
        <v>0</v>
      </c>
    </row>
    <row r="886" spans="1:4" ht="25.9" customHeight="1">
      <c r="A886" s="65">
        <v>883</v>
      </c>
      <c r="D886" s="121">
        <f t="shared" si="16"/>
        <v>0</v>
      </c>
    </row>
    <row r="887" spans="1:4" ht="25.9" customHeight="1">
      <c r="A887" s="65">
        <v>884</v>
      </c>
      <c r="D887" s="121">
        <f t="shared" si="16"/>
        <v>0</v>
      </c>
    </row>
    <row r="888" spans="1:4" ht="25.9" customHeight="1">
      <c r="A888" s="65">
        <v>885</v>
      </c>
      <c r="D888" s="121">
        <f t="shared" si="16"/>
        <v>0</v>
      </c>
    </row>
    <row r="889" spans="1:4" ht="25.9" customHeight="1">
      <c r="A889" s="65">
        <v>886</v>
      </c>
      <c r="D889" s="121">
        <f t="shared" si="16"/>
        <v>0</v>
      </c>
    </row>
    <row r="890" spans="1:4" ht="25.9" customHeight="1">
      <c r="A890" s="65">
        <v>887</v>
      </c>
      <c r="D890" s="121">
        <f t="shared" si="16"/>
        <v>0</v>
      </c>
    </row>
    <row r="891" spans="1:4" ht="25.9" customHeight="1">
      <c r="A891" s="65">
        <v>888</v>
      </c>
      <c r="D891" s="121">
        <f t="shared" si="16"/>
        <v>0</v>
      </c>
    </row>
    <row r="892" spans="1:4" ht="25.9" customHeight="1">
      <c r="A892" s="65">
        <v>889</v>
      </c>
      <c r="D892" s="121">
        <f t="shared" si="16"/>
        <v>0</v>
      </c>
    </row>
    <row r="893" spans="1:4" ht="25.9" customHeight="1">
      <c r="A893" s="65">
        <v>890</v>
      </c>
      <c r="D893" s="121">
        <f t="shared" si="16"/>
        <v>0</v>
      </c>
    </row>
    <row r="894" spans="1:4" ht="25.9" customHeight="1">
      <c r="A894" s="65">
        <v>891</v>
      </c>
      <c r="D894" s="121">
        <f t="shared" si="16"/>
        <v>0</v>
      </c>
    </row>
    <row r="895" spans="1:4" ht="25.9" customHeight="1">
      <c r="A895" s="65">
        <v>892</v>
      </c>
      <c r="D895" s="121">
        <f t="shared" si="16"/>
        <v>0</v>
      </c>
    </row>
    <row r="896" spans="1:4" ht="25.9" customHeight="1">
      <c r="A896" s="65">
        <v>893</v>
      </c>
      <c r="D896" s="121">
        <f t="shared" si="16"/>
        <v>0</v>
      </c>
    </row>
    <row r="897" spans="1:4" ht="25.9" customHeight="1">
      <c r="A897" s="65">
        <v>894</v>
      </c>
      <c r="D897" s="121">
        <f t="shared" si="16"/>
        <v>0</v>
      </c>
    </row>
    <row r="898" spans="1:4" ht="25.9" customHeight="1">
      <c r="A898" s="65">
        <v>895</v>
      </c>
      <c r="D898" s="121">
        <f t="shared" si="16"/>
        <v>0</v>
      </c>
    </row>
    <row r="899" spans="1:4" ht="25.9" customHeight="1">
      <c r="A899" s="65">
        <v>896</v>
      </c>
      <c r="D899" s="121">
        <f t="shared" si="16"/>
        <v>0</v>
      </c>
    </row>
    <row r="900" spans="1:4" ht="25.9" customHeight="1">
      <c r="A900" s="65">
        <v>897</v>
      </c>
      <c r="D900" s="121">
        <f t="shared" si="16"/>
        <v>0</v>
      </c>
    </row>
    <row r="901" spans="1:4" ht="25.9" customHeight="1">
      <c r="A901" s="65">
        <v>898</v>
      </c>
      <c r="D901" s="121">
        <f t="shared" si="16"/>
        <v>0</v>
      </c>
    </row>
    <row r="902" spans="1:4" ht="25.9" customHeight="1">
      <c r="A902" s="65">
        <v>899</v>
      </c>
      <c r="D902" s="121">
        <f t="shared" si="16"/>
        <v>0</v>
      </c>
    </row>
    <row r="903" spans="1:4" ht="25.9" customHeight="1">
      <c r="A903" s="65">
        <v>900</v>
      </c>
      <c r="D903" s="121">
        <f t="shared" si="16"/>
        <v>0</v>
      </c>
    </row>
    <row r="904" spans="1:4" ht="25.9" customHeight="1">
      <c r="A904" s="65">
        <v>901</v>
      </c>
      <c r="D904" s="121">
        <f t="shared" si="16"/>
        <v>0</v>
      </c>
    </row>
    <row r="905" spans="1:4" ht="25.9" customHeight="1">
      <c r="A905" s="65">
        <v>902</v>
      </c>
      <c r="D905" s="121">
        <f t="shared" si="16"/>
        <v>0</v>
      </c>
    </row>
    <row r="906" spans="1:4" ht="25.9" customHeight="1">
      <c r="A906" s="65">
        <v>903</v>
      </c>
      <c r="D906" s="121">
        <f t="shared" si="16"/>
        <v>0</v>
      </c>
    </row>
    <row r="907" spans="1:4" ht="25.9" customHeight="1">
      <c r="A907" s="65">
        <v>904</v>
      </c>
      <c r="D907" s="121">
        <f t="shared" si="16"/>
        <v>0</v>
      </c>
    </row>
    <row r="908" spans="1:4" ht="25.9" customHeight="1">
      <c r="A908" s="65">
        <v>905</v>
      </c>
      <c r="D908" s="121">
        <f t="shared" si="16"/>
        <v>0</v>
      </c>
    </row>
    <row r="909" spans="1:4" ht="25.9" customHeight="1">
      <c r="A909" s="65">
        <v>906</v>
      </c>
      <c r="D909" s="121">
        <f t="shared" si="16"/>
        <v>0</v>
      </c>
    </row>
    <row r="910" spans="1:4" ht="25.9" customHeight="1">
      <c r="A910" s="65">
        <v>907</v>
      </c>
      <c r="D910" s="121">
        <f t="shared" si="16"/>
        <v>0</v>
      </c>
    </row>
    <row r="911" spans="1:4" ht="25.9" customHeight="1">
      <c r="A911" s="65">
        <v>908</v>
      </c>
      <c r="D911" s="121">
        <f t="shared" si="16"/>
        <v>0</v>
      </c>
    </row>
    <row r="912" spans="1:4" ht="25.9" customHeight="1">
      <c r="A912" s="65">
        <v>909</v>
      </c>
      <c r="D912" s="121">
        <f t="shared" si="16"/>
        <v>0</v>
      </c>
    </row>
    <row r="913" spans="1:4" ht="25.9" customHeight="1">
      <c r="A913" s="65">
        <v>910</v>
      </c>
      <c r="D913" s="121">
        <f t="shared" si="16"/>
        <v>0</v>
      </c>
    </row>
    <row r="914" spans="1:4" ht="25.9" customHeight="1">
      <c r="A914" s="65">
        <v>911</v>
      </c>
      <c r="D914" s="121">
        <f t="shared" si="16"/>
        <v>0</v>
      </c>
    </row>
    <row r="915" spans="1:4" ht="25.9" customHeight="1">
      <c r="A915" s="65">
        <v>912</v>
      </c>
      <c r="D915" s="121">
        <f t="shared" si="16"/>
        <v>0</v>
      </c>
    </row>
    <row r="916" spans="1:4" ht="25.9" customHeight="1">
      <c r="A916" s="65">
        <v>913</v>
      </c>
      <c r="D916" s="121">
        <f t="shared" si="16"/>
        <v>0</v>
      </c>
    </row>
    <row r="917" spans="1:4" ht="25.9" customHeight="1">
      <c r="A917" s="65">
        <v>914</v>
      </c>
      <c r="D917" s="121">
        <f t="shared" si="16"/>
        <v>0</v>
      </c>
    </row>
    <row r="918" spans="1:4" ht="25.9" customHeight="1">
      <c r="A918" s="65">
        <v>915</v>
      </c>
      <c r="D918" s="121">
        <f t="shared" si="16"/>
        <v>0</v>
      </c>
    </row>
    <row r="919" spans="1:4" ht="25.9" customHeight="1">
      <c r="A919" s="65">
        <v>916</v>
      </c>
      <c r="D919" s="121">
        <f t="shared" si="16"/>
        <v>0</v>
      </c>
    </row>
    <row r="920" spans="1:4" ht="25.9" customHeight="1">
      <c r="A920" s="65">
        <v>917</v>
      </c>
      <c r="D920" s="121">
        <f t="shared" si="16"/>
        <v>0</v>
      </c>
    </row>
    <row r="921" spans="1:4" ht="25.9" customHeight="1">
      <c r="A921" s="65">
        <v>918</v>
      </c>
      <c r="D921" s="121">
        <f t="shared" si="16"/>
        <v>0</v>
      </c>
    </row>
    <row r="922" spans="1:4" ht="25.9" customHeight="1">
      <c r="A922" s="65">
        <v>919</v>
      </c>
      <c r="D922" s="121">
        <f t="shared" si="16"/>
        <v>0</v>
      </c>
    </row>
    <row r="923" spans="1:4" ht="25.9" customHeight="1">
      <c r="A923" s="65">
        <v>920</v>
      </c>
      <c r="D923" s="121">
        <f t="shared" si="16"/>
        <v>0</v>
      </c>
    </row>
    <row r="924" spans="1:4" ht="25.9" customHeight="1">
      <c r="A924" s="65">
        <v>921</v>
      </c>
      <c r="D924" s="121">
        <f t="shared" si="16"/>
        <v>0</v>
      </c>
    </row>
    <row r="925" spans="1:4" ht="25.9" customHeight="1">
      <c r="A925" s="65">
        <v>922</v>
      </c>
      <c r="D925" s="121">
        <f t="shared" si="16"/>
        <v>0</v>
      </c>
    </row>
    <row r="926" spans="1:4" ht="25.9" customHeight="1">
      <c r="A926" s="65">
        <v>923</v>
      </c>
      <c r="D926" s="121">
        <f t="shared" si="16"/>
        <v>0</v>
      </c>
    </row>
    <row r="927" spans="1:4" ht="25.9" customHeight="1">
      <c r="A927" s="65">
        <v>924</v>
      </c>
      <c r="D927" s="121">
        <f t="shared" si="16"/>
        <v>0</v>
      </c>
    </row>
    <row r="928" spans="1:4" ht="25.9" customHeight="1">
      <c r="A928" s="65">
        <v>925</v>
      </c>
      <c r="D928" s="121">
        <f t="shared" si="16"/>
        <v>0</v>
      </c>
    </row>
    <row r="929" spans="1:4" ht="25.9" customHeight="1">
      <c r="A929" s="65">
        <v>926</v>
      </c>
      <c r="D929" s="121">
        <f t="shared" si="16"/>
        <v>0</v>
      </c>
    </row>
    <row r="930" spans="1:4" ht="25.9" customHeight="1">
      <c r="A930" s="65">
        <v>927</v>
      </c>
      <c r="D930" s="121">
        <f t="shared" si="16"/>
        <v>0</v>
      </c>
    </row>
    <row r="931" spans="1:4" ht="25.9" customHeight="1">
      <c r="A931" s="65">
        <v>928</v>
      </c>
      <c r="D931" s="121">
        <f t="shared" si="16"/>
        <v>0</v>
      </c>
    </row>
    <row r="932" spans="1:4" ht="25.9" customHeight="1">
      <c r="A932" s="65">
        <v>929</v>
      </c>
      <c r="D932" s="121">
        <f t="shared" si="16"/>
        <v>0</v>
      </c>
    </row>
    <row r="933" spans="1:4" ht="25.9" customHeight="1">
      <c r="A933" s="65">
        <v>930</v>
      </c>
      <c r="D933" s="121">
        <f t="shared" si="16"/>
        <v>0</v>
      </c>
    </row>
    <row r="934" spans="1:4" ht="25.9" customHeight="1">
      <c r="A934" s="65">
        <v>931</v>
      </c>
      <c r="D934" s="121">
        <f t="shared" si="16"/>
        <v>0</v>
      </c>
    </row>
    <row r="935" spans="1:4" ht="25.9" customHeight="1">
      <c r="A935" s="65">
        <v>932</v>
      </c>
      <c r="D935" s="121">
        <f t="shared" si="16"/>
        <v>0</v>
      </c>
    </row>
    <row r="936" spans="1:4" ht="25.9" customHeight="1">
      <c r="A936" s="65">
        <v>933</v>
      </c>
      <c r="D936" s="121">
        <f t="shared" si="16"/>
        <v>0</v>
      </c>
    </row>
    <row r="937" spans="1:4" ht="25.9" customHeight="1">
      <c r="A937" s="65">
        <v>934</v>
      </c>
      <c r="D937" s="121">
        <f t="shared" si="16"/>
        <v>0</v>
      </c>
    </row>
    <row r="938" spans="1:4" ht="25.9" customHeight="1">
      <c r="A938" s="65">
        <v>935</v>
      </c>
      <c r="D938" s="121">
        <f t="shared" si="16"/>
        <v>0</v>
      </c>
    </row>
    <row r="939" spans="1:4" ht="25.9" customHeight="1">
      <c r="A939" s="65">
        <v>936</v>
      </c>
      <c r="D939" s="121">
        <f t="shared" si="16"/>
        <v>0</v>
      </c>
    </row>
    <row r="940" spans="1:4" ht="25.9" customHeight="1">
      <c r="A940" s="65">
        <v>937</v>
      </c>
      <c r="D940" s="121">
        <f t="shared" si="16"/>
        <v>0</v>
      </c>
    </row>
    <row r="941" spans="1:4" ht="25.9" customHeight="1">
      <c r="A941" s="65">
        <v>938</v>
      </c>
      <c r="D941" s="121">
        <f t="shared" si="16"/>
        <v>0</v>
      </c>
    </row>
    <row r="942" spans="1:4" ht="25.9" customHeight="1">
      <c r="A942" s="65">
        <v>939</v>
      </c>
      <c r="D942" s="121">
        <f t="shared" si="16"/>
        <v>0</v>
      </c>
    </row>
    <row r="943" spans="1:4" ht="25.9" customHeight="1">
      <c r="A943" s="65">
        <v>940</v>
      </c>
      <c r="D943" s="121">
        <f t="shared" si="16"/>
        <v>0</v>
      </c>
    </row>
    <row r="944" spans="1:4" ht="25.9" customHeight="1">
      <c r="A944" s="65">
        <v>941</v>
      </c>
      <c r="D944" s="121">
        <f t="shared" ref="D944:D1000" si="17">INDEX($E$4:$G$1000,$A944,$A$1)</f>
        <v>0</v>
      </c>
    </row>
    <row r="945" spans="1:4" ht="25.9" customHeight="1">
      <c r="A945" s="65">
        <v>942</v>
      </c>
      <c r="D945" s="121">
        <f t="shared" si="17"/>
        <v>0</v>
      </c>
    </row>
    <row r="946" spans="1:4" ht="25.9" customHeight="1">
      <c r="A946" s="65">
        <v>943</v>
      </c>
      <c r="D946" s="121">
        <f t="shared" si="17"/>
        <v>0</v>
      </c>
    </row>
    <row r="947" spans="1:4" ht="25.9" customHeight="1">
      <c r="A947" s="65">
        <v>944</v>
      </c>
      <c r="D947" s="121">
        <f t="shared" si="17"/>
        <v>0</v>
      </c>
    </row>
    <row r="948" spans="1:4" ht="25.9" customHeight="1">
      <c r="A948" s="65">
        <v>945</v>
      </c>
      <c r="D948" s="121">
        <f t="shared" si="17"/>
        <v>0</v>
      </c>
    </row>
    <row r="949" spans="1:4" ht="25.9" customHeight="1">
      <c r="A949" s="65">
        <v>946</v>
      </c>
      <c r="D949" s="121">
        <f t="shared" si="17"/>
        <v>0</v>
      </c>
    </row>
    <row r="950" spans="1:4" ht="25.9" customHeight="1">
      <c r="A950" s="65">
        <v>947</v>
      </c>
      <c r="D950" s="121">
        <f t="shared" si="17"/>
        <v>0</v>
      </c>
    </row>
    <row r="951" spans="1:4" ht="25.9" customHeight="1">
      <c r="A951" s="65">
        <v>948</v>
      </c>
      <c r="D951" s="121">
        <f t="shared" si="17"/>
        <v>0</v>
      </c>
    </row>
    <row r="952" spans="1:4" ht="25.9" customHeight="1">
      <c r="A952" s="65">
        <v>949</v>
      </c>
      <c r="D952" s="121">
        <f t="shared" si="17"/>
        <v>0</v>
      </c>
    </row>
    <row r="953" spans="1:4" ht="25.9" customHeight="1">
      <c r="A953" s="65">
        <v>950</v>
      </c>
      <c r="D953" s="121">
        <f t="shared" si="17"/>
        <v>0</v>
      </c>
    </row>
    <row r="954" spans="1:4" ht="25.9" customHeight="1">
      <c r="A954" s="65">
        <v>951</v>
      </c>
      <c r="D954" s="121">
        <f t="shared" si="17"/>
        <v>0</v>
      </c>
    </row>
    <row r="955" spans="1:4" ht="25.9" customHeight="1">
      <c r="A955" s="65">
        <v>952</v>
      </c>
      <c r="D955" s="121">
        <f t="shared" si="17"/>
        <v>0</v>
      </c>
    </row>
    <row r="956" spans="1:4" ht="25.9" customHeight="1">
      <c r="A956" s="65">
        <v>953</v>
      </c>
      <c r="D956" s="121">
        <f t="shared" si="17"/>
        <v>0</v>
      </c>
    </row>
    <row r="957" spans="1:4" ht="25.9" customHeight="1">
      <c r="A957" s="65">
        <v>954</v>
      </c>
      <c r="D957" s="121">
        <f t="shared" si="17"/>
        <v>0</v>
      </c>
    </row>
    <row r="958" spans="1:4" ht="25.9" customHeight="1">
      <c r="A958" s="65">
        <v>955</v>
      </c>
      <c r="D958" s="121">
        <f t="shared" si="17"/>
        <v>0</v>
      </c>
    </row>
    <row r="959" spans="1:4" ht="25.9" customHeight="1">
      <c r="A959" s="65">
        <v>956</v>
      </c>
      <c r="D959" s="121">
        <f t="shared" si="17"/>
        <v>0</v>
      </c>
    </row>
    <row r="960" spans="1:4" ht="25.9" customHeight="1">
      <c r="A960" s="65">
        <v>957</v>
      </c>
      <c r="D960" s="121">
        <f t="shared" si="17"/>
        <v>0</v>
      </c>
    </row>
    <row r="961" spans="1:4" ht="25.9" customHeight="1">
      <c r="A961" s="65">
        <v>958</v>
      </c>
      <c r="D961" s="121">
        <f t="shared" si="17"/>
        <v>0</v>
      </c>
    </row>
    <row r="962" spans="1:4" ht="25.9" customHeight="1">
      <c r="A962" s="65">
        <v>959</v>
      </c>
      <c r="D962" s="121">
        <f t="shared" si="17"/>
        <v>0</v>
      </c>
    </row>
    <row r="963" spans="1:4" ht="25.9" customHeight="1">
      <c r="A963" s="65">
        <v>960</v>
      </c>
      <c r="D963" s="121">
        <f t="shared" si="17"/>
        <v>0</v>
      </c>
    </row>
    <row r="964" spans="1:4" ht="25.9" customHeight="1">
      <c r="A964" s="65">
        <v>961</v>
      </c>
      <c r="D964" s="121">
        <f t="shared" si="17"/>
        <v>0</v>
      </c>
    </row>
    <row r="965" spans="1:4" ht="25.9" customHeight="1">
      <c r="A965" s="65">
        <v>962</v>
      </c>
      <c r="D965" s="121">
        <f t="shared" si="17"/>
        <v>0</v>
      </c>
    </row>
    <row r="966" spans="1:4" ht="25.9" customHeight="1">
      <c r="A966" s="65">
        <v>963</v>
      </c>
      <c r="D966" s="121">
        <f t="shared" si="17"/>
        <v>0</v>
      </c>
    </row>
    <row r="967" spans="1:4" ht="25.9" customHeight="1">
      <c r="A967" s="65">
        <v>964</v>
      </c>
      <c r="D967" s="121">
        <f t="shared" si="17"/>
        <v>0</v>
      </c>
    </row>
    <row r="968" spans="1:4" ht="25.9" customHeight="1">
      <c r="A968" s="65">
        <v>965</v>
      </c>
      <c r="D968" s="121">
        <f t="shared" si="17"/>
        <v>0</v>
      </c>
    </row>
    <row r="969" spans="1:4" ht="25.9" customHeight="1">
      <c r="A969" s="65">
        <v>966</v>
      </c>
      <c r="D969" s="121">
        <f t="shared" si="17"/>
        <v>0</v>
      </c>
    </row>
    <row r="970" spans="1:4" ht="25.9" customHeight="1">
      <c r="A970" s="65">
        <v>967</v>
      </c>
      <c r="D970" s="121">
        <f t="shared" si="17"/>
        <v>0</v>
      </c>
    </row>
    <row r="971" spans="1:4" ht="25.9" customHeight="1">
      <c r="A971" s="65">
        <v>968</v>
      </c>
      <c r="D971" s="121">
        <f t="shared" si="17"/>
        <v>0</v>
      </c>
    </row>
    <row r="972" spans="1:4" ht="25.9" customHeight="1">
      <c r="A972" s="65">
        <v>969</v>
      </c>
      <c r="D972" s="121">
        <f t="shared" si="17"/>
        <v>0</v>
      </c>
    </row>
    <row r="973" spans="1:4" ht="25.9" customHeight="1">
      <c r="A973" s="65">
        <v>970</v>
      </c>
      <c r="D973" s="121">
        <f t="shared" si="17"/>
        <v>0</v>
      </c>
    </row>
    <row r="974" spans="1:4" ht="25.9" customHeight="1">
      <c r="A974" s="65">
        <v>971</v>
      </c>
      <c r="D974" s="121">
        <f t="shared" si="17"/>
        <v>0</v>
      </c>
    </row>
    <row r="975" spans="1:4" ht="25.9" customHeight="1">
      <c r="A975" s="65">
        <v>972</v>
      </c>
      <c r="D975" s="121">
        <f t="shared" si="17"/>
        <v>0</v>
      </c>
    </row>
    <row r="976" spans="1:4" ht="25.9" customHeight="1">
      <c r="A976" s="65">
        <v>973</v>
      </c>
      <c r="D976" s="121">
        <f t="shared" si="17"/>
        <v>0</v>
      </c>
    </row>
    <row r="977" spans="1:4" ht="25.9" customHeight="1">
      <c r="A977" s="65">
        <v>974</v>
      </c>
      <c r="D977" s="121">
        <f t="shared" si="17"/>
        <v>0</v>
      </c>
    </row>
    <row r="978" spans="1:4" ht="25.9" customHeight="1">
      <c r="A978" s="65">
        <v>975</v>
      </c>
      <c r="D978" s="121">
        <f t="shared" si="17"/>
        <v>0</v>
      </c>
    </row>
    <row r="979" spans="1:4" ht="25.9" customHeight="1">
      <c r="A979" s="65">
        <v>976</v>
      </c>
      <c r="D979" s="121">
        <f t="shared" si="17"/>
        <v>0</v>
      </c>
    </row>
    <row r="980" spans="1:4" ht="25.9" customHeight="1">
      <c r="A980" s="65">
        <v>977</v>
      </c>
      <c r="D980" s="121">
        <f t="shared" si="17"/>
        <v>0</v>
      </c>
    </row>
    <row r="981" spans="1:4" ht="25.9" customHeight="1">
      <c r="A981" s="65">
        <v>978</v>
      </c>
      <c r="D981" s="121">
        <f t="shared" si="17"/>
        <v>0</v>
      </c>
    </row>
    <row r="982" spans="1:4" ht="25.9" customHeight="1">
      <c r="A982" s="65">
        <v>979</v>
      </c>
      <c r="D982" s="121">
        <f t="shared" si="17"/>
        <v>0</v>
      </c>
    </row>
    <row r="983" spans="1:4" ht="25.9" customHeight="1">
      <c r="A983" s="65">
        <v>980</v>
      </c>
      <c r="D983" s="121">
        <f t="shared" si="17"/>
        <v>0</v>
      </c>
    </row>
    <row r="984" spans="1:4" ht="25.9" customHeight="1">
      <c r="A984" s="65">
        <v>981</v>
      </c>
      <c r="D984" s="121">
        <f t="shared" si="17"/>
        <v>0</v>
      </c>
    </row>
    <row r="985" spans="1:4" ht="25.9" customHeight="1">
      <c r="A985" s="65">
        <v>982</v>
      </c>
      <c r="D985" s="121">
        <f t="shared" si="17"/>
        <v>0</v>
      </c>
    </row>
    <row r="986" spans="1:4" ht="25.9" customHeight="1">
      <c r="A986" s="65">
        <v>983</v>
      </c>
      <c r="D986" s="121">
        <f t="shared" si="17"/>
        <v>0</v>
      </c>
    </row>
    <row r="987" spans="1:4" ht="25.9" customHeight="1">
      <c r="A987" s="65">
        <v>984</v>
      </c>
      <c r="D987" s="121">
        <f t="shared" si="17"/>
        <v>0</v>
      </c>
    </row>
    <row r="988" spans="1:4" ht="25.9" customHeight="1">
      <c r="A988" s="65">
        <v>985</v>
      </c>
      <c r="D988" s="121">
        <f t="shared" si="17"/>
        <v>0</v>
      </c>
    </row>
    <row r="989" spans="1:4" ht="25.9" customHeight="1">
      <c r="A989" s="65">
        <v>986</v>
      </c>
      <c r="D989" s="121">
        <f t="shared" si="17"/>
        <v>0</v>
      </c>
    </row>
    <row r="990" spans="1:4" ht="25.9" customHeight="1">
      <c r="A990" s="65">
        <v>987</v>
      </c>
      <c r="D990" s="121">
        <f t="shared" si="17"/>
        <v>0</v>
      </c>
    </row>
    <row r="991" spans="1:4" ht="25.9" customHeight="1">
      <c r="A991" s="65">
        <v>988</v>
      </c>
      <c r="D991" s="121">
        <f t="shared" si="17"/>
        <v>0</v>
      </c>
    </row>
    <row r="992" spans="1:4" ht="25.9" customHeight="1">
      <c r="A992" s="65">
        <v>989</v>
      </c>
      <c r="D992" s="121">
        <f t="shared" si="17"/>
        <v>0</v>
      </c>
    </row>
    <row r="993" spans="1:4" ht="25.9" customHeight="1">
      <c r="A993" s="65">
        <v>990</v>
      </c>
      <c r="D993" s="121">
        <f t="shared" si="17"/>
        <v>0</v>
      </c>
    </row>
    <row r="994" spans="1:4" ht="25.9" customHeight="1">
      <c r="A994" s="65">
        <v>991</v>
      </c>
      <c r="D994" s="121">
        <f t="shared" si="17"/>
        <v>0</v>
      </c>
    </row>
    <row r="995" spans="1:4" ht="25.9" customHeight="1">
      <c r="A995" s="65">
        <v>992</v>
      </c>
      <c r="D995" s="121">
        <f t="shared" si="17"/>
        <v>0</v>
      </c>
    </row>
    <row r="996" spans="1:4" ht="25.9" customHeight="1">
      <c r="A996" s="65">
        <v>993</v>
      </c>
      <c r="D996" s="121">
        <f t="shared" si="17"/>
        <v>0</v>
      </c>
    </row>
    <row r="997" spans="1:4" ht="25.9" customHeight="1">
      <c r="A997" s="65">
        <v>994</v>
      </c>
      <c r="D997" s="121">
        <f t="shared" si="17"/>
        <v>0</v>
      </c>
    </row>
    <row r="998" spans="1:4" ht="25.9" customHeight="1">
      <c r="A998" s="65">
        <v>995</v>
      </c>
      <c r="D998" s="121">
        <f t="shared" si="17"/>
        <v>0</v>
      </c>
    </row>
    <row r="999" spans="1:4" ht="25.9" customHeight="1">
      <c r="A999" s="65">
        <v>996</v>
      </c>
      <c r="D999" s="121">
        <f t="shared" si="17"/>
        <v>0</v>
      </c>
    </row>
    <row r="1000" spans="1:4" ht="25.9" customHeight="1">
      <c r="A1000" s="65">
        <v>997</v>
      </c>
      <c r="D1000" s="121">
        <f t="shared" si="17"/>
        <v>0</v>
      </c>
    </row>
  </sheetData>
  <sheetProtection algorithmName="SHA-512" hashValue="k+p61Z47PwDJMMUJFr0LB4vXAkTJMk9A2ng/P6oEzm1l6ad+5smjdcCEOxmqr7GSmTjMlDGZKeboa2y6pP3cXw==" saltValue="AWtP8Sl2iXP9QhHhz+B+eg==" spinCount="100000" sheet="1" objects="1" scenarios="1"/>
  <phoneticPr fontId="6" type="noConversion"/>
  <dataValidations count="1">
    <dataValidation type="list" allowBlank="1" showInputMessage="1" showErrorMessage="1" sqref="C1">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602"/>
  <sheetViews>
    <sheetView showZeros="0" workbookViewId="0">
      <selection activeCell="C22" sqref="C22"/>
    </sheetView>
  </sheetViews>
  <sheetFormatPr baseColWidth="10" defaultColWidth="11.42578125" defaultRowHeight="12.75"/>
  <cols>
    <col min="1" max="1" width="56.42578125" style="168" customWidth="1"/>
    <col min="2" max="2" width="6.85546875" style="168" customWidth="1"/>
    <col min="3" max="3" width="11.42578125" style="459"/>
  </cols>
  <sheetData>
    <row r="1" spans="1:3">
      <c r="A1" s="168">
        <f>Uebersetzung!C2</f>
        <v>2018</v>
      </c>
      <c r="B1" s="167">
        <v>1</v>
      </c>
      <c r="C1" s="459" t="s">
        <v>1732</v>
      </c>
    </row>
    <row r="2" spans="1:3">
      <c r="A2" s="168">
        <f>Uebersetzung!A2</f>
        <v>1</v>
      </c>
      <c r="B2" s="167">
        <v>2</v>
      </c>
      <c r="C2" s="459" t="s">
        <v>1733</v>
      </c>
    </row>
    <row r="3" spans="1:3">
      <c r="A3" s="167" t="str">
        <f>TEXT(A1,0)&amp;"."&amp;TEXT(A2,0)</f>
        <v>2018.1</v>
      </c>
      <c r="B3" s="167">
        <v>3</v>
      </c>
      <c r="C3" s="459" t="s">
        <v>1734</v>
      </c>
    </row>
    <row r="4" spans="1:3">
      <c r="A4" s="168" t="e">
        <f>#REF!</f>
        <v>#REF!</v>
      </c>
      <c r="B4" s="167">
        <v>4</v>
      </c>
      <c r="C4" s="459" t="s">
        <v>1731</v>
      </c>
    </row>
    <row r="5" spans="1:3">
      <c r="A5" s="168" t="e">
        <f>#REF!</f>
        <v>#REF!</v>
      </c>
      <c r="B5" s="167">
        <v>5</v>
      </c>
      <c r="C5" s="459" t="s">
        <v>393</v>
      </c>
    </row>
    <row r="6" spans="1:3">
      <c r="A6" s="168" t="e">
        <f>#REF!</f>
        <v>#REF!</v>
      </c>
      <c r="B6" s="167">
        <v>6</v>
      </c>
      <c r="C6" s="459" t="s">
        <v>1521</v>
      </c>
    </row>
    <row r="7" spans="1:3">
      <c r="A7" s="168" t="str">
        <f>Uebersetzung!C1</f>
        <v>französisch</v>
      </c>
      <c r="B7" s="167">
        <v>7</v>
      </c>
      <c r="C7" s="459" t="s">
        <v>651</v>
      </c>
    </row>
    <row r="8" spans="1:3">
      <c r="A8" s="168">
        <f>Uebersetzung!A1</f>
        <v>2</v>
      </c>
      <c r="B8" s="167">
        <v>8</v>
      </c>
      <c r="C8" s="459" t="s">
        <v>1698</v>
      </c>
    </row>
    <row r="9" spans="1:3">
      <c r="A9" s="168">
        <f>Projekt1</f>
        <v>0</v>
      </c>
      <c r="B9" s="167">
        <v>9</v>
      </c>
      <c r="C9" s="459" t="s">
        <v>1522</v>
      </c>
    </row>
    <row r="10" spans="1:3">
      <c r="A10" s="168" t="e">
        <f>Projekt2</f>
        <v>#REF!</v>
      </c>
      <c r="B10" s="167">
        <v>10</v>
      </c>
      <c r="C10" s="459" t="s">
        <v>649</v>
      </c>
    </row>
    <row r="11" spans="1:3">
      <c r="A11" s="168" t="e">
        <f>Projekt3</f>
        <v>#REF!</v>
      </c>
      <c r="B11" s="167">
        <v>11</v>
      </c>
      <c r="C11" s="459" t="s">
        <v>1523</v>
      </c>
    </row>
    <row r="12" spans="1:3">
      <c r="A12" s="168" t="e">
        <f>#REF!</f>
        <v>#REF!</v>
      </c>
      <c r="B12" s="167">
        <v>12</v>
      </c>
      <c r="C12" s="459" t="s">
        <v>1524</v>
      </c>
    </row>
    <row r="13" spans="1:3">
      <c r="A13" s="168">
        <f>Projekt4</f>
        <v>0</v>
      </c>
      <c r="B13" s="167">
        <v>13</v>
      </c>
      <c r="C13" s="459" t="s">
        <v>1525</v>
      </c>
    </row>
    <row r="14" spans="1:3">
      <c r="A14" s="168" t="e">
        <f>Hoehe</f>
        <v>#REF!</v>
      </c>
      <c r="B14" s="167">
        <v>14</v>
      </c>
      <c r="C14" s="459" t="s">
        <v>650</v>
      </c>
    </row>
    <row r="15" spans="1:3">
      <c r="A15" s="168" t="e">
        <f>#REF!</f>
        <v>#REF!</v>
      </c>
      <c r="B15" s="167">
        <v>15</v>
      </c>
      <c r="C15" s="459" t="s">
        <v>3</v>
      </c>
    </row>
    <row r="16" spans="1:3">
      <c r="A16" s="168" t="e">
        <f>Kanton</f>
        <v>#REF!</v>
      </c>
      <c r="B16" s="167">
        <v>16</v>
      </c>
      <c r="C16" s="459" t="s">
        <v>1562</v>
      </c>
    </row>
    <row r="17" spans="1:3">
      <c r="A17" s="168" t="e">
        <f>#REF!</f>
        <v>#REF!</v>
      </c>
      <c r="B17" s="167">
        <v>17</v>
      </c>
      <c r="C17" s="459" t="s">
        <v>2</v>
      </c>
    </row>
    <row r="18" spans="1:3">
      <c r="A18" s="168" t="e">
        <f>#REF!</f>
        <v>#REF!</v>
      </c>
      <c r="B18" s="167">
        <v>18</v>
      </c>
      <c r="C18" s="459" t="s">
        <v>1526</v>
      </c>
    </row>
    <row r="19" spans="1:3">
      <c r="A19" s="168" t="e">
        <f>#REF!</f>
        <v>#REF!</v>
      </c>
      <c r="B19" s="167">
        <v>19</v>
      </c>
      <c r="C19" s="459" t="s">
        <v>652</v>
      </c>
    </row>
    <row r="20" spans="1:3">
      <c r="A20" s="168" t="e">
        <f>Kategorie1-1</f>
        <v>#REF!</v>
      </c>
      <c r="B20" s="167">
        <v>20</v>
      </c>
      <c r="C20" s="459" t="s">
        <v>1736</v>
      </c>
    </row>
    <row r="21" spans="1:3">
      <c r="A21" s="168" t="e">
        <f>#REF!</f>
        <v>#REF!</v>
      </c>
      <c r="B21" s="167">
        <v>21</v>
      </c>
      <c r="C21" s="459" t="s">
        <v>655</v>
      </c>
    </row>
    <row r="22" spans="1:3">
      <c r="A22" s="168" t="e">
        <f>Kategorie2-1</f>
        <v>#REF!</v>
      </c>
      <c r="B22" s="167">
        <v>22</v>
      </c>
      <c r="C22" s="459" t="s">
        <v>1738</v>
      </c>
    </row>
    <row r="23" spans="1:3">
      <c r="A23" s="168" t="e">
        <f>#REF!</f>
        <v>#REF!</v>
      </c>
      <c r="B23" s="167">
        <v>23</v>
      </c>
      <c r="C23" s="459" t="s">
        <v>654</v>
      </c>
    </row>
    <row r="24" spans="1:3">
      <c r="A24" s="168" t="e">
        <f>Kategorie3-1</f>
        <v>#REF!</v>
      </c>
      <c r="B24" s="167">
        <v>24</v>
      </c>
      <c r="C24" s="459" t="s">
        <v>1739</v>
      </c>
    </row>
    <row r="25" spans="1:3">
      <c r="A25" s="168" t="e">
        <f>#REF!</f>
        <v>#REF!</v>
      </c>
      <c r="B25" s="167">
        <v>25</v>
      </c>
      <c r="C25" s="459" t="s">
        <v>653</v>
      </c>
    </row>
    <row r="26" spans="1:3">
      <c r="A26" s="168" t="e">
        <f>Kategorie4-1</f>
        <v>#REF!</v>
      </c>
      <c r="B26" s="167">
        <v>26</v>
      </c>
      <c r="C26" s="459" t="s">
        <v>1737</v>
      </c>
    </row>
    <row r="27" spans="1:3">
      <c r="A27" s="168" t="e">
        <f>#REF!</f>
        <v>#REF!</v>
      </c>
      <c r="B27" s="167">
        <v>27</v>
      </c>
      <c r="C27" s="459" t="s">
        <v>656</v>
      </c>
    </row>
    <row r="28" spans="1:3">
      <c r="A28" s="168" t="e">
        <f>IF(A27=Uebersetzung!$D$25,1,IF(A27=Uebersetzung!$D$26,2,0))</f>
        <v>#REF!</v>
      </c>
      <c r="B28" s="167">
        <v>28</v>
      </c>
      <c r="C28" s="459" t="s">
        <v>1740</v>
      </c>
    </row>
    <row r="29" spans="1:3">
      <c r="A29" s="168" t="e">
        <f>#REF!</f>
        <v>#REF!</v>
      </c>
      <c r="B29" s="167">
        <v>29</v>
      </c>
      <c r="C29" s="459" t="s">
        <v>657</v>
      </c>
    </row>
    <row r="30" spans="1:3">
      <c r="A30" s="168" t="e">
        <f>IF(A29=Uebersetzung!$D$25,1,IF(A29=Uebersetzung!$D$26,2,0))</f>
        <v>#REF!</v>
      </c>
      <c r="B30" s="167">
        <v>30</v>
      </c>
      <c r="C30" s="459" t="s">
        <v>1743</v>
      </c>
    </row>
    <row r="31" spans="1:3">
      <c r="A31" s="168" t="e">
        <f>#REF!</f>
        <v>#REF!</v>
      </c>
      <c r="B31" s="167">
        <v>31</v>
      </c>
      <c r="C31" s="459" t="s">
        <v>658</v>
      </c>
    </row>
    <row r="32" spans="1:3">
      <c r="A32" s="168" t="e">
        <f>IF(A31=Uebersetzung!$D$25,1,IF(A31=Uebersetzung!$D$26,2,0))</f>
        <v>#REF!</v>
      </c>
      <c r="B32" s="167">
        <v>32</v>
      </c>
      <c r="C32" s="459" t="s">
        <v>1742</v>
      </c>
    </row>
    <row r="33" spans="1:3">
      <c r="A33" s="168" t="e">
        <f>#REF!</f>
        <v>#REF!</v>
      </c>
      <c r="B33" s="167">
        <v>33</v>
      </c>
      <c r="C33" s="459" t="s">
        <v>659</v>
      </c>
    </row>
    <row r="34" spans="1:3">
      <c r="A34" s="168" t="e">
        <f>IF(A33=Uebersetzung!$D$25,1,IF(A33=Uebersetzung!$D$26,2,0))</f>
        <v>#REF!</v>
      </c>
      <c r="B34" s="167">
        <v>34</v>
      </c>
      <c r="C34" s="459" t="s">
        <v>1741</v>
      </c>
    </row>
    <row r="35" spans="1:3">
      <c r="A35" s="168" t="e">
        <f>_EBF1</f>
        <v>#REF!</v>
      </c>
      <c r="B35" s="167">
        <v>35</v>
      </c>
      <c r="C35" s="459" t="s">
        <v>660</v>
      </c>
    </row>
    <row r="36" spans="1:3">
      <c r="A36" s="168" t="e">
        <f>_EBF2</f>
        <v>#REF!</v>
      </c>
      <c r="B36" s="167">
        <v>36</v>
      </c>
      <c r="C36" s="459" t="s">
        <v>661</v>
      </c>
    </row>
    <row r="37" spans="1:3">
      <c r="A37" s="168" t="e">
        <f>_EBF3</f>
        <v>#REF!</v>
      </c>
      <c r="B37" s="167">
        <v>37</v>
      </c>
      <c r="C37" s="459" t="s">
        <v>662</v>
      </c>
    </row>
    <row r="38" spans="1:3">
      <c r="A38" s="168" t="e">
        <f>_EBF4</f>
        <v>#REF!</v>
      </c>
      <c r="B38" s="167">
        <v>38</v>
      </c>
      <c r="C38" s="459" t="s">
        <v>663</v>
      </c>
    </row>
    <row r="39" spans="1:3">
      <c r="A39" s="168" t="e">
        <f>#REF!</f>
        <v>#REF!</v>
      </c>
      <c r="B39" s="167">
        <v>39</v>
      </c>
      <c r="C39" s="459" t="s">
        <v>664</v>
      </c>
    </row>
    <row r="40" spans="1:3">
      <c r="A40" s="168" t="e">
        <f>Neubau1-1</f>
        <v>#REF!</v>
      </c>
      <c r="B40" s="167">
        <v>40</v>
      </c>
      <c r="C40" s="459" t="s">
        <v>1744</v>
      </c>
    </row>
    <row r="41" spans="1:3">
      <c r="A41" s="168" t="e">
        <f>#REF!</f>
        <v>#REF!</v>
      </c>
      <c r="B41" s="167">
        <v>41</v>
      </c>
      <c r="C41" s="459" t="s">
        <v>667</v>
      </c>
    </row>
    <row r="42" spans="1:3">
      <c r="A42" s="168" t="e">
        <f>Neubau2-1</f>
        <v>#REF!</v>
      </c>
      <c r="B42" s="167">
        <v>42</v>
      </c>
      <c r="C42" s="459" t="s">
        <v>1746</v>
      </c>
    </row>
    <row r="43" spans="1:3">
      <c r="A43" s="168" t="e">
        <f>#REF!</f>
        <v>#REF!</v>
      </c>
      <c r="B43" s="167">
        <v>43</v>
      </c>
      <c r="C43" s="459" t="s">
        <v>666</v>
      </c>
    </row>
    <row r="44" spans="1:3">
      <c r="A44" s="168" t="e">
        <f>Neubau3-1</f>
        <v>#REF!</v>
      </c>
      <c r="B44" s="167">
        <v>44</v>
      </c>
      <c r="C44" s="459" t="s">
        <v>1747</v>
      </c>
    </row>
    <row r="45" spans="1:3">
      <c r="A45" s="168" t="e">
        <f>#REF!</f>
        <v>#REF!</v>
      </c>
      <c r="B45" s="167">
        <v>45</v>
      </c>
      <c r="C45" s="459" t="s">
        <v>665</v>
      </c>
    </row>
    <row r="46" spans="1:3">
      <c r="A46" s="168" t="e">
        <f>Neubau4-1</f>
        <v>#REF!</v>
      </c>
      <c r="B46" s="167">
        <v>46</v>
      </c>
      <c r="C46" s="459" t="s">
        <v>1745</v>
      </c>
    </row>
    <row r="47" spans="1:3">
      <c r="A47" s="168" t="e">
        <f>#REF!</f>
        <v>#REF!</v>
      </c>
      <c r="B47" s="167">
        <v>47</v>
      </c>
      <c r="C47" s="459" t="s">
        <v>668</v>
      </c>
    </row>
    <row r="48" spans="1:3">
      <c r="A48" s="168" t="e">
        <f>IF(A47=Uebersetzung!$D$25,1,IF(A47=Uebersetzung!$D$26,2,0))</f>
        <v>#REF!</v>
      </c>
      <c r="B48" s="167">
        <v>48</v>
      </c>
      <c r="C48" s="459" t="s">
        <v>1748</v>
      </c>
    </row>
    <row r="49" spans="1:3">
      <c r="A49" s="168" t="e">
        <f>#REF!</f>
        <v>#REF!</v>
      </c>
      <c r="B49" s="167">
        <v>49</v>
      </c>
      <c r="C49" s="459" t="s">
        <v>671</v>
      </c>
    </row>
    <row r="50" spans="1:3">
      <c r="A50" s="168" t="e">
        <f>IF(A49=Uebersetzung!$D$25,1,IF(A49=Uebersetzung!$D$26,2,0))</f>
        <v>#REF!</v>
      </c>
      <c r="B50" s="167">
        <v>50</v>
      </c>
      <c r="C50" s="459" t="s">
        <v>1749</v>
      </c>
    </row>
    <row r="51" spans="1:3">
      <c r="A51" s="168" t="e">
        <f>#REF!</f>
        <v>#REF!</v>
      </c>
      <c r="B51" s="167">
        <v>51</v>
      </c>
      <c r="C51" s="459" t="s">
        <v>670</v>
      </c>
    </row>
    <row r="52" spans="1:3">
      <c r="A52" s="168" t="e">
        <f>IF(A51=Uebersetzung!$D$25,1,IF(A51=Uebersetzung!$D$26,2,0))</f>
        <v>#REF!</v>
      </c>
      <c r="B52" s="167">
        <v>52</v>
      </c>
      <c r="C52" s="459" t="s">
        <v>1750</v>
      </c>
    </row>
    <row r="53" spans="1:3">
      <c r="A53" s="168" t="e">
        <f>#REF!</f>
        <v>#REF!</v>
      </c>
      <c r="B53" s="167">
        <v>53</v>
      </c>
      <c r="C53" s="459" t="s">
        <v>669</v>
      </c>
    </row>
    <row r="54" spans="1:3">
      <c r="A54" s="168" t="e">
        <f>IF(A53=Uebersetzung!$D$25,1,IF(A53=Uebersetzung!$D$26,2,0))</f>
        <v>#REF!</v>
      </c>
      <c r="B54" s="167">
        <v>54</v>
      </c>
      <c r="C54" s="459" t="s">
        <v>1751</v>
      </c>
    </row>
    <row r="55" spans="1:3">
      <c r="A55" s="168" t="e">
        <f>#REF!</f>
        <v>#REF!</v>
      </c>
      <c r="B55" s="167">
        <v>55</v>
      </c>
      <c r="C55" s="459" t="s">
        <v>1535</v>
      </c>
    </row>
    <row r="56" spans="1:3">
      <c r="A56" s="168" t="e">
        <f>IF(A55=0,1,VLOOKUP(A55,#REF!,6,FALSE))-1</f>
        <v>#REF!</v>
      </c>
      <c r="B56" s="167">
        <v>56</v>
      </c>
      <c r="C56" s="459" t="s">
        <v>1752</v>
      </c>
    </row>
    <row r="57" spans="1:3">
      <c r="A57" s="168" t="e">
        <f>#REF!</f>
        <v>#REF!</v>
      </c>
      <c r="B57" s="167">
        <v>57</v>
      </c>
      <c r="C57" s="459" t="s">
        <v>1536</v>
      </c>
    </row>
    <row r="58" spans="1:3">
      <c r="A58" s="168" t="e">
        <f>IF(A57=0,1,VLOOKUP(A57,#REF!,6,FALSE))-1</f>
        <v>#REF!</v>
      </c>
      <c r="B58" s="167">
        <v>58</v>
      </c>
      <c r="C58" s="459" t="s">
        <v>1754</v>
      </c>
    </row>
    <row r="59" spans="1:3">
      <c r="A59" s="168" t="e">
        <f>#REF!</f>
        <v>#REF!</v>
      </c>
      <c r="B59" s="167">
        <v>59</v>
      </c>
      <c r="C59" s="459" t="s">
        <v>1537</v>
      </c>
    </row>
    <row r="60" spans="1:3">
      <c r="A60" s="168" t="e">
        <f>IF(A59=0,1,VLOOKUP(A59,#REF!,6,FALSE))-1</f>
        <v>#REF!</v>
      </c>
      <c r="B60" s="167">
        <v>60</v>
      </c>
      <c r="C60" s="459" t="s">
        <v>1755</v>
      </c>
    </row>
    <row r="61" spans="1:3">
      <c r="A61" s="168" t="e">
        <f>#REF!</f>
        <v>#REF!</v>
      </c>
      <c r="B61" s="167">
        <v>61</v>
      </c>
      <c r="C61" s="459" t="s">
        <v>1538</v>
      </c>
    </row>
    <row r="62" spans="1:3">
      <c r="A62" s="168" t="e">
        <f>IF(A61=0,1,VLOOKUP(A61,#REF!,6,FALSE))-1</f>
        <v>#REF!</v>
      </c>
      <c r="B62" s="167">
        <v>62</v>
      </c>
      <c r="C62" s="459" t="s">
        <v>1753</v>
      </c>
    </row>
    <row r="63" spans="1:3">
      <c r="A63" s="168" t="e">
        <f>Raum1</f>
        <v>#REF!</v>
      </c>
      <c r="B63" s="167">
        <v>63</v>
      </c>
      <c r="C63" s="459" t="s">
        <v>672</v>
      </c>
    </row>
    <row r="64" spans="1:3">
      <c r="A64" s="168" t="e">
        <f>Raum2</f>
        <v>#REF!</v>
      </c>
      <c r="B64" s="167">
        <v>64</v>
      </c>
      <c r="C64" s="459" t="s">
        <v>675</v>
      </c>
    </row>
    <row r="65" spans="1:3">
      <c r="A65" s="168" t="e">
        <f>Raum3</f>
        <v>#REF!</v>
      </c>
      <c r="B65" s="167">
        <v>65</v>
      </c>
      <c r="C65" s="459" t="s">
        <v>674</v>
      </c>
    </row>
    <row r="66" spans="1:3">
      <c r="A66" s="168" t="e">
        <f>Raum4</f>
        <v>#REF!</v>
      </c>
      <c r="B66" s="167">
        <v>66</v>
      </c>
      <c r="C66" s="459" t="s">
        <v>673</v>
      </c>
    </row>
    <row r="67" spans="1:3">
      <c r="A67" s="168" t="e">
        <f>#REF!</f>
        <v>#REF!</v>
      </c>
      <c r="B67" s="167">
        <v>67</v>
      </c>
      <c r="C67" s="459" t="s">
        <v>1539</v>
      </c>
    </row>
    <row r="68" spans="1:3">
      <c r="A68" s="168" t="e">
        <f>IF(A67=0,1,VLOOKUP(A67,#REF!,4,FALSE))-1</f>
        <v>#REF!</v>
      </c>
      <c r="B68" s="167">
        <v>68</v>
      </c>
      <c r="C68" s="459" t="s">
        <v>1756</v>
      </c>
    </row>
    <row r="69" spans="1:3">
      <c r="A69" s="168" t="e">
        <f>#REF!</f>
        <v>#REF!</v>
      </c>
      <c r="B69" s="167">
        <v>69</v>
      </c>
      <c r="C69" s="459" t="s">
        <v>1540</v>
      </c>
    </row>
    <row r="70" spans="1:3">
      <c r="A70" s="168" t="e">
        <f>IF(A69=0,1,VLOOKUP(A69,#REF!,4,FALSE))-1</f>
        <v>#REF!</v>
      </c>
      <c r="B70" s="167">
        <v>70</v>
      </c>
      <c r="C70" s="459" t="s">
        <v>1757</v>
      </c>
    </row>
    <row r="71" spans="1:3">
      <c r="A71" s="168" t="e">
        <f>#REF!</f>
        <v>#REF!</v>
      </c>
      <c r="B71" s="167">
        <v>71</v>
      </c>
      <c r="C71" s="459" t="s">
        <v>1541</v>
      </c>
    </row>
    <row r="72" spans="1:3">
      <c r="A72" s="168" t="e">
        <f>IF(A71=0,1,VLOOKUP(A71,#REF!,4,FALSE))-1</f>
        <v>#REF!</v>
      </c>
      <c r="B72" s="167">
        <v>72</v>
      </c>
      <c r="C72" s="459" t="s">
        <v>1758</v>
      </c>
    </row>
    <row r="73" spans="1:3">
      <c r="A73" s="168" t="e">
        <f>#REF!</f>
        <v>#REF!</v>
      </c>
      <c r="B73" s="167">
        <v>73</v>
      </c>
      <c r="C73" s="459" t="s">
        <v>1542</v>
      </c>
    </row>
    <row r="74" spans="1:3">
      <c r="A74" s="168" t="e">
        <f>IF(A73=0,1,VLOOKUP(A73,#REF!,4,FALSE))-1</f>
        <v>#REF!</v>
      </c>
      <c r="B74" s="167">
        <v>74</v>
      </c>
      <c r="C74" s="459" t="s">
        <v>1759</v>
      </c>
    </row>
    <row r="75" spans="1:3">
      <c r="A75" s="168" t="e">
        <f>#REF!</f>
        <v>#REF!</v>
      </c>
      <c r="B75" s="167">
        <v>75</v>
      </c>
      <c r="C75" s="459" t="s">
        <v>1543</v>
      </c>
    </row>
    <row r="76" spans="1:3">
      <c r="A76" s="168" t="e">
        <f>IF(A75=0,1,VLOOKUP(A75,#REF!,3,FALSE))-1</f>
        <v>#REF!</v>
      </c>
      <c r="B76" s="167">
        <v>76</v>
      </c>
      <c r="C76" s="459" t="s">
        <v>1761</v>
      </c>
    </row>
    <row r="77" spans="1:3">
      <c r="A77" s="168" t="e">
        <f>#REF!</f>
        <v>#REF!</v>
      </c>
      <c r="B77" s="167">
        <v>77</v>
      </c>
      <c r="C77" s="459" t="s">
        <v>1545</v>
      </c>
    </row>
    <row r="78" spans="1:3">
      <c r="A78" s="168" t="e">
        <f>IF(A77=0,1,VLOOKUP(A77,#REF!,3,FALSE))-1</f>
        <v>#REF!</v>
      </c>
      <c r="B78" s="167">
        <v>78</v>
      </c>
      <c r="C78" s="459" t="s">
        <v>1762</v>
      </c>
    </row>
    <row r="79" spans="1:3">
      <c r="A79" s="168" t="e">
        <f>#REF!</f>
        <v>#REF!</v>
      </c>
      <c r="B79" s="167">
        <v>79</v>
      </c>
      <c r="C79" s="459" t="s">
        <v>1546</v>
      </c>
    </row>
    <row r="80" spans="1:3">
      <c r="A80" s="168" t="e">
        <f>IF(A79=0,1,VLOOKUP(A79,#REF!,3,FALSE))-1</f>
        <v>#REF!</v>
      </c>
      <c r="B80" s="167">
        <v>80</v>
      </c>
      <c r="C80" s="459" t="s">
        <v>1763</v>
      </c>
    </row>
    <row r="81" spans="1:3">
      <c r="A81" s="168" t="e">
        <f>#REF!</f>
        <v>#REF!</v>
      </c>
      <c r="B81" s="167">
        <v>81</v>
      </c>
      <c r="C81" s="459" t="s">
        <v>1544</v>
      </c>
    </row>
    <row r="82" spans="1:3">
      <c r="A82" s="168" t="e">
        <f>IF(A81=0,1,VLOOKUP(A81,#REF!,3,FALSE))-1</f>
        <v>#REF!</v>
      </c>
      <c r="B82" s="167">
        <v>82</v>
      </c>
      <c r="C82" s="459" t="s">
        <v>1760</v>
      </c>
    </row>
    <row r="83" spans="1:3">
      <c r="A83" s="168" t="e">
        <f>#REF!</f>
        <v>#REF!</v>
      </c>
      <c r="B83" s="167">
        <v>83</v>
      </c>
      <c r="C83" s="459" t="s">
        <v>676</v>
      </c>
    </row>
    <row r="84" spans="1:3">
      <c r="A84" s="168" t="e">
        <f>#REF!-1</f>
        <v>#REF!</v>
      </c>
      <c r="B84" s="167">
        <v>84</v>
      </c>
      <c r="C84" s="459" t="s">
        <v>1765</v>
      </c>
    </row>
    <row r="85" spans="1:3">
      <c r="A85" s="168" t="e">
        <f>#REF!</f>
        <v>#REF!</v>
      </c>
      <c r="B85" s="167">
        <v>85</v>
      </c>
      <c r="C85" s="459" t="s">
        <v>679</v>
      </c>
    </row>
    <row r="86" spans="1:3">
      <c r="A86" s="168" t="e">
        <f>#REF!-1</f>
        <v>#REF!</v>
      </c>
      <c r="B86" s="167">
        <v>86</v>
      </c>
      <c r="C86" s="459" t="s">
        <v>1766</v>
      </c>
    </row>
    <row r="87" spans="1:3">
      <c r="A87" s="168" t="e">
        <f>#REF!</f>
        <v>#REF!</v>
      </c>
      <c r="B87" s="167">
        <v>87</v>
      </c>
      <c r="C87" s="459" t="s">
        <v>678</v>
      </c>
    </row>
    <row r="88" spans="1:3">
      <c r="A88" s="168" t="e">
        <f>#REF!-1</f>
        <v>#REF!</v>
      </c>
      <c r="B88" s="167">
        <v>88</v>
      </c>
      <c r="C88" s="459" t="s">
        <v>1767</v>
      </c>
    </row>
    <row r="89" spans="1:3">
      <c r="A89" s="168" t="e">
        <f>#REF!</f>
        <v>#REF!</v>
      </c>
      <c r="B89" s="167">
        <v>89</v>
      </c>
      <c r="C89" s="459" t="s">
        <v>677</v>
      </c>
    </row>
    <row r="90" spans="1:3">
      <c r="A90" s="168" t="e">
        <f>#REF!-1</f>
        <v>#REF!</v>
      </c>
      <c r="B90" s="167">
        <v>90</v>
      </c>
      <c r="C90" s="459" t="s">
        <v>1764</v>
      </c>
    </row>
    <row r="91" spans="1:3">
      <c r="A91" s="169" t="e">
        <f>#REF!</f>
        <v>#REF!</v>
      </c>
      <c r="B91" s="167">
        <v>91</v>
      </c>
      <c r="C91" s="459" t="s">
        <v>680</v>
      </c>
    </row>
    <row r="92" spans="1:3">
      <c r="A92" s="169" t="e">
        <f>#REF!</f>
        <v>#REF!</v>
      </c>
      <c r="B92" s="167">
        <v>92</v>
      </c>
      <c r="C92" s="459" t="s">
        <v>681</v>
      </c>
    </row>
    <row r="93" spans="1:3">
      <c r="A93" s="169" t="e">
        <f>#REF!</f>
        <v>#REF!</v>
      </c>
      <c r="B93" s="167">
        <v>93</v>
      </c>
      <c r="C93" s="459" t="s">
        <v>682</v>
      </c>
    </row>
    <row r="94" spans="1:3">
      <c r="A94" s="169" t="e">
        <f>#REF!</f>
        <v>#REF!</v>
      </c>
      <c r="B94" s="167">
        <v>94</v>
      </c>
      <c r="C94" s="459" t="s">
        <v>683</v>
      </c>
    </row>
    <row r="95" spans="1:3">
      <c r="A95" s="169" t="e">
        <f>#REF!</f>
        <v>#REF!</v>
      </c>
      <c r="B95" s="167">
        <v>95</v>
      </c>
      <c r="C95" s="459" t="s">
        <v>684</v>
      </c>
    </row>
    <row r="96" spans="1:3">
      <c r="A96" s="169" t="e">
        <f>#REF!</f>
        <v>#REF!</v>
      </c>
      <c r="B96" s="167">
        <v>96</v>
      </c>
      <c r="C96" s="459" t="s">
        <v>685</v>
      </c>
    </row>
    <row r="97" spans="1:3">
      <c r="A97" s="169" t="e">
        <f>#REF!</f>
        <v>#REF!</v>
      </c>
      <c r="B97" s="167">
        <v>97</v>
      </c>
      <c r="C97" s="459" t="s">
        <v>686</v>
      </c>
    </row>
    <row r="98" spans="1:3">
      <c r="A98" s="169" t="e">
        <f>#REF!</f>
        <v>#REF!</v>
      </c>
      <c r="B98" s="167">
        <v>98</v>
      </c>
      <c r="C98" s="459" t="s">
        <v>687</v>
      </c>
    </row>
    <row r="99" spans="1:3">
      <c r="A99" s="169" t="e">
        <f>#REF!</f>
        <v>#REF!</v>
      </c>
      <c r="B99" s="167">
        <v>99</v>
      </c>
      <c r="C99" s="459" t="s">
        <v>690</v>
      </c>
    </row>
    <row r="100" spans="1:3">
      <c r="A100" s="169" t="e">
        <f>#REF!</f>
        <v>#REF!</v>
      </c>
      <c r="B100" s="167">
        <v>100</v>
      </c>
      <c r="C100" s="459" t="s">
        <v>691</v>
      </c>
    </row>
    <row r="101" spans="1:3">
      <c r="A101" s="169" t="e">
        <f>#REF!</f>
        <v>#REF!</v>
      </c>
      <c r="B101" s="167">
        <v>101</v>
      </c>
      <c r="C101" s="459" t="s">
        <v>692</v>
      </c>
    </row>
    <row r="102" spans="1:3">
      <c r="A102" s="169" t="e">
        <f>#REF!</f>
        <v>#REF!</v>
      </c>
      <c r="B102" s="167">
        <v>102</v>
      </c>
      <c r="C102" s="459" t="s">
        <v>693</v>
      </c>
    </row>
    <row r="103" spans="1:3">
      <c r="A103" s="169" t="e">
        <f>#REF!</f>
        <v>#REF!</v>
      </c>
      <c r="B103" s="167">
        <v>103</v>
      </c>
      <c r="C103" s="459" t="s">
        <v>694</v>
      </c>
    </row>
    <row r="104" spans="1:3">
      <c r="A104" s="169" t="e">
        <f>#REF!</f>
        <v>#REF!</v>
      </c>
      <c r="B104" s="167">
        <v>104</v>
      </c>
      <c r="C104" s="459" t="s">
        <v>695</v>
      </c>
    </row>
    <row r="105" spans="1:3">
      <c r="A105" s="169" t="e">
        <f>#REF!</f>
        <v>#REF!</v>
      </c>
      <c r="B105" s="167">
        <v>105</v>
      </c>
      <c r="C105" s="459" t="s">
        <v>696</v>
      </c>
    </row>
    <row r="106" spans="1:3">
      <c r="A106" s="169" t="e">
        <f>#REF!</f>
        <v>#REF!</v>
      </c>
      <c r="B106" s="167">
        <v>106</v>
      </c>
      <c r="C106" s="459" t="s">
        <v>697</v>
      </c>
    </row>
    <row r="107" spans="1:3">
      <c r="A107" s="168" t="e">
        <f>#REF!</f>
        <v>#REF!</v>
      </c>
      <c r="B107" s="167">
        <v>107</v>
      </c>
      <c r="C107" s="459" t="s">
        <v>698</v>
      </c>
    </row>
    <row r="108" spans="1:3">
      <c r="A108" s="168" t="e">
        <f>Einheiten</f>
        <v>#REF!</v>
      </c>
      <c r="B108" s="167">
        <v>108</v>
      </c>
      <c r="C108" s="459" t="s">
        <v>1547</v>
      </c>
    </row>
    <row r="109" spans="1:3">
      <c r="A109" s="168" t="e">
        <f>_qh1/3.6</f>
        <v>#REF!</v>
      </c>
      <c r="B109" s="167">
        <v>109</v>
      </c>
      <c r="C109" s="459" t="s">
        <v>1548</v>
      </c>
    </row>
    <row r="110" spans="1:3">
      <c r="A110" s="168" t="e">
        <f>_qh2/3.6</f>
        <v>#REF!</v>
      </c>
      <c r="B110" s="167">
        <v>110</v>
      </c>
      <c r="C110" s="459" t="s">
        <v>1549</v>
      </c>
    </row>
    <row r="111" spans="1:3">
      <c r="A111" s="168" t="e">
        <f>_qh3/3.6</f>
        <v>#REF!</v>
      </c>
      <c r="B111" s="167">
        <v>111</v>
      </c>
      <c r="C111" s="459" t="s">
        <v>1550</v>
      </c>
    </row>
    <row r="112" spans="1:3">
      <c r="A112" s="168" t="e">
        <f>_qh4/3.6</f>
        <v>#REF!</v>
      </c>
      <c r="B112" s="167">
        <v>112</v>
      </c>
      <c r="C112" s="459" t="s">
        <v>1551</v>
      </c>
    </row>
    <row r="113" spans="1:7">
      <c r="A113" s="168" t="e">
        <f>_qhs1/3.6</f>
        <v>#REF!</v>
      </c>
      <c r="B113" s="167">
        <v>113</v>
      </c>
      <c r="C113" s="459" t="s">
        <v>1531</v>
      </c>
    </row>
    <row r="114" spans="1:7">
      <c r="A114" s="168" t="e">
        <f>_qhs2/3.6</f>
        <v>#REF!</v>
      </c>
      <c r="B114" s="167">
        <v>114</v>
      </c>
      <c r="C114" s="459" t="s">
        <v>1532</v>
      </c>
    </row>
    <row r="115" spans="1:7">
      <c r="A115" s="168" t="e">
        <f>_qhs3/3.6</f>
        <v>#REF!</v>
      </c>
      <c r="B115" s="167">
        <v>115</v>
      </c>
      <c r="C115" s="459" t="s">
        <v>1533</v>
      </c>
    </row>
    <row r="116" spans="1:7">
      <c r="A116" s="168" t="e">
        <f>_qhs4/3.6</f>
        <v>#REF!</v>
      </c>
      <c r="B116" s="167">
        <v>116</v>
      </c>
      <c r="C116" s="459" t="s">
        <v>1534</v>
      </c>
    </row>
    <row r="117" spans="1:7">
      <c r="A117" s="168" t="e">
        <f>AEBF1</f>
        <v>#REF!</v>
      </c>
      <c r="B117" s="167">
        <v>117</v>
      </c>
      <c r="C117" s="459" t="s">
        <v>1527</v>
      </c>
    </row>
    <row r="118" spans="1:7">
      <c r="A118" s="168" t="e">
        <f>AEBF2</f>
        <v>#REF!</v>
      </c>
      <c r="B118" s="167">
        <v>118</v>
      </c>
      <c r="C118" s="459" t="s">
        <v>1528</v>
      </c>
    </row>
    <row r="119" spans="1:7">
      <c r="A119" s="168" t="e">
        <f>AEBF3</f>
        <v>#REF!</v>
      </c>
      <c r="B119" s="167">
        <v>119</v>
      </c>
      <c r="C119" s="459" t="s">
        <v>1529</v>
      </c>
    </row>
    <row r="120" spans="1:7">
      <c r="A120" s="168" t="e">
        <f>AEBF4</f>
        <v>#REF!</v>
      </c>
      <c r="B120" s="167">
        <v>120</v>
      </c>
      <c r="C120" s="459" t="s">
        <v>1530</v>
      </c>
    </row>
    <row r="121" spans="1:7">
      <c r="A121" s="168" t="e">
        <f>_Vth1</f>
        <v>#REF!</v>
      </c>
      <c r="B121" s="167">
        <v>121</v>
      </c>
      <c r="C121" s="459" t="s">
        <v>1552</v>
      </c>
    </row>
    <row r="122" spans="1:7">
      <c r="A122" s="168" t="e">
        <f>_Vth2</f>
        <v>#REF!</v>
      </c>
      <c r="B122" s="167">
        <v>122</v>
      </c>
      <c r="C122" s="459" t="s">
        <v>1555</v>
      </c>
    </row>
    <row r="123" spans="1:7">
      <c r="A123" s="168" t="e">
        <f>_Vth3</f>
        <v>#REF!</v>
      </c>
      <c r="B123" s="167">
        <v>123</v>
      </c>
      <c r="C123" s="459" t="s">
        <v>1554</v>
      </c>
    </row>
    <row r="124" spans="1:7">
      <c r="A124" s="170" t="e">
        <f>_Vth4</f>
        <v>#REF!</v>
      </c>
      <c r="B124" s="463">
        <v>124</v>
      </c>
      <c r="C124" s="460" t="s">
        <v>1553</v>
      </c>
      <c r="D124" s="171"/>
      <c r="E124" s="171"/>
      <c r="F124" s="171"/>
      <c r="G124" s="171"/>
    </row>
    <row r="125" spans="1:7">
      <c r="A125" s="168" t="e">
        <f>#REF!</f>
        <v>#REF!</v>
      </c>
      <c r="B125" s="167">
        <v>125</v>
      </c>
      <c r="C125" s="159" t="s">
        <v>699</v>
      </c>
    </row>
    <row r="126" spans="1:7">
      <c r="A126" s="168" t="e">
        <f>INDEX(#REF!,#REF!,1)</f>
        <v>#REF!</v>
      </c>
      <c r="B126" s="167">
        <v>126</v>
      </c>
      <c r="C126" s="159" t="s">
        <v>2266</v>
      </c>
    </row>
    <row r="127" spans="1:7">
      <c r="A127" s="168" t="e">
        <f>#REF!</f>
        <v>#REF!</v>
      </c>
      <c r="B127" s="167">
        <v>127</v>
      </c>
      <c r="C127" s="159" t="s">
        <v>700</v>
      </c>
    </row>
    <row r="128" spans="1:7">
      <c r="A128" s="168" t="e">
        <f>INDEX(#REF!,#REF!,1)</f>
        <v>#REF!</v>
      </c>
      <c r="B128" s="167">
        <v>128</v>
      </c>
      <c r="C128" s="159" t="s">
        <v>2269</v>
      </c>
    </row>
    <row r="129" spans="1:3">
      <c r="A129" s="168" t="e">
        <f>#REF!</f>
        <v>#REF!</v>
      </c>
      <c r="B129" s="167">
        <v>129</v>
      </c>
      <c r="C129" s="159" t="s">
        <v>701</v>
      </c>
    </row>
    <row r="130" spans="1:3">
      <c r="A130" s="168" t="e">
        <f>INDEX(#REF!,#REF!,1)</f>
        <v>#REF!</v>
      </c>
      <c r="B130" s="167">
        <v>130</v>
      </c>
      <c r="C130" s="159" t="s">
        <v>2268</v>
      </c>
    </row>
    <row r="131" spans="1:3">
      <c r="A131" s="168" t="e">
        <f>#REF!</f>
        <v>#REF!</v>
      </c>
      <c r="B131" s="167">
        <v>131</v>
      </c>
      <c r="C131" s="159" t="s">
        <v>702</v>
      </c>
    </row>
    <row r="132" spans="1:3">
      <c r="A132" s="168" t="e">
        <f>INDEX(#REF!,#REF!,1)</f>
        <v>#REF!</v>
      </c>
      <c r="B132" s="167">
        <v>132</v>
      </c>
      <c r="C132" s="159" t="s">
        <v>2267</v>
      </c>
    </row>
    <row r="133" spans="1:3">
      <c r="A133" s="172" t="e">
        <f>#REF!</f>
        <v>#REF!</v>
      </c>
      <c r="B133" s="167">
        <v>133</v>
      </c>
      <c r="C133" s="159" t="s">
        <v>703</v>
      </c>
    </row>
    <row r="134" spans="1:3">
      <c r="A134" s="172" t="e">
        <f>#REF!</f>
        <v>#REF!</v>
      </c>
      <c r="B134" s="167">
        <v>134</v>
      </c>
      <c r="C134" s="159" t="s">
        <v>704</v>
      </c>
    </row>
    <row r="135" spans="1:3">
      <c r="A135" s="172" t="e">
        <f>#REF!</f>
        <v>#REF!</v>
      </c>
      <c r="B135" s="167">
        <v>135</v>
      </c>
      <c r="C135" s="159" t="s">
        <v>705</v>
      </c>
    </row>
    <row r="136" spans="1:3">
      <c r="A136" s="172" t="e">
        <f>#REF!</f>
        <v>#REF!</v>
      </c>
      <c r="B136" s="167">
        <v>136</v>
      </c>
      <c r="C136" s="159" t="s">
        <v>706</v>
      </c>
    </row>
    <row r="137" spans="1:3">
      <c r="A137" s="168" t="e">
        <f>#REF!</f>
        <v>#REF!</v>
      </c>
      <c r="B137" s="167">
        <v>137</v>
      </c>
      <c r="C137" s="159" t="s">
        <v>707</v>
      </c>
    </row>
    <row r="138" spans="1:3">
      <c r="A138" s="168" t="e">
        <f>#REF!</f>
        <v>#REF!</v>
      </c>
      <c r="B138" s="167">
        <v>138</v>
      </c>
      <c r="C138" s="159" t="s">
        <v>708</v>
      </c>
    </row>
    <row r="139" spans="1:3">
      <c r="A139" s="168" t="e">
        <f>#REF!</f>
        <v>#REF!</v>
      </c>
      <c r="B139" s="167">
        <v>139</v>
      </c>
      <c r="C139" s="159" t="s">
        <v>709</v>
      </c>
    </row>
    <row r="140" spans="1:3">
      <c r="A140" s="168" t="e">
        <f>#REF!</f>
        <v>#REF!</v>
      </c>
      <c r="B140" s="167">
        <v>140</v>
      </c>
      <c r="C140" s="159" t="s">
        <v>710</v>
      </c>
    </row>
    <row r="141" spans="1:3">
      <c r="A141" s="168" t="e">
        <f>#REF!</f>
        <v>#REF!</v>
      </c>
      <c r="B141" s="167">
        <v>141</v>
      </c>
      <c r="C141" s="159" t="s">
        <v>711</v>
      </c>
    </row>
    <row r="142" spans="1:3">
      <c r="A142" s="168" t="e">
        <f>#REF!</f>
        <v>#REF!</v>
      </c>
      <c r="B142" s="167">
        <v>142</v>
      </c>
      <c r="C142" s="159" t="s">
        <v>712</v>
      </c>
    </row>
    <row r="143" spans="1:3">
      <c r="A143" s="168" t="e">
        <f>#REF!</f>
        <v>#REF!</v>
      </c>
      <c r="B143" s="167">
        <v>143</v>
      </c>
      <c r="C143" s="159" t="s">
        <v>713</v>
      </c>
    </row>
    <row r="144" spans="1:3">
      <c r="A144" s="168" t="e">
        <f>#REF!</f>
        <v>#REF!</v>
      </c>
      <c r="B144" s="167">
        <v>144</v>
      </c>
      <c r="C144" s="159" t="s">
        <v>714</v>
      </c>
    </row>
    <row r="145" spans="1:3">
      <c r="A145" s="168" t="e">
        <f>#REF!</f>
        <v>#REF!</v>
      </c>
      <c r="B145" s="167">
        <v>145</v>
      </c>
      <c r="C145" s="159" t="s">
        <v>715</v>
      </c>
    </row>
    <row r="146" spans="1:3">
      <c r="A146" s="168" t="e">
        <f>#REF!</f>
        <v>#REF!</v>
      </c>
      <c r="B146" s="167">
        <v>146</v>
      </c>
      <c r="C146" s="159" t="s">
        <v>716</v>
      </c>
    </row>
    <row r="147" spans="1:3">
      <c r="A147" s="168" t="e">
        <f>#REF!</f>
        <v>#REF!</v>
      </c>
      <c r="B147" s="167">
        <v>147</v>
      </c>
      <c r="C147" s="159" t="s">
        <v>717</v>
      </c>
    </row>
    <row r="148" spans="1:3">
      <c r="A148" s="168" t="e">
        <f>#REF!</f>
        <v>#REF!</v>
      </c>
      <c r="B148" s="167">
        <v>148</v>
      </c>
      <c r="C148" s="159" t="s">
        <v>718</v>
      </c>
    </row>
    <row r="149" spans="1:3">
      <c r="A149" s="168" t="e">
        <f>#REF!</f>
        <v>#REF!</v>
      </c>
      <c r="B149" s="167">
        <v>149</v>
      </c>
      <c r="C149" s="159" t="s">
        <v>719</v>
      </c>
    </row>
    <row r="150" spans="1:3">
      <c r="A150" s="168" t="e">
        <f>#REF!</f>
        <v>#REF!</v>
      </c>
      <c r="B150" s="167">
        <v>150</v>
      </c>
      <c r="C150" s="159" t="s">
        <v>720</v>
      </c>
    </row>
    <row r="151" spans="1:3">
      <c r="A151" s="168" t="e">
        <f>#REF!</f>
        <v>#REF!</v>
      </c>
      <c r="B151" s="167">
        <v>151</v>
      </c>
      <c r="C151" s="159" t="s">
        <v>721</v>
      </c>
    </row>
    <row r="152" spans="1:3">
      <c r="A152" s="168" t="e">
        <f>#REF!</f>
        <v>#REF!</v>
      </c>
      <c r="B152" s="167">
        <v>152</v>
      </c>
      <c r="C152" s="159" t="s">
        <v>722</v>
      </c>
    </row>
    <row r="153" spans="1:3">
      <c r="A153" s="168" t="e">
        <f>#REF!</f>
        <v>#REF!</v>
      </c>
      <c r="B153" s="167">
        <v>153</v>
      </c>
      <c r="C153" s="159" t="s">
        <v>1556</v>
      </c>
    </row>
    <row r="154" spans="1:3">
      <c r="A154" s="168" t="e">
        <f>#REF!</f>
        <v>#REF!</v>
      </c>
      <c r="B154" s="167">
        <v>154</v>
      </c>
      <c r="C154" s="159" t="s">
        <v>726</v>
      </c>
    </row>
    <row r="155" spans="1:3">
      <c r="A155" s="168" t="e">
        <f>#REF!</f>
        <v>#REF!</v>
      </c>
      <c r="B155" s="167">
        <v>155</v>
      </c>
      <c r="C155" s="159" t="s">
        <v>727</v>
      </c>
    </row>
    <row r="156" spans="1:3">
      <c r="A156" s="168" t="e">
        <f>StrombedarfE</f>
        <v>#REF!</v>
      </c>
      <c r="B156" s="167">
        <v>156</v>
      </c>
      <c r="C156" s="159" t="s">
        <v>728</v>
      </c>
    </row>
    <row r="157" spans="1:3">
      <c r="A157" s="168" t="e">
        <f>EndenergieE</f>
        <v>#REF!</v>
      </c>
      <c r="B157" s="167">
        <v>157</v>
      </c>
      <c r="C157" s="159" t="s">
        <v>729</v>
      </c>
    </row>
    <row r="158" spans="1:3">
      <c r="A158" s="168" t="e">
        <f>#REF!</f>
        <v>#REF!</v>
      </c>
      <c r="B158" s="167">
        <v>158</v>
      </c>
      <c r="C158" s="159" t="s">
        <v>730</v>
      </c>
    </row>
    <row r="159" spans="1:3">
      <c r="A159" s="168" t="e">
        <f>#REF!</f>
        <v>#REF!</v>
      </c>
      <c r="B159" s="167">
        <v>159</v>
      </c>
      <c r="C159" s="159" t="s">
        <v>731</v>
      </c>
    </row>
    <row r="160" spans="1:3">
      <c r="A160" s="168" t="e">
        <f>#REF!</f>
        <v>#REF!</v>
      </c>
      <c r="B160" s="167">
        <v>160</v>
      </c>
      <c r="C160" s="159" t="s">
        <v>732</v>
      </c>
    </row>
    <row r="161" spans="1:7">
      <c r="A161" s="168" t="e">
        <f>#REF!</f>
        <v>#REF!</v>
      </c>
      <c r="B161" s="167">
        <v>161</v>
      </c>
      <c r="C161" s="159" t="s">
        <v>733</v>
      </c>
    </row>
    <row r="162" spans="1:7">
      <c r="A162" s="168" t="e">
        <f>#REF!</f>
        <v>#REF!</v>
      </c>
      <c r="B162" s="167">
        <v>162</v>
      </c>
      <c r="C162" s="159" t="s">
        <v>734</v>
      </c>
    </row>
    <row r="163" spans="1:7">
      <c r="A163" s="170" t="e">
        <f>#REF!</f>
        <v>#REF!</v>
      </c>
      <c r="B163" s="463">
        <v>163</v>
      </c>
      <c r="C163" s="461" t="s">
        <v>735</v>
      </c>
      <c r="D163" s="171"/>
      <c r="E163" s="171"/>
      <c r="F163" s="171"/>
      <c r="G163" s="171"/>
    </row>
    <row r="164" spans="1:7">
      <c r="A164" s="168" t="e">
        <f>WirkungsgradA</f>
        <v>#REF!</v>
      </c>
      <c r="B164" s="167">
        <v>164</v>
      </c>
      <c r="C164" s="159" t="s">
        <v>736</v>
      </c>
    </row>
    <row r="165" spans="1:7">
      <c r="A165" s="168" t="e">
        <f>WirkungsgradB</f>
        <v>#REF!</v>
      </c>
      <c r="B165" s="167">
        <v>165</v>
      </c>
      <c r="C165" s="159" t="s">
        <v>737</v>
      </c>
    </row>
    <row r="166" spans="1:7">
      <c r="A166" s="168" t="e">
        <f>WirkungsgradC</f>
        <v>#REF!</v>
      </c>
      <c r="B166" s="167">
        <v>166</v>
      </c>
      <c r="C166" s="159" t="s">
        <v>738</v>
      </c>
    </row>
    <row r="167" spans="1:7">
      <c r="A167" s="168" t="e">
        <f>WirkungsgradD</f>
        <v>#REF!</v>
      </c>
      <c r="B167" s="167">
        <v>167</v>
      </c>
      <c r="C167" s="159" t="s">
        <v>739</v>
      </c>
    </row>
    <row r="168" spans="1:7">
      <c r="A168" s="168" t="e">
        <f>#REF!</f>
        <v>#REF!</v>
      </c>
      <c r="B168" s="167">
        <v>168</v>
      </c>
      <c r="C168" s="159" t="s">
        <v>765</v>
      </c>
    </row>
    <row r="169" spans="1:7">
      <c r="A169" s="168" t="e">
        <f>#REF!</f>
        <v>#REF!</v>
      </c>
      <c r="B169" s="167">
        <v>169</v>
      </c>
      <c r="C169" s="159" t="s">
        <v>766</v>
      </c>
    </row>
    <row r="170" spans="1:7">
      <c r="A170" s="168" t="e">
        <f>#REF!</f>
        <v>#REF!</v>
      </c>
      <c r="B170" s="167">
        <v>170</v>
      </c>
      <c r="C170" s="159" t="s">
        <v>768</v>
      </c>
    </row>
    <row r="171" spans="1:7">
      <c r="A171" s="168" t="e">
        <f>#REF!</f>
        <v>#REF!</v>
      </c>
      <c r="B171" s="167">
        <v>171</v>
      </c>
      <c r="C171" s="159" t="s">
        <v>767</v>
      </c>
    </row>
    <row r="172" spans="1:7">
      <c r="A172" s="168" t="e">
        <f>#REF!</f>
        <v>#REF!</v>
      </c>
      <c r="B172" s="167">
        <v>172</v>
      </c>
      <c r="C172" s="159" t="s">
        <v>769</v>
      </c>
    </row>
    <row r="173" spans="1:7">
      <c r="A173" s="168" t="e">
        <f>#REF!</f>
        <v>#REF!</v>
      </c>
      <c r="B173" s="167">
        <v>173</v>
      </c>
      <c r="C173" s="159" t="s">
        <v>770</v>
      </c>
    </row>
    <row r="174" spans="1:7">
      <c r="A174" s="168" t="e">
        <f>#REF!</f>
        <v>#REF!</v>
      </c>
      <c r="B174" s="167">
        <v>174</v>
      </c>
      <c r="C174" s="159" t="s">
        <v>772</v>
      </c>
    </row>
    <row r="175" spans="1:7">
      <c r="A175" s="168" t="e">
        <f>#REF!</f>
        <v>#REF!</v>
      </c>
      <c r="B175" s="167">
        <v>175</v>
      </c>
      <c r="C175" s="159" t="s">
        <v>773</v>
      </c>
    </row>
    <row r="176" spans="1:7">
      <c r="A176" s="168" t="e">
        <f>#REF!</f>
        <v>#REF!</v>
      </c>
      <c r="B176" s="167">
        <v>176</v>
      </c>
      <c r="C176" s="159" t="s">
        <v>771</v>
      </c>
    </row>
    <row r="177" spans="1:3">
      <c r="A177" s="168" t="e">
        <f>#REF!</f>
        <v>#REF!</v>
      </c>
      <c r="B177" s="167">
        <v>177</v>
      </c>
      <c r="C177" s="159" t="s">
        <v>774</v>
      </c>
    </row>
    <row r="178" spans="1:3">
      <c r="A178" s="168" t="e">
        <f>DeckungsgradHeizung</f>
        <v>#REF!</v>
      </c>
      <c r="B178" s="167">
        <v>178</v>
      </c>
      <c r="C178" s="159" t="s">
        <v>740</v>
      </c>
    </row>
    <row r="179" spans="1:3">
      <c r="A179" s="168" t="e">
        <f>DeckungsgradWW</f>
        <v>#REF!</v>
      </c>
      <c r="B179" s="167">
        <v>179</v>
      </c>
      <c r="C179" s="159" t="s">
        <v>741</v>
      </c>
    </row>
    <row r="180" spans="1:3">
      <c r="A180" s="168" t="e">
        <f>#REF!</f>
        <v>#REF!</v>
      </c>
      <c r="B180" s="167">
        <v>180</v>
      </c>
      <c r="C180" s="159" t="s">
        <v>775</v>
      </c>
    </row>
    <row r="181" spans="1:3">
      <c r="A181" s="168" t="e">
        <f>#REF!</f>
        <v>#REF!</v>
      </c>
      <c r="B181" s="167">
        <v>181</v>
      </c>
      <c r="C181" s="159" t="s">
        <v>776</v>
      </c>
    </row>
    <row r="182" spans="1:3">
      <c r="A182" s="168" t="e">
        <f>#REF!</f>
        <v>#REF!</v>
      </c>
      <c r="B182" s="167">
        <v>182</v>
      </c>
      <c r="C182" s="159" t="s">
        <v>777</v>
      </c>
    </row>
    <row r="183" spans="1:3">
      <c r="A183" s="168" t="e">
        <f>#REF!</f>
        <v>#REF!</v>
      </c>
      <c r="B183" s="167">
        <v>183</v>
      </c>
      <c r="C183" s="159" t="s">
        <v>778</v>
      </c>
    </row>
    <row r="184" spans="1:3">
      <c r="A184" s="168" t="e">
        <f>#REF!</f>
        <v>#REF!</v>
      </c>
      <c r="B184" s="167">
        <v>184</v>
      </c>
      <c r="C184" s="459" t="s">
        <v>742</v>
      </c>
    </row>
    <row r="185" spans="1:3">
      <c r="A185" s="168" t="e">
        <f>#REF!</f>
        <v>#REF!</v>
      </c>
      <c r="B185" s="167">
        <v>185</v>
      </c>
      <c r="C185" s="459" t="s">
        <v>743</v>
      </c>
    </row>
    <row r="186" spans="1:3">
      <c r="A186" s="168" t="e">
        <f>#REF!</f>
        <v>#REF!</v>
      </c>
      <c r="B186" s="167">
        <v>186</v>
      </c>
      <c r="C186" s="459" t="s">
        <v>744</v>
      </c>
    </row>
    <row r="187" spans="1:3">
      <c r="A187" s="168" t="e">
        <f>#REF!</f>
        <v>#REF!</v>
      </c>
      <c r="B187" s="167">
        <v>187</v>
      </c>
      <c r="C187" s="459" t="s">
        <v>745</v>
      </c>
    </row>
    <row r="188" spans="1:3">
      <c r="A188" s="168" t="e">
        <f>#REF!</f>
        <v>#REF!</v>
      </c>
      <c r="B188" s="167">
        <v>188</v>
      </c>
      <c r="C188" s="459" t="s">
        <v>746</v>
      </c>
    </row>
    <row r="189" spans="1:3">
      <c r="A189" s="168" t="e">
        <f>_qw1</f>
        <v>#REF!</v>
      </c>
      <c r="B189" s="167">
        <v>189</v>
      </c>
      <c r="C189" s="459" t="s">
        <v>747</v>
      </c>
    </row>
    <row r="190" spans="1:3">
      <c r="A190" s="168" t="e">
        <f>_qw2</f>
        <v>#REF!</v>
      </c>
      <c r="B190" s="167">
        <v>190</v>
      </c>
      <c r="C190" s="459" t="s">
        <v>748</v>
      </c>
    </row>
    <row r="191" spans="1:3">
      <c r="A191" s="168" t="e">
        <f>_qw3</f>
        <v>#REF!</v>
      </c>
      <c r="B191" s="167">
        <v>191</v>
      </c>
      <c r="C191" s="459" t="s">
        <v>749</v>
      </c>
    </row>
    <row r="192" spans="1:3">
      <c r="A192" s="168" t="e">
        <f>_qw4</f>
        <v>#REF!</v>
      </c>
      <c r="B192" s="167">
        <v>192</v>
      </c>
      <c r="C192" s="459" t="s">
        <v>750</v>
      </c>
    </row>
    <row r="193" spans="1:3">
      <c r="A193" s="168" t="e">
        <f>qw</f>
        <v>#REF!</v>
      </c>
      <c r="B193" s="167">
        <v>193</v>
      </c>
      <c r="C193" s="459" t="s">
        <v>751</v>
      </c>
    </row>
    <row r="194" spans="1:3">
      <c r="A194" s="173" t="e">
        <f>#REF!</f>
        <v>#REF!</v>
      </c>
      <c r="B194" s="167">
        <v>194</v>
      </c>
      <c r="C194" s="459" t="s">
        <v>752</v>
      </c>
    </row>
    <row r="195" spans="1:3">
      <c r="A195" s="173" t="e">
        <f>#REF!</f>
        <v>#REF!</v>
      </c>
      <c r="B195" s="167">
        <v>195</v>
      </c>
      <c r="C195" s="459" t="s">
        <v>753</v>
      </c>
    </row>
    <row r="196" spans="1:3">
      <c r="A196" s="173" t="e">
        <f>#REF!</f>
        <v>#REF!</v>
      </c>
      <c r="B196" s="167">
        <v>196</v>
      </c>
      <c r="C196" s="459" t="s">
        <v>754</v>
      </c>
    </row>
    <row r="197" spans="1:3">
      <c r="A197" s="173" t="e">
        <f>#REF!</f>
        <v>#REF!</v>
      </c>
      <c r="B197" s="167">
        <v>197</v>
      </c>
      <c r="C197" s="459" t="s">
        <v>755</v>
      </c>
    </row>
    <row r="198" spans="1:3">
      <c r="A198" s="173" t="e">
        <f>#REF!</f>
        <v>#REF!</v>
      </c>
      <c r="B198" s="167">
        <v>198</v>
      </c>
      <c r="C198" s="459" t="s">
        <v>756</v>
      </c>
    </row>
    <row r="199" spans="1:3">
      <c r="A199" s="168" t="e">
        <f>#REF!</f>
        <v>#REF!</v>
      </c>
      <c r="B199" s="167">
        <v>199</v>
      </c>
      <c r="C199" s="459" t="s">
        <v>758</v>
      </c>
    </row>
    <row r="200" spans="1:3">
      <c r="A200" s="168" t="e">
        <f>#REF!</f>
        <v>#REF!</v>
      </c>
      <c r="B200" s="167">
        <v>200</v>
      </c>
      <c r="C200" s="459" t="s">
        <v>759</v>
      </c>
    </row>
    <row r="201" spans="1:3">
      <c r="A201" s="168" t="e">
        <f>#REF!</f>
        <v>#REF!</v>
      </c>
      <c r="B201" s="167">
        <v>201</v>
      </c>
      <c r="C201" s="459" t="s">
        <v>760</v>
      </c>
    </row>
    <row r="202" spans="1:3">
      <c r="A202" s="168" t="e">
        <f>#REF!</f>
        <v>#REF!</v>
      </c>
      <c r="B202" s="167">
        <v>202</v>
      </c>
      <c r="C202" s="459" t="s">
        <v>761</v>
      </c>
    </row>
    <row r="203" spans="1:3">
      <c r="A203" s="168" t="e">
        <f>#REF!</f>
        <v>#REF!</v>
      </c>
      <c r="B203" s="167">
        <v>203</v>
      </c>
      <c r="C203" s="459" t="s">
        <v>762</v>
      </c>
    </row>
    <row r="204" spans="1:3">
      <c r="A204" s="168" t="e">
        <f>#REF!</f>
        <v>#REF!</v>
      </c>
      <c r="B204" s="167">
        <v>204</v>
      </c>
      <c r="C204" s="459" t="s">
        <v>1557</v>
      </c>
    </row>
    <row r="205" spans="1:3">
      <c r="A205" s="168" t="e">
        <f>#REF!</f>
        <v>#REF!</v>
      </c>
      <c r="B205" s="167">
        <v>205</v>
      </c>
      <c r="C205" s="459" t="s">
        <v>1558</v>
      </c>
    </row>
    <row r="206" spans="1:3">
      <c r="A206" s="168" t="e">
        <f>#REF!</f>
        <v>#REF!</v>
      </c>
      <c r="B206" s="167">
        <v>206</v>
      </c>
      <c r="C206" s="459" t="s">
        <v>1559</v>
      </c>
    </row>
    <row r="207" spans="1:3">
      <c r="A207" s="168" t="e">
        <f>#REF!</f>
        <v>#REF!</v>
      </c>
      <c r="B207" s="167">
        <v>207</v>
      </c>
      <c r="C207" s="459" t="s">
        <v>1560</v>
      </c>
    </row>
    <row r="208" spans="1:3">
      <c r="A208" s="168" t="e">
        <f>#REF!</f>
        <v>#REF!</v>
      </c>
      <c r="B208" s="167">
        <v>208</v>
      </c>
      <c r="C208" s="459" t="s">
        <v>763</v>
      </c>
    </row>
    <row r="209" spans="1:8">
      <c r="A209" s="168" t="e">
        <f>#REF!</f>
        <v>#REF!</v>
      </c>
      <c r="B209" s="167">
        <v>209</v>
      </c>
      <c r="C209" s="459" t="s">
        <v>1563</v>
      </c>
    </row>
    <row r="210" spans="1:8">
      <c r="A210" s="168" t="e">
        <f>MINERGIE_Wert</f>
        <v>#REF!</v>
      </c>
      <c r="B210" s="167">
        <v>210</v>
      </c>
      <c r="C210" s="459" t="s">
        <v>1564</v>
      </c>
    </row>
    <row r="211" spans="1:8">
      <c r="A211" s="168" t="e">
        <f>#REF!</f>
        <v>#REF!</v>
      </c>
      <c r="B211" s="167">
        <v>211</v>
      </c>
      <c r="C211" s="459" t="s">
        <v>1561</v>
      </c>
    </row>
    <row r="212" spans="1:8">
      <c r="A212" s="168" t="e">
        <f>IF(A211="",0,IF(A211=0,1,VLOOKUP(A211,enveloppe_életricité!$N$12:$P$14,3,FALSE))-1)</f>
        <v>#REF!</v>
      </c>
      <c r="B212" s="167">
        <v>212</v>
      </c>
      <c r="C212" s="459" t="s">
        <v>1768</v>
      </c>
    </row>
    <row r="213" spans="1:8">
      <c r="A213" s="168" t="e">
        <f>#REF!</f>
        <v>#REF!</v>
      </c>
      <c r="B213" s="167">
        <v>213</v>
      </c>
      <c r="C213" s="459" t="s">
        <v>779</v>
      </c>
    </row>
    <row r="214" spans="1:8">
      <c r="A214" s="168" t="e">
        <f>IF(A213=0,1,VLOOKUP(A213,enveloppe_életricité!$N$12:$P$14,3,FALSE))-1</f>
        <v>#REF!</v>
      </c>
      <c r="B214" s="167">
        <v>214</v>
      </c>
      <c r="C214" s="462" t="s">
        <v>1769</v>
      </c>
      <c r="D214" s="455"/>
      <c r="E214" s="455"/>
      <c r="F214" s="455"/>
      <c r="G214" s="455"/>
    </row>
    <row r="215" spans="1:8">
      <c r="A215" s="168" t="e">
        <f>#REF!</f>
        <v>#REF!</v>
      </c>
      <c r="B215" s="167">
        <v>215</v>
      </c>
      <c r="C215" s="459" t="s">
        <v>1565</v>
      </c>
    </row>
    <row r="216" spans="1:8">
      <c r="A216" s="168" t="e">
        <f>#REF!</f>
        <v>#REF!</v>
      </c>
      <c r="B216" s="167">
        <v>216</v>
      </c>
      <c r="C216" s="459" t="s">
        <v>1566</v>
      </c>
    </row>
    <row r="217" spans="1:8">
      <c r="A217" s="168" t="e">
        <f>#REF!</f>
        <v>#REF!</v>
      </c>
      <c r="B217" s="167">
        <v>217</v>
      </c>
      <c r="C217" s="459" t="s">
        <v>1567</v>
      </c>
    </row>
    <row r="218" spans="1:8">
      <c r="A218" s="168" t="e">
        <f>IF(A217="",0,IF(A217=0,1,VLOOKUP(A217,enveloppe_életricité!$N$12:$P$14,3,FALSE))-1)</f>
        <v>#REF!</v>
      </c>
      <c r="B218" s="167">
        <v>218</v>
      </c>
      <c r="C218" s="459" t="s">
        <v>1770</v>
      </c>
    </row>
    <row r="219" spans="1:8">
      <c r="A219" s="168" t="e">
        <f>#REF!</f>
        <v>#REF!</v>
      </c>
      <c r="B219" s="167">
        <v>219</v>
      </c>
      <c r="C219" s="459" t="s">
        <v>1568</v>
      </c>
    </row>
    <row r="220" spans="1:8">
      <c r="A220" s="168" t="e">
        <f>#REF!</f>
        <v>#REF!</v>
      </c>
      <c r="B220" s="167">
        <v>220</v>
      </c>
      <c r="C220" s="459" t="s">
        <v>1569</v>
      </c>
    </row>
    <row r="221" spans="1:8">
      <c r="A221" s="168" t="e">
        <f>#REF!</f>
        <v>#REF!</v>
      </c>
      <c r="B221" s="167">
        <v>221</v>
      </c>
      <c r="C221" s="459" t="s">
        <v>1570</v>
      </c>
    </row>
    <row r="222" spans="1:8">
      <c r="A222" s="170" t="e">
        <f>#REF!</f>
        <v>#REF!</v>
      </c>
      <c r="B222" s="463">
        <v>222</v>
      </c>
      <c r="C222" s="460" t="s">
        <v>1571</v>
      </c>
      <c r="D222" s="171"/>
      <c r="E222" s="171"/>
      <c r="F222" s="171"/>
      <c r="G222" s="171"/>
      <c r="H222" s="171"/>
    </row>
    <row r="223" spans="1:8">
      <c r="A223" s="168">
        <f>enveloppe_életricité!F26</f>
        <v>0</v>
      </c>
      <c r="B223" s="167">
        <v>223</v>
      </c>
      <c r="C223" s="159" t="s">
        <v>1572</v>
      </c>
    </row>
    <row r="224" spans="1:8">
      <c r="A224" s="168">
        <f>IF(A223=0,1,VLOOKUP(A223,enveloppe_életricité!$N$12:$P$14,3,FALSE))-1</f>
        <v>0</v>
      </c>
      <c r="B224" s="167">
        <v>224</v>
      </c>
      <c r="C224" s="159" t="s">
        <v>1771</v>
      </c>
    </row>
    <row r="225" spans="1:3">
      <c r="A225" s="168" t="e">
        <f>enveloppe_életricité!#REF!</f>
        <v>#REF!</v>
      </c>
      <c r="B225" s="167">
        <v>225</v>
      </c>
      <c r="C225" s="159" t="s">
        <v>1573</v>
      </c>
    </row>
    <row r="226" spans="1:3">
      <c r="A226" s="168" t="e">
        <f>IF(A225=0,1,VLOOKUP(A225,enveloppe_életricité!$N$12:$P$14,3,FALSE))-1</f>
        <v>#REF!</v>
      </c>
      <c r="B226" s="167">
        <v>226</v>
      </c>
      <c r="C226" s="159" t="s">
        <v>1774</v>
      </c>
    </row>
    <row r="227" spans="1:3">
      <c r="A227" s="168" t="e">
        <f>enveloppe_életricité!#REF!</f>
        <v>#REF!</v>
      </c>
      <c r="B227" s="167">
        <v>227</v>
      </c>
      <c r="C227" s="159" t="s">
        <v>1574</v>
      </c>
    </row>
    <row r="228" spans="1:3">
      <c r="A228" s="168" t="e">
        <f>IF(A227=0,1,VLOOKUP(A227,enveloppe_életricité!$N$12:$P$14,3,FALSE))-1</f>
        <v>#REF!</v>
      </c>
      <c r="B228" s="167">
        <v>228</v>
      </c>
      <c r="C228" s="159" t="s">
        <v>1773</v>
      </c>
    </row>
    <row r="229" spans="1:3">
      <c r="A229" s="168" t="e">
        <f>enveloppe_életricité!#REF!</f>
        <v>#REF!</v>
      </c>
      <c r="B229" s="167">
        <v>229</v>
      </c>
      <c r="C229" s="159" t="s">
        <v>1575</v>
      </c>
    </row>
    <row r="230" spans="1:3">
      <c r="A230" s="168" t="e">
        <f>IF(A229=0,1,VLOOKUP(A229,enveloppe_életricité!$N$12:$P$14,3,FALSE))-1</f>
        <v>#REF!</v>
      </c>
      <c r="B230" s="167">
        <v>230</v>
      </c>
      <c r="C230" s="159" t="s">
        <v>1772</v>
      </c>
    </row>
    <row r="231" spans="1:3">
      <c r="A231" s="168">
        <f>enveloppe_életricité!F27</f>
        <v>0</v>
      </c>
      <c r="B231" s="167">
        <v>231</v>
      </c>
      <c r="C231" s="159" t="s">
        <v>1576</v>
      </c>
    </row>
    <row r="232" spans="1:3">
      <c r="A232" s="168">
        <f>IF(A231=0,1,VLOOKUP(A231,enveloppe_életricité!$N$12:$P$14,3,FALSE))-1</f>
        <v>0</v>
      </c>
      <c r="B232" s="167">
        <v>232</v>
      </c>
      <c r="C232" s="159" t="s">
        <v>1775</v>
      </c>
    </row>
    <row r="233" spans="1:3">
      <c r="A233" s="168" t="e">
        <f>enveloppe_életricité!#REF!</f>
        <v>#REF!</v>
      </c>
      <c r="B233" s="167">
        <v>233</v>
      </c>
      <c r="C233" s="159" t="s">
        <v>1579</v>
      </c>
    </row>
    <row r="234" spans="1:3">
      <c r="A234" s="168" t="e">
        <f>IF(A233=0,1,VLOOKUP(A233,enveloppe_életricité!$N$12:$P$14,3,FALSE))-1</f>
        <v>#REF!</v>
      </c>
      <c r="B234" s="167">
        <v>234</v>
      </c>
      <c r="C234" s="159" t="s">
        <v>1776</v>
      </c>
    </row>
    <row r="235" spans="1:3">
      <c r="A235" s="168" t="e">
        <f>enveloppe_életricité!#REF!</f>
        <v>#REF!</v>
      </c>
      <c r="B235" s="167">
        <v>235</v>
      </c>
      <c r="C235" s="159" t="s">
        <v>1578</v>
      </c>
    </row>
    <row r="236" spans="1:3">
      <c r="A236" s="168" t="e">
        <f>IF(A235=0,1,VLOOKUP(A235,enveloppe_életricité!$N$12:$P$14,3,FALSE))-1</f>
        <v>#REF!</v>
      </c>
      <c r="B236" s="167">
        <v>236</v>
      </c>
      <c r="C236" s="159" t="s">
        <v>1777</v>
      </c>
    </row>
    <row r="237" spans="1:3">
      <c r="A237" s="168">
        <f>enveloppe_életricité!I32</f>
        <v>0</v>
      </c>
      <c r="B237" s="167">
        <v>237</v>
      </c>
      <c r="C237" s="159" t="s">
        <v>1577</v>
      </c>
    </row>
    <row r="238" spans="1:3">
      <c r="A238" s="168">
        <f>IF(A237=0,1,VLOOKUP(A237,enveloppe_életricité!$N$12:$P$14,3,FALSE))-1</f>
        <v>0</v>
      </c>
      <c r="B238" s="167">
        <v>238</v>
      </c>
      <c r="C238" s="159" t="s">
        <v>1778</v>
      </c>
    </row>
    <row r="239" spans="1:3">
      <c r="A239" s="168" t="e">
        <f>enveloppe_életricité!#REF!</f>
        <v>#REF!</v>
      </c>
      <c r="B239" s="167">
        <v>239</v>
      </c>
      <c r="C239" s="159" t="s">
        <v>1580</v>
      </c>
    </row>
    <row r="240" spans="1:3">
      <c r="A240" s="168">
        <f>enveloppe_életricité!G32</f>
        <v>0</v>
      </c>
      <c r="B240" s="167">
        <v>240</v>
      </c>
      <c r="C240" s="159" t="s">
        <v>1582</v>
      </c>
    </row>
    <row r="241" spans="1:3">
      <c r="A241" s="168">
        <f>enveloppe_életricité!H32</f>
        <v>0</v>
      </c>
      <c r="B241" s="167">
        <v>241</v>
      </c>
      <c r="C241" s="159" t="s">
        <v>1583</v>
      </c>
    </row>
    <row r="242" spans="1:3">
      <c r="A242" s="168">
        <f>enveloppe_életricité!I32</f>
        <v>0</v>
      </c>
      <c r="B242" s="167">
        <v>242</v>
      </c>
      <c r="C242" s="159" t="s">
        <v>1581</v>
      </c>
    </row>
    <row r="243" spans="1:3">
      <c r="A243" s="168" t="str">
        <f>enveloppe_életricité!F73</f>
        <v>Nein</v>
      </c>
      <c r="B243" s="167">
        <v>243</v>
      </c>
      <c r="C243" s="159" t="s">
        <v>1585</v>
      </c>
    </row>
    <row r="244" spans="1:3">
      <c r="A244" s="168" t="e">
        <f>IF(A243=0,1,VLOOKUP(A243,enveloppe_életricité!$N$12:$P$14,3,FALSE))-1</f>
        <v>#N/A</v>
      </c>
      <c r="B244" s="167">
        <v>244</v>
      </c>
      <c r="C244" s="159" t="s">
        <v>1779</v>
      </c>
    </row>
    <row r="245" spans="1:3">
      <c r="A245" s="168">
        <f>enveloppe_életricité!G73</f>
        <v>0</v>
      </c>
      <c r="B245" s="167">
        <v>245</v>
      </c>
      <c r="C245" s="159" t="s">
        <v>1587</v>
      </c>
    </row>
    <row r="246" spans="1:3">
      <c r="A246" s="168">
        <f>IF(A245=0,1,VLOOKUP(A245,enveloppe_életricité!$N$12:$P$14,3,FALSE))-1</f>
        <v>0</v>
      </c>
      <c r="B246" s="167">
        <v>246</v>
      </c>
      <c r="C246" s="159" t="s">
        <v>1780</v>
      </c>
    </row>
    <row r="247" spans="1:3">
      <c r="A247" s="168">
        <f>enveloppe_életricité!H73</f>
        <v>0</v>
      </c>
      <c r="B247" s="167">
        <v>247</v>
      </c>
      <c r="C247" s="159" t="s">
        <v>1588</v>
      </c>
    </row>
    <row r="248" spans="1:3">
      <c r="A248" s="168">
        <f>IF(A247=0,1,VLOOKUP(A247,enveloppe_életricité!$N$12:$P$14,3,FALSE))-1</f>
        <v>0</v>
      </c>
      <c r="B248" s="167">
        <v>248</v>
      </c>
      <c r="C248" s="159" t="s">
        <v>1781</v>
      </c>
    </row>
    <row r="249" spans="1:3">
      <c r="A249" s="168">
        <f>enveloppe_életricité!I73</f>
        <v>0</v>
      </c>
      <c r="B249" s="167">
        <v>249</v>
      </c>
      <c r="C249" s="159" t="s">
        <v>1586</v>
      </c>
    </row>
    <row r="250" spans="1:3">
      <c r="A250" s="168">
        <f>IF(A249=0,1,VLOOKUP(A249,enveloppe_életricité!$N$12:$P$14,3,FALSE))-1</f>
        <v>0</v>
      </c>
      <c r="B250" s="167">
        <v>250</v>
      </c>
      <c r="C250" s="159" t="s">
        <v>1782</v>
      </c>
    </row>
    <row r="251" spans="1:3">
      <c r="A251" s="168">
        <f>enveloppe_életricité!F74</f>
        <v>0</v>
      </c>
      <c r="B251" s="167">
        <v>251</v>
      </c>
      <c r="C251" s="459" t="s">
        <v>1589</v>
      </c>
    </row>
    <row r="252" spans="1:3">
      <c r="A252" s="168">
        <f>IF(A251=0,1,VLOOKUP(A251,enveloppe_életricité!$N$12:$P$14,3,FALSE))-1</f>
        <v>0</v>
      </c>
      <c r="B252" s="167">
        <v>252</v>
      </c>
      <c r="C252" s="459" t="s">
        <v>1783</v>
      </c>
    </row>
    <row r="253" spans="1:3">
      <c r="A253" s="168">
        <f>enveloppe_életricité!G74</f>
        <v>0</v>
      </c>
      <c r="B253" s="167">
        <v>253</v>
      </c>
      <c r="C253" s="459" t="s">
        <v>1590</v>
      </c>
    </row>
    <row r="254" spans="1:3">
      <c r="A254" s="168">
        <f>IF(A253=0,1,VLOOKUP(A253,enveloppe_életricité!$N$12:$P$14,3,FALSE))-1</f>
        <v>0</v>
      </c>
      <c r="B254" s="167">
        <v>254</v>
      </c>
      <c r="C254" s="459" t="s">
        <v>1784</v>
      </c>
    </row>
    <row r="255" spans="1:3">
      <c r="A255" s="168">
        <f>enveloppe_életricité!H74</f>
        <v>0</v>
      </c>
      <c r="B255" s="167">
        <v>255</v>
      </c>
      <c r="C255" s="459" t="s">
        <v>1591</v>
      </c>
    </row>
    <row r="256" spans="1:3">
      <c r="A256" s="168">
        <f>IF(A255=0,1,VLOOKUP(A255,enveloppe_életricité!$N$12:$P$14,3,FALSE))-1</f>
        <v>0</v>
      </c>
      <c r="B256" s="167">
        <v>256</v>
      </c>
      <c r="C256" s="459" t="s">
        <v>1785</v>
      </c>
    </row>
    <row r="257" spans="1:4">
      <c r="A257" s="168">
        <f>enveloppe_életricité!I74</f>
        <v>0</v>
      </c>
      <c r="B257" s="167">
        <v>257</v>
      </c>
      <c r="C257" s="459" t="s">
        <v>1592</v>
      </c>
    </row>
    <row r="258" spans="1:4">
      <c r="A258" s="168">
        <f>IF(A257=0,1,VLOOKUP(A257,enveloppe_életricité!$N$12:$P$14,3,FALSE))-1</f>
        <v>0</v>
      </c>
      <c r="B258" s="167">
        <v>258</v>
      </c>
      <c r="C258" s="459" t="s">
        <v>1786</v>
      </c>
    </row>
    <row r="259" spans="1:4">
      <c r="A259" s="168">
        <f>enveloppe_életricité!F75</f>
        <v>0</v>
      </c>
      <c r="B259" s="167">
        <v>259</v>
      </c>
      <c r="C259" s="459" t="s">
        <v>1593</v>
      </c>
    </row>
    <row r="260" spans="1:4">
      <c r="A260" s="168">
        <f>IF(A259=0,1,VLOOKUP(A259,enveloppe_életricité!$N$12:$P$14,3,FALSE))-1</f>
        <v>0</v>
      </c>
      <c r="B260" s="167">
        <v>260</v>
      </c>
      <c r="C260" s="459" t="s">
        <v>1787</v>
      </c>
      <c r="D260" s="454"/>
    </row>
    <row r="261" spans="1:4">
      <c r="A261" s="168">
        <f>enveloppe_életricité!G75</f>
        <v>0</v>
      </c>
      <c r="B261" s="167">
        <v>261</v>
      </c>
      <c r="C261" s="459" t="s">
        <v>1594</v>
      </c>
    </row>
    <row r="262" spans="1:4">
      <c r="A262" s="168">
        <f>IF(A261=0,1,VLOOKUP(A261,enveloppe_életricité!$N$12:$P$14,3,FALSE))-1</f>
        <v>0</v>
      </c>
      <c r="B262" s="167">
        <v>262</v>
      </c>
      <c r="C262" s="459" t="s">
        <v>1788</v>
      </c>
    </row>
    <row r="263" spans="1:4">
      <c r="A263" s="168">
        <f>enveloppe_életricité!H75</f>
        <v>0</v>
      </c>
      <c r="B263" s="167">
        <v>263</v>
      </c>
      <c r="C263" s="459" t="s">
        <v>1595</v>
      </c>
    </row>
    <row r="264" spans="1:4">
      <c r="A264" s="168">
        <f>IF(A263=0,1,VLOOKUP(A263,enveloppe_életricité!$N$12:$P$14,3,FALSE))-1</f>
        <v>0</v>
      </c>
      <c r="B264" s="167">
        <v>264</v>
      </c>
      <c r="C264" s="459" t="s">
        <v>1789</v>
      </c>
    </row>
    <row r="265" spans="1:4">
      <c r="A265" s="167">
        <f>enveloppe_életricité!I75</f>
        <v>0</v>
      </c>
      <c r="B265" s="167">
        <v>265</v>
      </c>
      <c r="C265" s="459" t="s">
        <v>1596</v>
      </c>
    </row>
    <row r="266" spans="1:4">
      <c r="A266" s="168">
        <f>IF(A265=0,1,VLOOKUP(A265,enveloppe_életricité!$N$12:$P$14,3,FALSE))-1</f>
        <v>0</v>
      </c>
      <c r="B266" s="167">
        <v>266</v>
      </c>
      <c r="C266" s="459" t="s">
        <v>1790</v>
      </c>
    </row>
    <row r="267" spans="1:4">
      <c r="A267" s="168">
        <f>enveloppe_életricité!F76</f>
        <v>0</v>
      </c>
      <c r="B267" s="167">
        <v>267</v>
      </c>
      <c r="C267" s="459" t="s">
        <v>1597</v>
      </c>
    </row>
    <row r="268" spans="1:4">
      <c r="A268" s="168">
        <f>IF(A267=0,1,VLOOKUP(A267,enveloppe_életricité!$N$12:$P$14,3,FALSE))-1</f>
        <v>0</v>
      </c>
      <c r="B268" s="167">
        <v>268</v>
      </c>
      <c r="C268" s="459" t="s">
        <v>1791</v>
      </c>
    </row>
    <row r="269" spans="1:4">
      <c r="A269" s="168">
        <f>enveloppe_életricité!G76</f>
        <v>0</v>
      </c>
      <c r="B269" s="167">
        <v>269</v>
      </c>
      <c r="C269" s="459" t="s">
        <v>1598</v>
      </c>
    </row>
    <row r="270" spans="1:4">
      <c r="A270" s="168">
        <f>IF(A269=0,1,VLOOKUP(A269,enveloppe_életricité!$N$12:$P$14,3,FALSE))-1</f>
        <v>0</v>
      </c>
      <c r="B270" s="167">
        <v>270</v>
      </c>
      <c r="C270" s="459" t="s">
        <v>1792</v>
      </c>
    </row>
    <row r="271" spans="1:4">
      <c r="A271" s="168">
        <f>enveloppe_életricité!H76</f>
        <v>0</v>
      </c>
      <c r="B271" s="167">
        <v>271</v>
      </c>
      <c r="C271" s="459" t="s">
        <v>1599</v>
      </c>
    </row>
    <row r="272" spans="1:4">
      <c r="A272" s="168">
        <f>IF(A271=0,1,VLOOKUP(A271,enveloppe_életricité!$N$12:$P$14,3,FALSE))-1</f>
        <v>0</v>
      </c>
      <c r="B272" s="167">
        <v>272</v>
      </c>
      <c r="C272" s="459" t="s">
        <v>1793</v>
      </c>
    </row>
    <row r="273" spans="1:4">
      <c r="A273" s="168">
        <f>enveloppe_életricité!I76</f>
        <v>0</v>
      </c>
      <c r="B273" s="167">
        <v>273</v>
      </c>
      <c r="C273" s="459" t="s">
        <v>1600</v>
      </c>
    </row>
    <row r="274" spans="1:4">
      <c r="A274" s="168">
        <f>IF(A273=0,1,VLOOKUP(A273,enveloppe_életricité!$N$12:$P$14,3,FALSE))-1</f>
        <v>0</v>
      </c>
      <c r="B274" s="167">
        <v>274</v>
      </c>
      <c r="C274" s="459" t="s">
        <v>1794</v>
      </c>
    </row>
    <row r="275" spans="1:4">
      <c r="A275" s="168">
        <f>enveloppe_életricité!F77</f>
        <v>0</v>
      </c>
      <c r="B275" s="167">
        <v>275</v>
      </c>
      <c r="C275" s="459" t="s">
        <v>1601</v>
      </c>
      <c r="D275" s="454"/>
    </row>
    <row r="276" spans="1:4">
      <c r="A276" s="168">
        <f>IF(A275=0,1,VLOOKUP(A275,enveloppe_életricité!$N$12:$P$14,3,FALSE))-1</f>
        <v>0</v>
      </c>
      <c r="B276" s="167">
        <v>276</v>
      </c>
      <c r="C276" s="459" t="s">
        <v>1795</v>
      </c>
    </row>
    <row r="277" spans="1:4">
      <c r="A277" s="168">
        <f>enveloppe_életricité!G77</f>
        <v>0</v>
      </c>
      <c r="B277" s="167">
        <v>277</v>
      </c>
      <c r="C277" s="459" t="s">
        <v>1602</v>
      </c>
    </row>
    <row r="278" spans="1:4">
      <c r="A278" s="168">
        <f>IF(A277=0,1,VLOOKUP(A277,enveloppe_életricité!$N$12:$P$14,3,FALSE))-1</f>
        <v>0</v>
      </c>
      <c r="B278" s="167">
        <v>278</v>
      </c>
      <c r="C278" s="459" t="s">
        <v>1796</v>
      </c>
    </row>
    <row r="279" spans="1:4">
      <c r="A279" s="168">
        <f>enveloppe_életricité!H77</f>
        <v>0</v>
      </c>
      <c r="B279" s="167">
        <v>279</v>
      </c>
      <c r="C279" s="459" t="s">
        <v>1603</v>
      </c>
    </row>
    <row r="280" spans="1:4">
      <c r="A280" s="168">
        <f>IF(A279=0,1,VLOOKUP(A279,enveloppe_életricité!$N$12:$P$14,3,FALSE))-1</f>
        <v>0</v>
      </c>
      <c r="B280" s="167">
        <v>280</v>
      </c>
      <c r="C280" s="459" t="s">
        <v>1797</v>
      </c>
    </row>
    <row r="281" spans="1:4">
      <c r="A281" s="167">
        <f>enveloppe_életricité!I77</f>
        <v>0</v>
      </c>
      <c r="B281" s="167">
        <v>281</v>
      </c>
      <c r="C281" s="459" t="s">
        <v>1604</v>
      </c>
    </row>
    <row r="282" spans="1:4">
      <c r="A282" s="168">
        <f>IF(A281=0,1,VLOOKUP(A281,enveloppe_életricité!$N$12:$P$14,3,FALSE))-1</f>
        <v>0</v>
      </c>
      <c r="B282" s="167">
        <v>282</v>
      </c>
      <c r="C282" s="459" t="s">
        <v>1798</v>
      </c>
    </row>
    <row r="283" spans="1:4">
      <c r="A283" s="168">
        <f>enveloppe_életricité!F78</f>
        <v>0</v>
      </c>
      <c r="B283" s="167">
        <v>283</v>
      </c>
      <c r="C283" s="459" t="s">
        <v>1605</v>
      </c>
    </row>
    <row r="284" spans="1:4">
      <c r="A284" s="168">
        <f>IF(A283=0,1,VLOOKUP(A283,enveloppe_életricité!$N$12:$P$14,3,FALSE))-1</f>
        <v>0</v>
      </c>
      <c r="B284" s="167">
        <v>284</v>
      </c>
      <c r="C284" s="459" t="s">
        <v>1799</v>
      </c>
    </row>
    <row r="285" spans="1:4">
      <c r="A285" s="168">
        <f>enveloppe_életricité!G78</f>
        <v>0</v>
      </c>
      <c r="B285" s="167">
        <v>285</v>
      </c>
      <c r="C285" s="459" t="s">
        <v>1606</v>
      </c>
    </row>
    <row r="286" spans="1:4">
      <c r="A286" s="168">
        <f>IF(A285=0,1,VLOOKUP(A285,enveloppe_életricité!$N$12:$P$14,3,FALSE))-1</f>
        <v>0</v>
      </c>
      <c r="B286" s="167">
        <v>286</v>
      </c>
      <c r="C286" s="459" t="s">
        <v>1800</v>
      </c>
    </row>
    <row r="287" spans="1:4">
      <c r="A287" s="168">
        <f>enveloppe_életricité!H78</f>
        <v>0</v>
      </c>
      <c r="B287" s="167">
        <v>287</v>
      </c>
      <c r="C287" s="459" t="s">
        <v>1607</v>
      </c>
    </row>
    <row r="288" spans="1:4">
      <c r="A288" s="168">
        <f>IF(A287=0,1,VLOOKUP(A287,enveloppe_életricité!$N$12:$P$14,3,FALSE))-1</f>
        <v>0</v>
      </c>
      <c r="B288" s="167">
        <v>288</v>
      </c>
      <c r="C288" s="459" t="s">
        <v>1801</v>
      </c>
    </row>
    <row r="289" spans="1:5">
      <c r="A289" s="168">
        <f>enveloppe_életricité!I78</f>
        <v>0</v>
      </c>
      <c r="B289" s="167">
        <v>289</v>
      </c>
      <c r="C289" s="459" t="s">
        <v>1608</v>
      </c>
    </row>
    <row r="290" spans="1:5">
      <c r="A290" s="168">
        <f>IF(A289=0,1,VLOOKUP(A289,enveloppe_életricité!$N$12:$P$14,3,FALSE))-1</f>
        <v>0</v>
      </c>
      <c r="B290" s="167">
        <v>290</v>
      </c>
      <c r="C290" s="459" t="s">
        <v>1802</v>
      </c>
    </row>
    <row r="291" spans="1:5">
      <c r="A291" s="168">
        <f>enveloppe_életricité!F79</f>
        <v>0</v>
      </c>
      <c r="B291" s="167">
        <v>291</v>
      </c>
      <c r="C291" s="459" t="s">
        <v>1609</v>
      </c>
      <c r="D291" s="454"/>
    </row>
    <row r="292" spans="1:5">
      <c r="A292" s="168">
        <f>IF(A291=0,1,VLOOKUP(A291,enveloppe_életricité!$N$12:$P$14,3,FALSE))-1</f>
        <v>0</v>
      </c>
      <c r="B292" s="167">
        <v>292</v>
      </c>
      <c r="C292" s="459" t="s">
        <v>1803</v>
      </c>
      <c r="D292" s="454"/>
      <c r="E292" s="454"/>
    </row>
    <row r="293" spans="1:5">
      <c r="A293" s="168">
        <f>enveloppe_életricité!G79</f>
        <v>0</v>
      </c>
      <c r="B293" s="167">
        <v>293</v>
      </c>
      <c r="C293" s="459" t="s">
        <v>1610</v>
      </c>
    </row>
    <row r="294" spans="1:5">
      <c r="A294" s="168">
        <f>IF(A293=0,1,VLOOKUP(A293,enveloppe_életricité!$N$12:$P$14,3,FALSE))-1</f>
        <v>0</v>
      </c>
      <c r="B294" s="167">
        <v>294</v>
      </c>
      <c r="C294" s="459" t="s">
        <v>1804</v>
      </c>
    </row>
    <row r="295" spans="1:5">
      <c r="A295" s="168">
        <f>enveloppe_életricité!H79</f>
        <v>0</v>
      </c>
      <c r="B295" s="167">
        <v>295</v>
      </c>
      <c r="C295" s="459" t="s">
        <v>1611</v>
      </c>
    </row>
    <row r="296" spans="1:5">
      <c r="A296" s="168">
        <f>IF(A295=0,1,VLOOKUP(A295,enveloppe_életricité!$N$12:$P$14,3,FALSE))-1</f>
        <v>0</v>
      </c>
      <c r="B296" s="167">
        <v>296</v>
      </c>
      <c r="C296" s="459" t="s">
        <v>1805</v>
      </c>
    </row>
    <row r="297" spans="1:5">
      <c r="A297" s="168">
        <f>enveloppe_életricité!I79</f>
        <v>0</v>
      </c>
      <c r="B297" s="167">
        <v>297</v>
      </c>
      <c r="C297" s="459" t="s">
        <v>1612</v>
      </c>
    </row>
    <row r="298" spans="1:5">
      <c r="A298" s="168">
        <f>IF(A297=0,1,VLOOKUP(A297,enveloppe_életricité!$N$12:$P$14,3,FALSE))-1</f>
        <v>0</v>
      </c>
      <c r="B298" s="167">
        <v>298</v>
      </c>
      <c r="C298" s="459" t="s">
        <v>1806</v>
      </c>
    </row>
    <row r="299" spans="1:5">
      <c r="A299" s="168">
        <f>enveloppe_életricité!F80</f>
        <v>0</v>
      </c>
      <c r="B299" s="167">
        <v>299</v>
      </c>
      <c r="C299" s="459" t="s">
        <v>1613</v>
      </c>
      <c r="D299" s="454"/>
    </row>
    <row r="300" spans="1:5">
      <c r="A300" s="168">
        <f>IF(A299=0,1,VLOOKUP(A299,enveloppe_életricité!$N$12:$P$14,3,FALSE))-1</f>
        <v>0</v>
      </c>
      <c r="B300" s="167">
        <v>300</v>
      </c>
      <c r="C300" s="459" t="s">
        <v>1807</v>
      </c>
    </row>
    <row r="301" spans="1:5">
      <c r="A301" s="168">
        <f>enveloppe_életricité!G80</f>
        <v>0</v>
      </c>
      <c r="B301" s="167">
        <v>301</v>
      </c>
      <c r="C301" s="459" t="s">
        <v>1614</v>
      </c>
    </row>
    <row r="302" spans="1:5">
      <c r="A302" s="168">
        <f>IF(A301=0,1,VLOOKUP(A301,enveloppe_életricité!$N$12:$P$14,3,FALSE))-1</f>
        <v>0</v>
      </c>
      <c r="B302" s="167">
        <v>302</v>
      </c>
      <c r="C302" s="459" t="s">
        <v>1808</v>
      </c>
    </row>
    <row r="303" spans="1:5">
      <c r="A303" s="168">
        <f>enveloppe_életricité!H80</f>
        <v>0</v>
      </c>
      <c r="B303" s="167">
        <v>303</v>
      </c>
      <c r="C303" s="459" t="s">
        <v>1615</v>
      </c>
    </row>
    <row r="304" spans="1:5">
      <c r="A304" s="168">
        <f>IF(A303=0,1,VLOOKUP(A303,enveloppe_életricité!$N$12:$P$14,3,FALSE))-1</f>
        <v>0</v>
      </c>
      <c r="B304" s="167">
        <v>304</v>
      </c>
      <c r="C304" s="459" t="s">
        <v>1809</v>
      </c>
    </row>
    <row r="305" spans="1:5">
      <c r="A305" s="168">
        <f>enveloppe_életricité!I80</f>
        <v>0</v>
      </c>
      <c r="B305" s="167">
        <v>305</v>
      </c>
      <c r="C305" s="459" t="s">
        <v>1616</v>
      </c>
    </row>
    <row r="306" spans="1:5">
      <c r="A306" s="168">
        <f>IF(A305=0,1,VLOOKUP(A305,enveloppe_életricité!$N$12:$P$14,3,FALSE))-1</f>
        <v>0</v>
      </c>
      <c r="B306" s="167">
        <v>306</v>
      </c>
      <c r="C306" s="459" t="s">
        <v>1810</v>
      </c>
    </row>
    <row r="307" spans="1:5">
      <c r="A307" s="168">
        <f>enveloppe_életricité!F85</f>
        <v>0</v>
      </c>
      <c r="B307" s="167">
        <v>307</v>
      </c>
      <c r="C307" s="459" t="s">
        <v>1617</v>
      </c>
      <c r="D307" s="454"/>
    </row>
    <row r="308" spans="1:5">
      <c r="A308" s="168">
        <f>IF(A307=0,1,VLOOKUP(A307,enveloppe_életricité!$N$12:$P$14,3,FALSE))-1</f>
        <v>0</v>
      </c>
      <c r="B308" s="167">
        <v>308</v>
      </c>
      <c r="C308" s="459" t="s">
        <v>1811</v>
      </c>
    </row>
    <row r="309" spans="1:5">
      <c r="A309" s="168">
        <f>enveloppe_életricité!G85</f>
        <v>0</v>
      </c>
      <c r="B309" s="167">
        <v>309</v>
      </c>
      <c r="C309" s="459" t="s">
        <v>1618</v>
      </c>
    </row>
    <row r="310" spans="1:5">
      <c r="A310" s="168">
        <f>IF(A309=0,1,VLOOKUP(A309,enveloppe_életricité!$N$12:$P$14,3,FALSE))-1</f>
        <v>0</v>
      </c>
      <c r="B310" s="167">
        <v>310</v>
      </c>
      <c r="C310" s="459" t="s">
        <v>1812</v>
      </c>
    </row>
    <row r="311" spans="1:5">
      <c r="A311" s="168">
        <f>enveloppe_életricité!H85</f>
        <v>0</v>
      </c>
      <c r="B311" s="167">
        <v>311</v>
      </c>
      <c r="C311" s="459" t="s">
        <v>1619</v>
      </c>
    </row>
    <row r="312" spans="1:5">
      <c r="A312" s="168">
        <f>IF(A311=0,1,VLOOKUP(A311,enveloppe_életricité!$N$12:$P$14,3,FALSE))-1</f>
        <v>0</v>
      </c>
      <c r="B312" s="167">
        <v>312</v>
      </c>
      <c r="C312" s="459" t="s">
        <v>1813</v>
      </c>
    </row>
    <row r="313" spans="1:5">
      <c r="A313" s="168">
        <f>enveloppe_életricité!I85</f>
        <v>0</v>
      </c>
      <c r="B313" s="167">
        <v>313</v>
      </c>
      <c r="C313" s="459" t="s">
        <v>1620</v>
      </c>
    </row>
    <row r="314" spans="1:5">
      <c r="A314" s="168">
        <f>IF(A313=0,1,VLOOKUP(A313,enveloppe_életricité!$N$12:$P$14,3,FALSE))-1</f>
        <v>0</v>
      </c>
      <c r="B314" s="167">
        <v>314</v>
      </c>
      <c r="C314" s="459" t="s">
        <v>1814</v>
      </c>
    </row>
    <row r="315" spans="1:5">
      <c r="A315" s="168">
        <f>enveloppe_életricité!F86</f>
        <v>0</v>
      </c>
      <c r="B315" s="167">
        <v>315</v>
      </c>
      <c r="C315" s="459" t="s">
        <v>1621</v>
      </c>
      <c r="D315" s="454"/>
    </row>
    <row r="316" spans="1:5">
      <c r="A316" s="168">
        <f>IF(A315=0,1,VLOOKUP(A315,enveloppe_életricité!$N$12:$P$14,3,FALSE))-1</f>
        <v>0</v>
      </c>
      <c r="B316" s="167">
        <v>316</v>
      </c>
      <c r="C316" s="459" t="s">
        <v>1815</v>
      </c>
      <c r="D316" s="454"/>
      <c r="E316" s="454"/>
    </row>
    <row r="317" spans="1:5">
      <c r="A317" s="168">
        <f>enveloppe_életricité!G86</f>
        <v>0</v>
      </c>
      <c r="B317" s="167">
        <v>317</v>
      </c>
      <c r="C317" s="459" t="s">
        <v>1622</v>
      </c>
    </row>
    <row r="318" spans="1:5">
      <c r="A318" s="168">
        <f>IF(A317=0,1,VLOOKUP(A317,enveloppe_életricité!$N$12:$P$14,3,FALSE))-1</f>
        <v>0</v>
      </c>
      <c r="B318" s="167">
        <v>318</v>
      </c>
      <c r="C318" s="459" t="s">
        <v>1816</v>
      </c>
    </row>
    <row r="319" spans="1:5">
      <c r="A319" s="168">
        <f>enveloppe_életricité!H86</f>
        <v>0</v>
      </c>
      <c r="B319" s="167">
        <v>319</v>
      </c>
      <c r="C319" s="459" t="s">
        <v>1623</v>
      </c>
    </row>
    <row r="320" spans="1:5">
      <c r="A320" s="168">
        <f>IF(A319=0,1,VLOOKUP(A319,enveloppe_életricité!$N$12:$P$14,3,FALSE))-1</f>
        <v>0</v>
      </c>
      <c r="B320" s="167">
        <v>320</v>
      </c>
      <c r="C320" s="459" t="s">
        <v>1817</v>
      </c>
    </row>
    <row r="321" spans="1:4">
      <c r="A321" s="168">
        <f>enveloppe_életricité!I86</f>
        <v>0</v>
      </c>
      <c r="B321" s="167">
        <v>321</v>
      </c>
      <c r="C321" s="459" t="s">
        <v>1624</v>
      </c>
    </row>
    <row r="322" spans="1:4">
      <c r="A322" s="168">
        <f>IF(A321=0,1,VLOOKUP(A321,enveloppe_életricité!$N$12:$P$14,3,FALSE))-1</f>
        <v>0</v>
      </c>
      <c r="B322" s="167">
        <v>322</v>
      </c>
      <c r="C322" s="459" t="s">
        <v>1818</v>
      </c>
    </row>
    <row r="323" spans="1:4">
      <c r="A323" s="168">
        <f>enveloppe_életricité!F87</f>
        <v>0</v>
      </c>
      <c r="B323" s="167">
        <v>323</v>
      </c>
      <c r="C323" s="459" t="s">
        <v>1625</v>
      </c>
      <c r="D323" s="454"/>
    </row>
    <row r="324" spans="1:4">
      <c r="A324" s="168">
        <f>IF(A323=0,1,VLOOKUP(A323,enveloppe_életricité!$N$12:$P$14,3,FALSE))-1</f>
        <v>0</v>
      </c>
      <c r="B324" s="167">
        <v>324</v>
      </c>
      <c r="C324" s="459" t="s">
        <v>1819</v>
      </c>
    </row>
    <row r="325" spans="1:4">
      <c r="A325" s="168">
        <f>enveloppe_életricité!G87</f>
        <v>0</v>
      </c>
      <c r="B325" s="167">
        <v>325</v>
      </c>
      <c r="C325" s="459" t="s">
        <v>1626</v>
      </c>
    </row>
    <row r="326" spans="1:4">
      <c r="A326" s="168">
        <f>IF(A325=0,1,VLOOKUP(A325,enveloppe_életricité!$N$12:$P$14,3,FALSE))-1</f>
        <v>0</v>
      </c>
      <c r="B326" s="167">
        <v>326</v>
      </c>
      <c r="C326" s="459" t="s">
        <v>1820</v>
      </c>
    </row>
    <row r="327" spans="1:4">
      <c r="A327" s="168">
        <f>enveloppe_életricité!H87</f>
        <v>0</v>
      </c>
      <c r="B327" s="167">
        <v>327</v>
      </c>
      <c r="C327" s="459" t="s">
        <v>1627</v>
      </c>
    </row>
    <row r="328" spans="1:4">
      <c r="A328" s="168">
        <f>IF(A327=0,1,VLOOKUP(A327,enveloppe_életricité!$N$12:$P$14,3,FALSE))-1</f>
        <v>0</v>
      </c>
      <c r="B328" s="167">
        <v>328</v>
      </c>
      <c r="C328" s="459" t="s">
        <v>1821</v>
      </c>
    </row>
    <row r="329" spans="1:4">
      <c r="A329" s="168">
        <f>enveloppe_életricité!I87</f>
        <v>0</v>
      </c>
      <c r="B329" s="167">
        <v>329</v>
      </c>
      <c r="C329" s="459" t="s">
        <v>1628</v>
      </c>
    </row>
    <row r="330" spans="1:4">
      <c r="A330" s="168">
        <f>IF(A329=0,1,VLOOKUP(A329,enveloppe_életricité!$N$12:$P$14,3,FALSE))-1</f>
        <v>0</v>
      </c>
      <c r="B330" s="167">
        <v>330</v>
      </c>
      <c r="C330" s="459" t="s">
        <v>1822</v>
      </c>
    </row>
    <row r="331" spans="1:4">
      <c r="A331" s="168" t="e">
        <f>enveloppe_életricité!O88</f>
        <v>#REF!</v>
      </c>
      <c r="B331" s="167">
        <v>331</v>
      </c>
      <c r="C331" s="459" t="s">
        <v>1629</v>
      </c>
    </row>
    <row r="332" spans="1:4">
      <c r="A332" s="168" t="e">
        <f>enveloppe_életricité!P88</f>
        <v>#REF!</v>
      </c>
      <c r="B332" s="167">
        <v>332</v>
      </c>
      <c r="C332" s="459" t="s">
        <v>1631</v>
      </c>
    </row>
    <row r="333" spans="1:4">
      <c r="A333" s="168" t="e">
        <f>enveloppe_életricité!Q88</f>
        <v>#REF!</v>
      </c>
      <c r="B333" s="167">
        <v>333</v>
      </c>
      <c r="C333" s="459" t="s">
        <v>1632</v>
      </c>
    </row>
    <row r="334" spans="1:4">
      <c r="A334" s="168" t="e">
        <f>enveloppe_életricité!R88</f>
        <v>#REF!</v>
      </c>
      <c r="B334" s="167">
        <v>334</v>
      </c>
      <c r="C334" s="459" t="s">
        <v>1633</v>
      </c>
    </row>
    <row r="335" spans="1:4">
      <c r="A335" s="168" t="e">
        <f>enveloppe_életricité!O89</f>
        <v>#REF!</v>
      </c>
      <c r="B335" s="167">
        <v>335</v>
      </c>
      <c r="C335" s="459" t="s">
        <v>1630</v>
      </c>
    </row>
    <row r="336" spans="1:4">
      <c r="A336" s="168" t="e">
        <f>enveloppe_életricité!P89</f>
        <v>#REF!</v>
      </c>
      <c r="B336" s="167">
        <v>336</v>
      </c>
      <c r="C336" s="459" t="s">
        <v>1634</v>
      </c>
    </row>
    <row r="337" spans="1:5">
      <c r="A337" s="168" t="e">
        <f>enveloppe_életricité!Q89</f>
        <v>#REF!</v>
      </c>
      <c r="B337" s="167">
        <v>337</v>
      </c>
      <c r="C337" s="459" t="s">
        <v>1635</v>
      </c>
    </row>
    <row r="338" spans="1:5">
      <c r="A338" s="168" t="e">
        <f>enveloppe_életricité!R89</f>
        <v>#REF!</v>
      </c>
      <c r="B338" s="167">
        <v>338</v>
      </c>
      <c r="C338" s="459" t="s">
        <v>1636</v>
      </c>
    </row>
    <row r="339" spans="1:5">
      <c r="A339" s="168">
        <f>enveloppe_életricité!D90</f>
        <v>0</v>
      </c>
      <c r="B339" s="167">
        <v>339</v>
      </c>
      <c r="C339" s="459" t="s">
        <v>1389</v>
      </c>
      <c r="D339" s="454"/>
    </row>
    <row r="340" spans="1:5">
      <c r="A340" s="168">
        <f>IF(OR(A339=0,A339=""),1,VLOOKUP(A339,enveloppe_életricité!$Q$12:$S$14,3,FALSE))-1</f>
        <v>0</v>
      </c>
      <c r="B340" s="167">
        <v>340</v>
      </c>
      <c r="C340" s="459" t="s">
        <v>1823</v>
      </c>
    </row>
    <row r="341" spans="1:5">
      <c r="A341" s="168">
        <f>enveloppe_életricité!E95</f>
        <v>0</v>
      </c>
      <c r="B341" s="167">
        <v>341</v>
      </c>
      <c r="C341" s="459" t="s">
        <v>2132</v>
      </c>
    </row>
    <row r="342" spans="1:5">
      <c r="A342" s="168">
        <f>enveloppe_életricité!H95</f>
        <v>0</v>
      </c>
      <c r="B342" s="167">
        <v>342</v>
      </c>
      <c r="C342" s="459" t="s">
        <v>1637</v>
      </c>
      <c r="D342" s="454"/>
    </row>
    <row r="343" spans="1:5">
      <c r="A343" s="168">
        <f>enveloppe_életricité!G95</f>
        <v>800</v>
      </c>
      <c r="B343" s="167">
        <v>343</v>
      </c>
      <c r="C343" s="459" t="s">
        <v>1638</v>
      </c>
    </row>
    <row r="344" spans="1:5">
      <c r="A344" s="168">
        <f>enveloppe_életricité!K95</f>
        <v>0</v>
      </c>
      <c r="B344" s="167">
        <v>344</v>
      </c>
      <c r="C344" s="459" t="s">
        <v>1639</v>
      </c>
      <c r="D344" s="454"/>
      <c r="E344" s="454"/>
    </row>
    <row r="345" spans="1:5">
      <c r="A345" s="168" t="e">
        <f>enveloppe_életricité!I95</f>
        <v>#REF!</v>
      </c>
      <c r="B345" s="167">
        <v>345</v>
      </c>
      <c r="C345" s="459" t="s">
        <v>1640</v>
      </c>
    </row>
    <row r="346" spans="1:5">
      <c r="A346" s="168" t="e">
        <f>enveloppe_életricité!E96</f>
        <v>#REF!</v>
      </c>
      <c r="B346" s="167">
        <v>346</v>
      </c>
      <c r="C346" s="459" t="s">
        <v>2131</v>
      </c>
    </row>
    <row r="347" spans="1:5">
      <c r="A347" s="173" t="e">
        <f>enveloppe_életricité!E97</f>
        <v>#REF!</v>
      </c>
      <c r="B347" s="167">
        <v>347</v>
      </c>
      <c r="C347" s="459" t="s">
        <v>2130</v>
      </c>
    </row>
    <row r="348" spans="1:5">
      <c r="A348" s="168" t="e">
        <f>enveloppe_életricité!I97</f>
        <v>#REF!</v>
      </c>
      <c r="B348" s="167">
        <v>348</v>
      </c>
      <c r="C348" s="459" t="s">
        <v>2133</v>
      </c>
    </row>
    <row r="349" spans="1:5">
      <c r="A349" s="168" t="e">
        <f>IF(OR(A348=0,A348=""),1,VLOOKUP(A348,enveloppe_életricité!$N$12:$P$14,3,FALSE))-1</f>
        <v>#REF!</v>
      </c>
      <c r="B349" s="167">
        <v>349</v>
      </c>
      <c r="C349" s="459" t="s">
        <v>2134</v>
      </c>
    </row>
    <row r="350" spans="1:5">
      <c r="A350" s="456">
        <f>enveloppe_életricité!I103</f>
        <v>0</v>
      </c>
      <c r="B350" s="167">
        <v>350</v>
      </c>
      <c r="C350" s="459" t="s">
        <v>1506</v>
      </c>
      <c r="D350" s="454"/>
    </row>
    <row r="351" spans="1:5">
      <c r="A351" s="168">
        <f>IF(A350=0,1,VLOOKUP(A350,enveloppe_életricité!$N$12:$P$14,3,FALSE))-1</f>
        <v>0</v>
      </c>
      <c r="B351" s="167">
        <v>351</v>
      </c>
      <c r="C351" s="459" t="s">
        <v>1824</v>
      </c>
    </row>
    <row r="352" spans="1:5">
      <c r="A352" s="456" t="e">
        <f>enveloppe_életricité!J103</f>
        <v>#REF!</v>
      </c>
      <c r="B352" s="167">
        <v>352</v>
      </c>
      <c r="C352" s="459" t="s">
        <v>1641</v>
      </c>
    </row>
    <row r="353" spans="1:6">
      <c r="A353" s="168" t="e">
        <f>enveloppe_életricité!#REF!</f>
        <v>#REF!</v>
      </c>
      <c r="B353" s="167">
        <v>353</v>
      </c>
      <c r="C353" s="459" t="s">
        <v>1642</v>
      </c>
    </row>
    <row r="354" spans="1:6">
      <c r="A354" s="456">
        <f>enveloppe_életricité!I104</f>
        <v>0</v>
      </c>
      <c r="B354" s="167">
        <v>354</v>
      </c>
      <c r="C354" s="459" t="s">
        <v>1507</v>
      </c>
    </row>
    <row r="355" spans="1:6">
      <c r="A355" s="168">
        <f>IF(A354=0,1,VLOOKUP(A354,enveloppe_életricité!$N$12:$P$14,3,FALSE))-1</f>
        <v>0</v>
      </c>
      <c r="B355" s="167">
        <v>355</v>
      </c>
      <c r="C355" s="459" t="s">
        <v>1825</v>
      </c>
    </row>
    <row r="356" spans="1:6">
      <c r="A356" s="168" t="str">
        <f>enveloppe_életricité!K104</f>
        <v>1.6 m3/hm2</v>
      </c>
      <c r="B356" s="167">
        <v>356</v>
      </c>
      <c r="C356" s="459" t="s">
        <v>1643</v>
      </c>
    </row>
    <row r="357" spans="1:6">
      <c r="A357" s="168">
        <f>enveloppe_életricité!J104</f>
        <v>0</v>
      </c>
      <c r="B357" s="167">
        <v>357</v>
      </c>
      <c r="C357" s="459" t="s">
        <v>1644</v>
      </c>
    </row>
    <row r="358" spans="1:6">
      <c r="A358" s="456">
        <f>enveloppe_életricité!I105</f>
        <v>0</v>
      </c>
      <c r="B358" s="167">
        <v>358</v>
      </c>
      <c r="C358" s="459" t="s">
        <v>1645</v>
      </c>
    </row>
    <row r="359" spans="1:6">
      <c r="A359" s="168">
        <f>IF(A358=0,1,VLOOKUP(A358,enveloppe_életricité!$N$12:$P$14,3,FALSE))-1</f>
        <v>0</v>
      </c>
      <c r="B359" s="167">
        <v>359</v>
      </c>
      <c r="C359" s="459" t="s">
        <v>1826</v>
      </c>
    </row>
    <row r="360" spans="1:6">
      <c r="A360" s="168" t="e">
        <f>enveloppe_életricité!J105</f>
        <v>#REF!</v>
      </c>
      <c r="B360" s="167">
        <v>360</v>
      </c>
      <c r="C360" s="459" t="s">
        <v>1646</v>
      </c>
    </row>
    <row r="361" spans="1:6">
      <c r="A361" s="168" t="e">
        <f>IF(A360=0,1,VLOOKUP(A360,enveloppe_életricité!$Q$12:$S$14,3,FALSE))-1</f>
        <v>#REF!</v>
      </c>
      <c r="B361" s="167">
        <v>361</v>
      </c>
      <c r="C361" s="459" t="s">
        <v>1829</v>
      </c>
    </row>
    <row r="362" spans="1:6">
      <c r="A362" s="456">
        <f>enveloppe_életricité!I106</f>
        <v>0</v>
      </c>
      <c r="B362" s="167">
        <v>362</v>
      </c>
      <c r="C362" s="459" t="s">
        <v>1647</v>
      </c>
    </row>
    <row r="363" spans="1:6">
      <c r="A363" s="168">
        <f>IF(A362=0,1,VLOOKUP(A362,enveloppe_életricité!$N$12:$P$14,3,FALSE))-1</f>
        <v>0</v>
      </c>
      <c r="B363" s="167">
        <v>363</v>
      </c>
      <c r="C363" s="459" t="s">
        <v>1828</v>
      </c>
    </row>
    <row r="364" spans="1:6">
      <c r="A364" s="168" t="e">
        <f>enveloppe_életricité!K106</f>
        <v>#REF!</v>
      </c>
      <c r="B364" s="167">
        <v>364</v>
      </c>
      <c r="C364" s="459" t="s">
        <v>1648</v>
      </c>
    </row>
    <row r="365" spans="1:6">
      <c r="A365" s="168" t="e">
        <f>IF(A364=0,1,VLOOKUP(A364,enveloppe_életricité!$Q$12:$S$14,3,FALSE))-1</f>
        <v>#REF!</v>
      </c>
      <c r="B365" s="167">
        <v>365</v>
      </c>
      <c r="C365" s="459" t="s">
        <v>1827</v>
      </c>
    </row>
    <row r="366" spans="1:6">
      <c r="A366" s="456">
        <f>enveloppe_életricité!I107</f>
        <v>0</v>
      </c>
      <c r="B366" s="167">
        <v>366</v>
      </c>
      <c r="C366" s="459" t="s">
        <v>14</v>
      </c>
      <c r="D366" s="454"/>
      <c r="E366" s="454"/>
      <c r="F366" s="454"/>
    </row>
    <row r="367" spans="1:6">
      <c r="A367" s="168">
        <f>IF(A366=0,1,VLOOKUP(A366,enveloppe_életricité!$N$12:$P$14,3,FALSE))-1</f>
        <v>0</v>
      </c>
      <c r="B367" s="167">
        <v>367</v>
      </c>
      <c r="C367" s="459" t="s">
        <v>1830</v>
      </c>
    </row>
    <row r="368" spans="1:6">
      <c r="A368" s="456">
        <f>enveloppe_életricité!I108</f>
        <v>0</v>
      </c>
      <c r="B368" s="167">
        <v>368</v>
      </c>
      <c r="C368" s="459" t="s">
        <v>1385</v>
      </c>
      <c r="D368" s="454"/>
      <c r="E368" s="454"/>
      <c r="F368" s="454"/>
    </row>
    <row r="369" spans="1:9">
      <c r="A369" s="168">
        <f>IF(A368=0,1,VLOOKUP(A368,enveloppe_életricité!$N$12:$P$14,3,FALSE))-1</f>
        <v>0</v>
      </c>
      <c r="B369" s="167">
        <v>369</v>
      </c>
      <c r="C369" s="459" t="s">
        <v>1831</v>
      </c>
    </row>
    <row r="370" spans="1:9">
      <c r="A370" s="456">
        <f>enveloppe_életricité!I109</f>
        <v>0</v>
      </c>
      <c r="B370" s="167">
        <v>370</v>
      </c>
      <c r="C370" s="459" t="s">
        <v>1649</v>
      </c>
    </row>
    <row r="371" spans="1:9">
      <c r="A371" s="168">
        <f>IF(A370=0,1,VLOOKUP(A370,enveloppe_életricité!$N$12:$P$14,3,FALSE))-1</f>
        <v>0</v>
      </c>
      <c r="B371" s="167">
        <v>371</v>
      </c>
      <c r="C371" s="459" t="s">
        <v>1832</v>
      </c>
    </row>
    <row r="372" spans="1:9">
      <c r="A372" s="168" t="e">
        <f>enveloppe_életricité!J109</f>
        <v>#REF!</v>
      </c>
      <c r="B372" s="167">
        <v>372</v>
      </c>
      <c r="C372" s="459" t="s">
        <v>1650</v>
      </c>
    </row>
    <row r="373" spans="1:9">
      <c r="A373" s="168" t="e">
        <f>IF(A372=0,1,VLOOKUP(A372,enveloppe_életricité!$Q$12:$S$14,3,FALSE))-1</f>
        <v>#REF!</v>
      </c>
      <c r="B373" s="167">
        <v>373</v>
      </c>
      <c r="C373" s="459" t="s">
        <v>1833</v>
      </c>
    </row>
    <row r="374" spans="1:9">
      <c r="A374" s="456">
        <f>enveloppe_életricité!I110</f>
        <v>0</v>
      </c>
      <c r="B374" s="167">
        <v>374</v>
      </c>
      <c r="C374" s="459" t="s">
        <v>1515</v>
      </c>
    </row>
    <row r="375" spans="1:9">
      <c r="A375" s="168">
        <f>IF(A374=0,1,VLOOKUP(A374,enveloppe_életricité!$N$12:$P$14,3,FALSE))-1</f>
        <v>0</v>
      </c>
      <c r="B375" s="167">
        <v>375</v>
      </c>
      <c r="C375" s="459" t="s">
        <v>1834</v>
      </c>
    </row>
    <row r="376" spans="1:9">
      <c r="A376" s="456">
        <f>enveloppe_életricité!I111</f>
        <v>0</v>
      </c>
      <c r="B376" s="167">
        <v>376</v>
      </c>
      <c r="C376" s="459" t="s">
        <v>1512</v>
      </c>
    </row>
    <row r="377" spans="1:9">
      <c r="A377" s="168">
        <f>IF(A376=0,1,VLOOKUP(A376,enveloppe_életricité!$N$12:$P$14,3,FALSE))-1</f>
        <v>0</v>
      </c>
      <c r="B377" s="167">
        <v>377</v>
      </c>
      <c r="C377" s="459" t="s">
        <v>1835</v>
      </c>
    </row>
    <row r="378" spans="1:9">
      <c r="A378" s="168" t="e">
        <f>enveloppe_életricité!J111</f>
        <v>#REF!</v>
      </c>
      <c r="B378" s="167">
        <v>378</v>
      </c>
      <c r="C378" s="459" t="s">
        <v>1651</v>
      </c>
    </row>
    <row r="379" spans="1:9">
      <c r="A379" s="170" t="e">
        <f>IF(A378=0,1,VLOOKUP(A378,enveloppe_életricité!$Q$12:$S$14,3,FALSE))-1</f>
        <v>#REF!</v>
      </c>
      <c r="B379" s="463">
        <v>379</v>
      </c>
      <c r="C379" s="460" t="s">
        <v>1836</v>
      </c>
      <c r="D379" s="171"/>
      <c r="E379" s="171"/>
      <c r="F379" s="171"/>
      <c r="G379" s="171"/>
    </row>
    <row r="380" spans="1:9">
      <c r="A380" s="168">
        <f>été_documents!I66</f>
        <v>0</v>
      </c>
      <c r="B380" s="167">
        <v>380</v>
      </c>
      <c r="C380" s="459" t="s">
        <v>1653</v>
      </c>
      <c r="D380" s="454"/>
      <c r="E380" s="454"/>
      <c r="F380" s="454"/>
      <c r="G380" s="454"/>
      <c r="H380" s="454"/>
      <c r="I380" s="454"/>
    </row>
    <row r="381" spans="1:9">
      <c r="A381" s="457">
        <f>IF(A380=0,1,VLOOKUP(A380,été_documents!$P$58:$Q$62,2,FALSE))-1</f>
        <v>0</v>
      </c>
      <c r="B381" s="167">
        <v>381</v>
      </c>
      <c r="C381" s="459" t="s">
        <v>1838</v>
      </c>
    </row>
    <row r="382" spans="1:9">
      <c r="A382" s="168">
        <f>été_documents!J66</f>
        <v>0</v>
      </c>
      <c r="B382" s="167">
        <v>382</v>
      </c>
      <c r="C382" s="459" t="s">
        <v>1652</v>
      </c>
    </row>
    <row r="383" spans="1:9">
      <c r="A383" s="457">
        <f>IF(A382=0,1,VLOOKUP(A382,été_documents!$P$58:$Q$62,2,FALSE))-1</f>
        <v>0</v>
      </c>
      <c r="B383" s="167">
        <v>383</v>
      </c>
      <c r="C383" s="459" t="s">
        <v>1839</v>
      </c>
    </row>
    <row r="384" spans="1:9">
      <c r="A384" s="168">
        <f>été_documents!K66</f>
        <v>0</v>
      </c>
      <c r="B384" s="167">
        <v>384</v>
      </c>
      <c r="C384" s="459" t="s">
        <v>1654</v>
      </c>
    </row>
    <row r="385" spans="1:3">
      <c r="A385" s="457">
        <f>IF(A384=0,1,VLOOKUP(A384,été_documents!$P$58:$Q$62,2,FALSE))-1</f>
        <v>0</v>
      </c>
      <c r="B385" s="167">
        <v>385</v>
      </c>
      <c r="C385" s="459" t="s">
        <v>1840</v>
      </c>
    </row>
    <row r="386" spans="1:3">
      <c r="A386" s="168">
        <f>été_documents!L66</f>
        <v>0</v>
      </c>
      <c r="B386" s="167">
        <v>386</v>
      </c>
      <c r="C386" s="459" t="s">
        <v>1655</v>
      </c>
    </row>
    <row r="387" spans="1:3">
      <c r="A387" s="457">
        <f>IF(A386=0,1,VLOOKUP(A386,été_documents!$P$58:$Q$62,2,FALSE))-1</f>
        <v>0</v>
      </c>
      <c r="B387" s="167">
        <v>387</v>
      </c>
      <c r="C387" s="459" t="s">
        <v>1837</v>
      </c>
    </row>
    <row r="388" spans="1:3">
      <c r="A388" s="168">
        <f>été_documents!B67</f>
        <v>0</v>
      </c>
      <c r="B388" s="167">
        <v>388</v>
      </c>
      <c r="C388" s="459" t="s">
        <v>1656</v>
      </c>
    </row>
    <row r="389" spans="1:3">
      <c r="A389" s="168">
        <f>été_documents!I68</f>
        <v>0</v>
      </c>
      <c r="B389" s="167">
        <v>389</v>
      </c>
      <c r="C389" s="459" t="s">
        <v>1657</v>
      </c>
    </row>
    <row r="390" spans="1:3">
      <c r="A390" s="457">
        <f>IF(A389=0,1,VLOOKUP(A389,été_documents!$O$58:$R$61,4,FALSE))-1</f>
        <v>0</v>
      </c>
      <c r="B390" s="167">
        <v>390</v>
      </c>
      <c r="C390" s="459" t="s">
        <v>1842</v>
      </c>
    </row>
    <row r="391" spans="1:3">
      <c r="A391" s="168">
        <f>été_documents!J68</f>
        <v>0</v>
      </c>
      <c r="B391" s="167">
        <v>391</v>
      </c>
      <c r="C391" s="459" t="s">
        <v>1658</v>
      </c>
    </row>
    <row r="392" spans="1:3">
      <c r="A392" s="457">
        <f>IF(A391=0,1,VLOOKUP(A391,été_documents!$O$58:$R$61,4,FALSE))-1</f>
        <v>0</v>
      </c>
      <c r="B392" s="167">
        <v>392</v>
      </c>
      <c r="C392" s="459" t="s">
        <v>1843</v>
      </c>
    </row>
    <row r="393" spans="1:3">
      <c r="A393" s="168">
        <f>été_documents!K68</f>
        <v>0</v>
      </c>
      <c r="B393" s="167">
        <v>393</v>
      </c>
      <c r="C393" s="459" t="s">
        <v>1659</v>
      </c>
    </row>
    <row r="394" spans="1:3">
      <c r="A394" s="457">
        <f>IF(A393=0,1,VLOOKUP(A393,été_documents!$O$58:$R$61,4,FALSE))-1</f>
        <v>0</v>
      </c>
      <c r="B394" s="167">
        <v>394</v>
      </c>
      <c r="C394" s="459" t="s">
        <v>1844</v>
      </c>
    </row>
    <row r="395" spans="1:3">
      <c r="A395" s="168">
        <f>été_documents!L68</f>
        <v>0</v>
      </c>
      <c r="B395" s="167">
        <v>395</v>
      </c>
      <c r="C395" s="459" t="s">
        <v>1660</v>
      </c>
    </row>
    <row r="396" spans="1:3">
      <c r="A396" s="457">
        <f>IF(A395=0,1,VLOOKUP(A395,été_documents!$O$58:$R$61,4,FALSE))-1</f>
        <v>0</v>
      </c>
      <c r="B396" s="167">
        <v>396</v>
      </c>
      <c r="C396" s="459" t="s">
        <v>1841</v>
      </c>
    </row>
    <row r="397" spans="1:3">
      <c r="A397" s="168">
        <f>été_documents!I69</f>
        <v>0</v>
      </c>
      <c r="B397" s="167">
        <v>397</v>
      </c>
      <c r="C397" s="459" t="s">
        <v>1661</v>
      </c>
    </row>
    <row r="398" spans="1:3">
      <c r="A398" s="457">
        <f>IF(A397=0,1,VLOOKUP(A397,été_documents!$O$58:$R$61,4,FALSE))-1</f>
        <v>0</v>
      </c>
      <c r="B398" s="167">
        <v>398</v>
      </c>
      <c r="C398" s="459" t="s">
        <v>1877</v>
      </c>
    </row>
    <row r="399" spans="1:3">
      <c r="A399" s="168">
        <f>été_documents!J69</f>
        <v>0</v>
      </c>
      <c r="B399" s="167">
        <v>399</v>
      </c>
      <c r="C399" s="459" t="s">
        <v>1662</v>
      </c>
    </row>
    <row r="400" spans="1:3">
      <c r="A400" s="457">
        <f>IF(A399=0,1,VLOOKUP(A399,été_documents!$O$58:$R$61,4,FALSE))-1</f>
        <v>0</v>
      </c>
      <c r="B400" s="167">
        <v>400</v>
      </c>
      <c r="C400" s="459" t="s">
        <v>1878</v>
      </c>
    </row>
    <row r="401" spans="1:3">
      <c r="A401" s="168">
        <f>été_documents!K69</f>
        <v>0</v>
      </c>
      <c r="B401" s="167">
        <v>401</v>
      </c>
      <c r="C401" s="459" t="s">
        <v>1663</v>
      </c>
    </row>
    <row r="402" spans="1:3">
      <c r="A402" s="457">
        <f>IF(A401=0,1,VLOOKUP(A401,été_documents!$O$58:$R$61,4,FALSE))-1</f>
        <v>0</v>
      </c>
      <c r="B402" s="167">
        <v>402</v>
      </c>
      <c r="C402" s="459" t="s">
        <v>1879</v>
      </c>
    </row>
    <row r="403" spans="1:3">
      <c r="A403" s="168">
        <f>été_documents!L69</f>
        <v>0</v>
      </c>
      <c r="B403" s="167">
        <v>403</v>
      </c>
      <c r="C403" s="459" t="s">
        <v>1664</v>
      </c>
    </row>
    <row r="404" spans="1:3">
      <c r="A404" s="457">
        <f>IF(A403=0,1,VLOOKUP(A403,été_documents!$O$58:$R$61,4,FALSE))-1</f>
        <v>0</v>
      </c>
      <c r="B404" s="167">
        <v>404</v>
      </c>
      <c r="C404" s="459" t="s">
        <v>1880</v>
      </c>
    </row>
    <row r="405" spans="1:3">
      <c r="A405" s="168">
        <f>été_documents!I70</f>
        <v>0</v>
      </c>
      <c r="B405" s="167">
        <v>405</v>
      </c>
      <c r="C405" s="459" t="s">
        <v>1665</v>
      </c>
    </row>
    <row r="406" spans="1:3">
      <c r="A406" s="457">
        <f>IF(A405=0,1,VLOOKUP(A405,été_documents!$O$58:$R$61,4,FALSE))-1</f>
        <v>0</v>
      </c>
      <c r="B406" s="167">
        <v>406</v>
      </c>
      <c r="C406" s="459" t="s">
        <v>1869</v>
      </c>
    </row>
    <row r="407" spans="1:3">
      <c r="A407" s="168">
        <f>été_documents!J70</f>
        <v>0</v>
      </c>
      <c r="B407" s="167">
        <v>407</v>
      </c>
      <c r="C407" s="459" t="s">
        <v>1666</v>
      </c>
    </row>
    <row r="408" spans="1:3">
      <c r="A408" s="457">
        <f>IF(A407=0,1,VLOOKUP(A407,été_documents!$O$58:$R$61,4,FALSE))-1</f>
        <v>0</v>
      </c>
      <c r="B408" s="167">
        <v>408</v>
      </c>
      <c r="C408" s="459" t="s">
        <v>1870</v>
      </c>
    </row>
    <row r="409" spans="1:3">
      <c r="A409" s="168">
        <f>été_documents!K70</f>
        <v>0</v>
      </c>
      <c r="B409" s="167">
        <v>409</v>
      </c>
      <c r="C409" s="459" t="s">
        <v>1667</v>
      </c>
    </row>
    <row r="410" spans="1:3">
      <c r="A410" s="457">
        <f>IF(A409=0,1,VLOOKUP(A409,été_documents!$O$58:$R$61,4,FALSE))-1</f>
        <v>0</v>
      </c>
      <c r="B410" s="167">
        <v>410</v>
      </c>
      <c r="C410" s="459" t="s">
        <v>1871</v>
      </c>
    </row>
    <row r="411" spans="1:3">
      <c r="A411" s="168">
        <f>été_documents!L70</f>
        <v>0</v>
      </c>
      <c r="B411" s="167">
        <v>411</v>
      </c>
      <c r="C411" s="459" t="s">
        <v>1668</v>
      </c>
    </row>
    <row r="412" spans="1:3">
      <c r="A412" s="457">
        <f>IF(A411=0,1,VLOOKUP(A411,été_documents!$O$58:$R$61,4,FALSE))-1</f>
        <v>0</v>
      </c>
      <c r="B412" s="167">
        <v>412</v>
      </c>
      <c r="C412" s="459" t="s">
        <v>1872</v>
      </c>
    </row>
    <row r="413" spans="1:3">
      <c r="A413" s="168">
        <f>été_documents!I71</f>
        <v>0</v>
      </c>
      <c r="B413" s="167">
        <v>413</v>
      </c>
      <c r="C413" s="459" t="s">
        <v>1669</v>
      </c>
    </row>
    <row r="414" spans="1:3">
      <c r="A414" s="457">
        <f>IF(A413=0,1,VLOOKUP(A413,été_documents!$O$58:$R$61,4,FALSE))-1</f>
        <v>0</v>
      </c>
      <c r="B414" s="167">
        <v>414</v>
      </c>
      <c r="C414" s="459" t="s">
        <v>1873</v>
      </c>
    </row>
    <row r="415" spans="1:3">
      <c r="A415" s="168">
        <f>été_documents!J71</f>
        <v>0</v>
      </c>
      <c r="B415" s="167">
        <v>415</v>
      </c>
      <c r="C415" s="459" t="s">
        <v>1670</v>
      </c>
    </row>
    <row r="416" spans="1:3">
      <c r="A416" s="457">
        <f>IF(A415=0,1,VLOOKUP(A415,été_documents!$O$58:$R$61,4,FALSE))-1</f>
        <v>0</v>
      </c>
      <c r="B416" s="167">
        <v>416</v>
      </c>
      <c r="C416" s="459" t="s">
        <v>1874</v>
      </c>
    </row>
    <row r="417" spans="1:9">
      <c r="A417" s="168">
        <f>été_documents!K71</f>
        <v>0</v>
      </c>
      <c r="B417" s="167">
        <v>417</v>
      </c>
      <c r="C417" s="459" t="s">
        <v>1671</v>
      </c>
    </row>
    <row r="418" spans="1:9">
      <c r="A418" s="457">
        <f>IF(A417=0,1,VLOOKUP(A417,été_documents!$O$58:$R$61,4,FALSE))-1</f>
        <v>0</v>
      </c>
      <c r="B418" s="167">
        <v>418</v>
      </c>
      <c r="C418" s="459" t="s">
        <v>1875</v>
      </c>
    </row>
    <row r="419" spans="1:9">
      <c r="A419" s="168">
        <f>été_documents!L71</f>
        <v>0</v>
      </c>
      <c r="B419" s="167">
        <v>419</v>
      </c>
      <c r="C419" s="459" t="s">
        <v>1672</v>
      </c>
    </row>
    <row r="420" spans="1:9">
      <c r="A420" s="457">
        <f>IF(A419=0,1,VLOOKUP(A419,été_documents!$O$58:$R$61,4,FALSE))-1</f>
        <v>0</v>
      </c>
      <c r="B420" s="167">
        <v>420</v>
      </c>
      <c r="C420" s="459" t="s">
        <v>1876</v>
      </c>
    </row>
    <row r="421" spans="1:9">
      <c r="A421" s="168">
        <f>été_documents!I72</f>
        <v>0</v>
      </c>
      <c r="B421" s="167">
        <v>421</v>
      </c>
      <c r="C421" s="459" t="s">
        <v>1673</v>
      </c>
      <c r="D421" s="454"/>
      <c r="E421" s="454"/>
      <c r="F421" s="454"/>
      <c r="G421" s="454"/>
      <c r="H421" s="454"/>
      <c r="I421" s="454"/>
    </row>
    <row r="422" spans="1:9">
      <c r="A422" s="457">
        <f>IF(A421=0,1,VLOOKUP(A421,été_documents!$O$58:$R$61,4,FALSE))-1</f>
        <v>0</v>
      </c>
      <c r="B422" s="167">
        <v>422</v>
      </c>
      <c r="C422" s="459" t="s">
        <v>1861</v>
      </c>
    </row>
    <row r="423" spans="1:9">
      <c r="A423" s="168">
        <f>été_documents!J72</f>
        <v>0</v>
      </c>
      <c r="B423" s="167">
        <v>423</v>
      </c>
      <c r="C423" s="459" t="s">
        <v>1674</v>
      </c>
    </row>
    <row r="424" spans="1:9">
      <c r="A424" s="457">
        <f>IF(A423=0,1,VLOOKUP(A423,été_documents!$O$58:$R$61,4,FALSE))-1</f>
        <v>0</v>
      </c>
      <c r="B424" s="167">
        <v>424</v>
      </c>
      <c r="C424" s="459" t="s">
        <v>1862</v>
      </c>
    </row>
    <row r="425" spans="1:9">
      <c r="A425" s="168">
        <f>été_documents!K72</f>
        <v>0</v>
      </c>
      <c r="B425" s="167">
        <v>425</v>
      </c>
      <c r="C425" s="459" t="s">
        <v>1675</v>
      </c>
    </row>
    <row r="426" spans="1:9">
      <c r="A426" s="457">
        <f>IF(A425=0,1,VLOOKUP(A425,été_documents!$O$58:$R$61,4,FALSE))-1</f>
        <v>0</v>
      </c>
      <c r="B426" s="167">
        <v>426</v>
      </c>
      <c r="C426" s="459" t="s">
        <v>1863</v>
      </c>
    </row>
    <row r="427" spans="1:9">
      <c r="A427" s="168">
        <f>été_documents!L72</f>
        <v>0</v>
      </c>
      <c r="B427" s="167">
        <v>427</v>
      </c>
      <c r="C427" s="459" t="s">
        <v>1676</v>
      </c>
    </row>
    <row r="428" spans="1:9">
      <c r="A428" s="457">
        <f>IF(A427=0,1,VLOOKUP(A427,été_documents!$O$58:$R$61,4,FALSE))-1</f>
        <v>0</v>
      </c>
      <c r="B428" s="167">
        <v>428</v>
      </c>
      <c r="C428" s="459" t="s">
        <v>1864</v>
      </c>
    </row>
    <row r="429" spans="1:9">
      <c r="A429" s="168">
        <f>été_documents!I73</f>
        <v>0</v>
      </c>
      <c r="B429" s="167">
        <v>429</v>
      </c>
      <c r="C429" s="459" t="s">
        <v>1677</v>
      </c>
    </row>
    <row r="430" spans="1:9">
      <c r="A430" s="457">
        <f>IF(A429=0,1,VLOOKUP(A429,été_documents!$O$58:$R$61,4,FALSE))-1</f>
        <v>0</v>
      </c>
      <c r="B430" s="167">
        <v>430</v>
      </c>
      <c r="C430" s="459" t="s">
        <v>1865</v>
      </c>
    </row>
    <row r="431" spans="1:9">
      <c r="A431" s="168">
        <f>été_documents!J73</f>
        <v>0</v>
      </c>
      <c r="B431" s="167">
        <v>431</v>
      </c>
      <c r="C431" s="459" t="s">
        <v>1678</v>
      </c>
    </row>
    <row r="432" spans="1:9">
      <c r="A432" s="457">
        <f>IF(A431=0,1,VLOOKUP(A431,été_documents!$O$58:$R$61,4,FALSE))-1</f>
        <v>0</v>
      </c>
      <c r="B432" s="167">
        <v>432</v>
      </c>
      <c r="C432" s="459" t="s">
        <v>1866</v>
      </c>
    </row>
    <row r="433" spans="1:8">
      <c r="A433" s="168">
        <f>été_documents!K73</f>
        <v>0</v>
      </c>
      <c r="B433" s="167">
        <v>433</v>
      </c>
      <c r="C433" s="459" t="s">
        <v>1679</v>
      </c>
    </row>
    <row r="434" spans="1:8">
      <c r="A434" s="457">
        <f>IF(A433=0,1,VLOOKUP(A433,été_documents!$O$58:$R$61,4,FALSE))-1</f>
        <v>0</v>
      </c>
      <c r="B434" s="167">
        <v>434</v>
      </c>
      <c r="C434" s="459" t="s">
        <v>1867</v>
      </c>
    </row>
    <row r="435" spans="1:8">
      <c r="A435" s="168">
        <f>été_documents!L73</f>
        <v>0</v>
      </c>
      <c r="B435" s="167">
        <v>435</v>
      </c>
      <c r="C435" s="459" t="s">
        <v>1680</v>
      </c>
    </row>
    <row r="436" spans="1:8">
      <c r="A436" s="457">
        <f>IF(A435=0,1,VLOOKUP(A435,été_documents!$O$58:$R$61,4,FALSE))-1</f>
        <v>0</v>
      </c>
      <c r="B436" s="167">
        <v>436</v>
      </c>
      <c r="C436" s="459" t="s">
        <v>1868</v>
      </c>
    </row>
    <row r="437" spans="1:8">
      <c r="A437" s="168">
        <f>été_documents!I83</f>
        <v>0</v>
      </c>
      <c r="B437" s="167">
        <v>437</v>
      </c>
      <c r="C437" s="459" t="s">
        <v>1681</v>
      </c>
      <c r="D437" s="454"/>
      <c r="E437" s="454"/>
      <c r="F437" s="454"/>
      <c r="G437" s="454"/>
      <c r="H437" s="454"/>
    </row>
    <row r="438" spans="1:8">
      <c r="A438" s="457">
        <f>IF(A437=0,1,VLOOKUP(A437,été_documents!$O$58:$R$61,4,FALSE))-1</f>
        <v>0</v>
      </c>
      <c r="B438" s="167">
        <v>438</v>
      </c>
      <c r="C438" s="459" t="s">
        <v>1857</v>
      </c>
    </row>
    <row r="439" spans="1:8">
      <c r="A439" s="168">
        <f>été_documents!J83</f>
        <v>0</v>
      </c>
      <c r="B439" s="167">
        <v>439</v>
      </c>
      <c r="C439" s="459" t="s">
        <v>1682</v>
      </c>
    </row>
    <row r="440" spans="1:8">
      <c r="A440" s="457">
        <f>IF(A439=0,1,VLOOKUP(A439,été_documents!$O$58:$R$61,4,FALSE))-1</f>
        <v>0</v>
      </c>
      <c r="B440" s="167">
        <v>440</v>
      </c>
      <c r="C440" s="459" t="s">
        <v>1858</v>
      </c>
    </row>
    <row r="441" spans="1:8">
      <c r="A441" s="168">
        <f>été_documents!K83</f>
        <v>0</v>
      </c>
      <c r="B441" s="167">
        <v>441</v>
      </c>
      <c r="C441" s="459" t="s">
        <v>1683</v>
      </c>
    </row>
    <row r="442" spans="1:8">
      <c r="A442" s="457">
        <f>IF(A441=0,1,VLOOKUP(A441,été_documents!$O$58:$R$61,4,FALSE))-1</f>
        <v>0</v>
      </c>
      <c r="B442" s="167">
        <v>442</v>
      </c>
      <c r="C442" s="459" t="s">
        <v>1859</v>
      </c>
    </row>
    <row r="443" spans="1:8">
      <c r="A443" s="168">
        <f>été_documents!L83</f>
        <v>0</v>
      </c>
      <c r="B443" s="167">
        <v>443</v>
      </c>
      <c r="C443" s="459" t="s">
        <v>1684</v>
      </c>
    </row>
    <row r="444" spans="1:8">
      <c r="A444" s="457">
        <f>IF(A443=0,1,VLOOKUP(A443,été_documents!$O$58:$R$61,4,FALSE))-1</f>
        <v>0</v>
      </c>
      <c r="B444" s="167">
        <v>444</v>
      </c>
      <c r="C444" s="459" t="s">
        <v>1860</v>
      </c>
    </row>
    <row r="445" spans="1:8">
      <c r="A445" s="168">
        <f>été_documents!B91</f>
        <v>0</v>
      </c>
      <c r="B445" s="167">
        <v>445</v>
      </c>
      <c r="C445" s="459" t="s">
        <v>1685</v>
      </c>
    </row>
    <row r="446" spans="1:8">
      <c r="A446" s="457">
        <f>IF(A445=0,1,VLOOKUP(A445,été_documents!$O$58:$R$61,4,FALSE))-1</f>
        <v>0</v>
      </c>
      <c r="B446" s="167">
        <v>446</v>
      </c>
      <c r="C446" s="459" t="s">
        <v>1686</v>
      </c>
    </row>
    <row r="447" spans="1:8">
      <c r="A447" s="457">
        <f>IF(A446=0,1,VLOOKUP(A446,été_documents!$O$58:$R$61,4,FALSE))-1</f>
        <v>0</v>
      </c>
      <c r="B447" s="167">
        <v>447</v>
      </c>
      <c r="C447" s="459" t="s">
        <v>1854</v>
      </c>
    </row>
    <row r="448" spans="1:8">
      <c r="A448" s="168">
        <f>été_documents!J95</f>
        <v>0</v>
      </c>
      <c r="B448" s="167">
        <v>448</v>
      </c>
      <c r="C448" s="459" t="s">
        <v>1687</v>
      </c>
    </row>
    <row r="449" spans="1:3">
      <c r="A449" s="457">
        <f>IF(A448=0,1,VLOOKUP(A448,été_documents!$O$58:$R$61,4,FALSE))-1</f>
        <v>0</v>
      </c>
      <c r="B449" s="167">
        <v>449</v>
      </c>
      <c r="C449" s="459" t="s">
        <v>1855</v>
      </c>
    </row>
    <row r="450" spans="1:3">
      <c r="A450" s="168">
        <f>été_documents!K95</f>
        <v>0</v>
      </c>
      <c r="B450" s="167">
        <v>450</v>
      </c>
      <c r="C450" s="459" t="s">
        <v>1688</v>
      </c>
    </row>
    <row r="451" spans="1:3">
      <c r="A451" s="457">
        <f>IF(A450=0,1,VLOOKUP(A450,été_documents!$O$58:$R$61,4,FALSE))-1</f>
        <v>0</v>
      </c>
      <c r="B451" s="167">
        <v>451</v>
      </c>
      <c r="C451" s="459" t="s">
        <v>1856</v>
      </c>
    </row>
    <row r="452" spans="1:3">
      <c r="A452" s="168">
        <f>été_documents!L95</f>
        <v>0</v>
      </c>
      <c r="B452" s="167">
        <v>452</v>
      </c>
      <c r="C452" s="459" t="s">
        <v>1689</v>
      </c>
    </row>
    <row r="453" spans="1:3">
      <c r="A453" s="457">
        <f>IF(A452=0,1,VLOOKUP(A452,été_documents!$O$58:$R$61,4,FALSE))-1</f>
        <v>0</v>
      </c>
      <c r="B453" s="167">
        <v>453</v>
      </c>
      <c r="C453" s="459" t="s">
        <v>1853</v>
      </c>
    </row>
    <row r="454" spans="1:3">
      <c r="A454" s="168">
        <f>été_documents!I96</f>
        <v>0</v>
      </c>
      <c r="B454" s="167">
        <v>454</v>
      </c>
      <c r="C454" s="459" t="s">
        <v>1690</v>
      </c>
    </row>
    <row r="455" spans="1:3">
      <c r="A455" s="457">
        <f>IF(A454=0,1,VLOOKUP(A454,été_documents!$O$58:$R$61,4,FALSE))-1</f>
        <v>0</v>
      </c>
      <c r="B455" s="167">
        <v>455</v>
      </c>
      <c r="C455" s="459" t="s">
        <v>1852</v>
      </c>
    </row>
    <row r="456" spans="1:3">
      <c r="A456" s="168">
        <f>été_documents!J96</f>
        <v>0</v>
      </c>
      <c r="B456" s="167">
        <v>456</v>
      </c>
      <c r="C456" s="459" t="s">
        <v>1691</v>
      </c>
    </row>
    <row r="457" spans="1:3">
      <c r="A457" s="457">
        <f>IF(A456=0,1,VLOOKUP(A456,été_documents!$O$58:$R$61,4,FALSE))-1</f>
        <v>0</v>
      </c>
      <c r="B457" s="167">
        <v>457</v>
      </c>
      <c r="C457" s="459" t="s">
        <v>1851</v>
      </c>
    </row>
    <row r="458" spans="1:3">
      <c r="A458" s="168">
        <f>été_documents!K96</f>
        <v>0</v>
      </c>
      <c r="B458" s="167">
        <v>458</v>
      </c>
      <c r="C458" s="459" t="s">
        <v>1692</v>
      </c>
    </row>
    <row r="459" spans="1:3">
      <c r="A459" s="457">
        <f>IF(A458=0,1,VLOOKUP(A458,été_documents!$O$58:$R$61,4,FALSE))-1</f>
        <v>0</v>
      </c>
      <c r="B459" s="167">
        <v>459</v>
      </c>
      <c r="C459" s="459" t="s">
        <v>1850</v>
      </c>
    </row>
    <row r="460" spans="1:3">
      <c r="A460" s="168">
        <f>été_documents!L96</f>
        <v>0</v>
      </c>
      <c r="B460" s="167">
        <v>460</v>
      </c>
      <c r="C460" s="459" t="s">
        <v>1693</v>
      </c>
    </row>
    <row r="461" spans="1:3">
      <c r="A461" s="457">
        <f>IF(A460=0,1,VLOOKUP(A460,été_documents!$O$58:$R$61,4,FALSE))-1</f>
        <v>0</v>
      </c>
      <c r="B461" s="167">
        <v>461</v>
      </c>
      <c r="C461" s="459" t="s">
        <v>1849</v>
      </c>
    </row>
    <row r="462" spans="1:3">
      <c r="A462" s="168" t="e">
        <f>été_documents!I100</f>
        <v>#REF!</v>
      </c>
      <c r="B462" s="167">
        <v>462</v>
      </c>
      <c r="C462" s="459" t="s">
        <v>1694</v>
      </c>
    </row>
    <row r="463" spans="1:3">
      <c r="A463" s="457" t="e">
        <f>IF(A462=0,1,VLOOKUP(A462,été_documents!$O$58:$R$61,4,FALSE))-1</f>
        <v>#REF!</v>
      </c>
      <c r="B463" s="167">
        <v>463</v>
      </c>
      <c r="C463" s="459" t="s">
        <v>1848</v>
      </c>
    </row>
    <row r="464" spans="1:3">
      <c r="A464" s="168" t="e">
        <f>été_documents!J100</f>
        <v>#REF!</v>
      </c>
      <c r="B464" s="167">
        <v>464</v>
      </c>
      <c r="C464" s="459" t="s">
        <v>1695</v>
      </c>
    </row>
    <row r="465" spans="1:8">
      <c r="A465" s="457" t="e">
        <f>IF(A464=0,1,VLOOKUP(A464,été_documents!$O$58:$R$61,4,FALSE))-1</f>
        <v>#REF!</v>
      </c>
      <c r="B465" s="167">
        <v>465</v>
      </c>
      <c r="C465" s="459" t="s">
        <v>1847</v>
      </c>
    </row>
    <row r="466" spans="1:8">
      <c r="A466" s="168" t="e">
        <f>été_documents!K100</f>
        <v>#REF!</v>
      </c>
      <c r="B466" s="167">
        <v>466</v>
      </c>
      <c r="C466" s="459" t="s">
        <v>1696</v>
      </c>
    </row>
    <row r="467" spans="1:8">
      <c r="A467" s="457" t="e">
        <f>IF(A466=0,1,VLOOKUP(A466,été_documents!$O$58:$R$61,4,FALSE))-1</f>
        <v>#REF!</v>
      </c>
      <c r="B467" s="167">
        <v>467</v>
      </c>
      <c r="C467" s="459" t="s">
        <v>1846</v>
      </c>
    </row>
    <row r="468" spans="1:8">
      <c r="A468" s="168" t="e">
        <f>été_documents!L100</f>
        <v>#REF!</v>
      </c>
      <c r="B468" s="167">
        <v>468</v>
      </c>
      <c r="C468" s="459" t="s">
        <v>1697</v>
      </c>
    </row>
    <row r="469" spans="1:8">
      <c r="A469" s="170" t="e">
        <f>IF(A468=0,1,VLOOKUP(A468,été_documents!$O$58:$R$61,4,FALSE))-1</f>
        <v>#REF!</v>
      </c>
      <c r="B469" s="463">
        <v>469</v>
      </c>
      <c r="C469" s="460" t="s">
        <v>1845</v>
      </c>
      <c r="D469" s="171"/>
      <c r="E469" s="171"/>
      <c r="F469" s="171"/>
      <c r="G469" s="171"/>
      <c r="H469" s="171"/>
    </row>
    <row r="470" spans="1:8">
      <c r="A470" s="168" t="e">
        <f>Uebersicht!F30</f>
        <v>#REF!</v>
      </c>
      <c r="B470" s="167">
        <v>470</v>
      </c>
      <c r="C470" s="459" t="s">
        <v>1699</v>
      </c>
    </row>
    <row r="471" spans="1:8">
      <c r="A471" s="168" t="e">
        <f>Uebersicht!H30</f>
        <v>#REF!</v>
      </c>
      <c r="B471" s="167">
        <v>471</v>
      </c>
      <c r="C471" s="459" t="s">
        <v>1705</v>
      </c>
    </row>
    <row r="472" spans="1:8">
      <c r="A472" s="173" t="e">
        <f>Uebersicht!K30</f>
        <v>#REF!</v>
      </c>
      <c r="B472" s="167">
        <v>472</v>
      </c>
      <c r="C472" s="459" t="s">
        <v>1700</v>
      </c>
    </row>
    <row r="473" spans="1:8">
      <c r="A473" s="457" t="e">
        <f>IF(A472=0,1,VLOOKUP(A472,été_documents!$O$58:$R$61,4,FALSE))-1</f>
        <v>#REF!</v>
      </c>
      <c r="B473" s="167">
        <v>473</v>
      </c>
      <c r="C473" s="459" t="s">
        <v>1881</v>
      </c>
    </row>
    <row r="474" spans="1:8">
      <c r="A474" s="168" t="str">
        <f>Uebersicht!F31</f>
        <v>Pas d’exigence</v>
      </c>
      <c r="B474" s="167">
        <v>474</v>
      </c>
      <c r="C474" s="459" t="s">
        <v>1701</v>
      </c>
    </row>
    <row r="475" spans="1:8">
      <c r="A475" s="168" t="e">
        <f>Uebersicht!H31</f>
        <v>#REF!</v>
      </c>
      <c r="B475" s="167">
        <v>475</v>
      </c>
      <c r="C475" s="459" t="s">
        <v>1702</v>
      </c>
    </row>
    <row r="476" spans="1:8">
      <c r="A476" s="168" t="e">
        <f>Uebersicht!F37</f>
        <v>#REF!</v>
      </c>
      <c r="B476" s="167">
        <v>476</v>
      </c>
      <c r="C476" s="459" t="s">
        <v>1703</v>
      </c>
    </row>
    <row r="477" spans="1:8">
      <c r="A477" s="168" t="e">
        <f>Uebersicht!H37</f>
        <v>#REF!</v>
      </c>
      <c r="B477" s="167">
        <v>477</v>
      </c>
      <c r="C477" s="459" t="s">
        <v>1704</v>
      </c>
    </row>
    <row r="478" spans="1:8">
      <c r="A478" s="168" t="e">
        <f>Uebersicht!K37</f>
        <v>#REF!</v>
      </c>
      <c r="B478" s="167">
        <v>478</v>
      </c>
      <c r="C478" s="459" t="s">
        <v>1706</v>
      </c>
    </row>
    <row r="479" spans="1:8">
      <c r="A479" s="457" t="e">
        <f>IF(A478=0,1,VLOOKUP(A478,été_documents!$O$58:$R$61,4,FALSE))-1</f>
        <v>#REF!</v>
      </c>
      <c r="B479" s="167">
        <v>479</v>
      </c>
      <c r="C479" s="459" t="s">
        <v>1882</v>
      </c>
    </row>
    <row r="480" spans="1:8">
      <c r="A480" s="168" t="e">
        <f>Uebersicht!F38</f>
        <v>#REF!</v>
      </c>
      <c r="B480" s="167">
        <v>480</v>
      </c>
      <c r="C480" s="459" t="s">
        <v>1707</v>
      </c>
    </row>
    <row r="481" spans="1:8">
      <c r="A481" s="168" t="e">
        <f>Uebersicht!H38</f>
        <v>#REF!</v>
      </c>
      <c r="B481" s="167">
        <v>481</v>
      </c>
      <c r="C481" s="459" t="s">
        <v>1708</v>
      </c>
    </row>
    <row r="482" spans="1:8">
      <c r="A482" s="168" t="e">
        <f>Uebersicht!K38</f>
        <v>#REF!</v>
      </c>
      <c r="B482" s="167">
        <v>482</v>
      </c>
      <c r="C482" s="459" t="s">
        <v>1709</v>
      </c>
    </row>
    <row r="483" spans="1:8">
      <c r="A483" s="457" t="e">
        <f>IF(A482=0,1,VLOOKUP(A482,été_documents!$O$58:$R$61,4,FALSE))-1</f>
        <v>#REF!</v>
      </c>
      <c r="B483" s="167">
        <v>483</v>
      </c>
      <c r="C483" s="459" t="s">
        <v>1883</v>
      </c>
    </row>
    <row r="484" spans="1:8">
      <c r="A484" s="168">
        <f>Uebersicht!F39</f>
        <v>0</v>
      </c>
      <c r="B484" s="167">
        <v>484</v>
      </c>
      <c r="C484" s="459" t="s">
        <v>1710</v>
      </c>
    </row>
    <row r="485" spans="1:8">
      <c r="A485" s="168">
        <f>Uebersicht!H39</f>
        <v>0</v>
      </c>
      <c r="B485" s="167">
        <v>485</v>
      </c>
      <c r="C485" s="459" t="s">
        <v>1711</v>
      </c>
    </row>
    <row r="486" spans="1:8">
      <c r="A486" s="168" t="e">
        <f>Uebersicht!K39</f>
        <v>#REF!</v>
      </c>
      <c r="B486" s="167">
        <v>486</v>
      </c>
      <c r="C486" s="459" t="s">
        <v>1712</v>
      </c>
    </row>
    <row r="487" spans="1:8">
      <c r="A487" s="170" t="e">
        <f>IF(A486=0,1,VLOOKUP(A486,été_documents!$O$58:$R$61,4,FALSE))-1</f>
        <v>#REF!</v>
      </c>
      <c r="B487" s="463">
        <v>487</v>
      </c>
      <c r="C487" s="460" t="s">
        <v>1884</v>
      </c>
      <c r="D487" s="171"/>
      <c r="E487" s="171"/>
      <c r="F487" s="171"/>
      <c r="G487" s="171"/>
      <c r="H487" s="171"/>
    </row>
    <row r="488" spans="1:8">
      <c r="A488" s="168" t="e">
        <f>#REF!</f>
        <v>#REF!</v>
      </c>
      <c r="B488" s="167">
        <v>488</v>
      </c>
      <c r="C488" s="159" t="s">
        <v>1713</v>
      </c>
    </row>
    <row r="489" spans="1:8">
      <c r="A489" s="168" t="e">
        <f>#REF!</f>
        <v>#REF!</v>
      </c>
      <c r="B489" s="167">
        <v>489</v>
      </c>
      <c r="C489" s="159" t="s">
        <v>1715</v>
      </c>
    </row>
    <row r="490" spans="1:8">
      <c r="A490" s="168" t="e">
        <f>#REF!</f>
        <v>#REF!</v>
      </c>
      <c r="B490" s="167">
        <v>490</v>
      </c>
      <c r="C490" s="159" t="s">
        <v>1718</v>
      </c>
    </row>
    <row r="491" spans="1:8">
      <c r="A491" s="168" t="e">
        <f>#REF!</f>
        <v>#REF!</v>
      </c>
      <c r="B491" s="167">
        <v>491</v>
      </c>
      <c r="C491" s="159" t="s">
        <v>1714</v>
      </c>
    </row>
    <row r="492" spans="1:8">
      <c r="A492" s="168" t="e">
        <f>#REF!</f>
        <v>#REF!</v>
      </c>
      <c r="B492" s="167">
        <v>492</v>
      </c>
      <c r="C492" s="159" t="s">
        <v>1716</v>
      </c>
    </row>
    <row r="493" spans="1:8">
      <c r="A493" s="168" t="e">
        <f>#REF!</f>
        <v>#REF!</v>
      </c>
      <c r="B493" s="167">
        <v>493</v>
      </c>
      <c r="C493" s="159" t="s">
        <v>1717</v>
      </c>
    </row>
    <row r="494" spans="1:8">
      <c r="A494" s="168" t="e">
        <f>#REF!</f>
        <v>#REF!</v>
      </c>
      <c r="B494" s="167">
        <v>494</v>
      </c>
      <c r="C494" s="159" t="s">
        <v>1719</v>
      </c>
    </row>
    <row r="495" spans="1:8">
      <c r="A495" s="457" t="e">
        <f>IF(A494=0,1,VLOOKUP(A494,été_documents!$O$58:$R$61,4,FALSE))-1</f>
        <v>#REF!</v>
      </c>
      <c r="B495" s="167">
        <v>495</v>
      </c>
      <c r="C495" s="159" t="s">
        <v>1885</v>
      </c>
    </row>
    <row r="496" spans="1:8">
      <c r="A496" s="170" t="e">
        <f>#REF!</f>
        <v>#REF!</v>
      </c>
      <c r="B496" s="463">
        <v>496</v>
      </c>
      <c r="C496" s="461" t="s">
        <v>1720</v>
      </c>
      <c r="D496" s="171"/>
      <c r="E496" s="171"/>
      <c r="F496" s="171"/>
      <c r="G496" s="171"/>
      <c r="H496" s="171"/>
    </row>
    <row r="497" spans="1:3">
      <c r="A497" s="168" t="e">
        <f>#REF!</f>
        <v>#REF!</v>
      </c>
      <c r="B497" s="168">
        <v>497</v>
      </c>
      <c r="C497" s="159" t="s">
        <v>1889</v>
      </c>
    </row>
    <row r="498" spans="1:3">
      <c r="A498" s="168">
        <f>enveloppe_életricité!F81</f>
        <v>0</v>
      </c>
      <c r="B498" s="168">
        <v>498</v>
      </c>
      <c r="C498" s="459" t="s">
        <v>2121</v>
      </c>
    </row>
    <row r="499" spans="1:3">
      <c r="A499" s="457">
        <f>IF(A498=0,1,VLOOKUP(A498,été_documents!$O$58:$R$61,4,FALSE))-1</f>
        <v>0</v>
      </c>
      <c r="B499" s="168">
        <v>499</v>
      </c>
      <c r="C499" s="459" t="s">
        <v>2122</v>
      </c>
    </row>
    <row r="500" spans="1:3">
      <c r="A500" s="168">
        <f>enveloppe_életricité!G81</f>
        <v>0</v>
      </c>
      <c r="B500" s="168">
        <v>500</v>
      </c>
      <c r="C500" s="459" t="s">
        <v>2123</v>
      </c>
    </row>
    <row r="501" spans="1:3">
      <c r="A501" s="457">
        <f>IF(A500=0,1,VLOOKUP(A500,été_documents!$O$58:$R$61,4,FALSE))-1</f>
        <v>0</v>
      </c>
      <c r="B501" s="168">
        <v>501</v>
      </c>
      <c r="C501" s="459" t="s">
        <v>2124</v>
      </c>
    </row>
    <row r="502" spans="1:3">
      <c r="A502" s="168">
        <f>enveloppe_életricité!H81</f>
        <v>0</v>
      </c>
      <c r="B502" s="168">
        <v>502</v>
      </c>
      <c r="C502" s="459" t="s">
        <v>2125</v>
      </c>
    </row>
    <row r="503" spans="1:3">
      <c r="A503" s="457">
        <f>IF(A502=0,1,VLOOKUP(A502,été_documents!$O$58:$R$61,4,FALSE))-1</f>
        <v>0</v>
      </c>
      <c r="B503" s="168">
        <v>503</v>
      </c>
      <c r="C503" s="459" t="s">
        <v>2126</v>
      </c>
    </row>
    <row r="504" spans="1:3">
      <c r="A504" s="168">
        <f>enveloppe_életricité!I81</f>
        <v>0</v>
      </c>
      <c r="B504" s="168">
        <v>504</v>
      </c>
      <c r="C504" s="459" t="s">
        <v>2127</v>
      </c>
    </row>
    <row r="505" spans="1:3">
      <c r="A505" s="457">
        <f>IF(A504=0,1,VLOOKUP(A504,été_documents!$O$58:$R$61,4,FALSE))-1</f>
        <v>0</v>
      </c>
      <c r="B505" s="168">
        <v>505</v>
      </c>
      <c r="C505" s="459" t="s">
        <v>2128</v>
      </c>
    </row>
    <row r="506" spans="1:3">
      <c r="A506" s="168" t="e">
        <f>#REF!+#REF!+#REF!+#REF!</f>
        <v>#REF!</v>
      </c>
      <c r="B506" s="168">
        <v>506</v>
      </c>
      <c r="C506" s="459" t="s">
        <v>2129</v>
      </c>
    </row>
    <row r="507" spans="1:3">
      <c r="A507" s="168" t="e">
        <f>Uebersicht!K41</f>
        <v>#REF!</v>
      </c>
      <c r="B507" s="168">
        <v>507</v>
      </c>
      <c r="C507" s="459" t="s">
        <v>2135</v>
      </c>
    </row>
    <row r="508" spans="1:3">
      <c r="A508" s="457" t="e">
        <f>IF(A507=0,1,VLOOKUP(A507,été_documents!$O$58:$R$61,4,FALSE))-1</f>
        <v>#REF!</v>
      </c>
      <c r="B508" s="168">
        <v>508</v>
      </c>
      <c r="C508" s="459" t="s">
        <v>2136</v>
      </c>
    </row>
    <row r="509" spans="1:3">
      <c r="A509" s="168" t="e">
        <f>enveloppe_életricité!S17</f>
        <v>#REF!</v>
      </c>
      <c r="B509" s="168">
        <v>509</v>
      </c>
      <c r="C509" s="459" t="s">
        <v>2142</v>
      </c>
    </row>
    <row r="510" spans="1:3">
      <c r="A510" s="168" t="e">
        <f>Uebersicht!K48</f>
        <v>#REF!</v>
      </c>
      <c r="B510" s="168">
        <v>510</v>
      </c>
      <c r="C510" s="459" t="s">
        <v>2143</v>
      </c>
    </row>
    <row r="511" spans="1:3">
      <c r="A511" s="168" t="e">
        <f>Uebersicht!K52</f>
        <v>#REF!</v>
      </c>
      <c r="B511" s="168">
        <v>511</v>
      </c>
      <c r="C511" s="459" t="s">
        <v>2144</v>
      </c>
    </row>
    <row r="512" spans="1:3">
      <c r="A512" s="168" t="e">
        <f>Uebersicht!K54</f>
        <v>#REF!</v>
      </c>
      <c r="B512" s="168">
        <v>512</v>
      </c>
      <c r="C512" s="459" t="s">
        <v>2145</v>
      </c>
    </row>
    <row r="513" spans="1:3">
      <c r="A513" s="168" t="e">
        <f>Uebersicht!K56</f>
        <v>#REF!</v>
      </c>
      <c r="B513" s="168">
        <v>513</v>
      </c>
      <c r="C513" s="459" t="s">
        <v>2146</v>
      </c>
    </row>
    <row r="514" spans="1:3">
      <c r="A514" s="168" t="e">
        <f>Uebersicht!K58</f>
        <v>#REF!</v>
      </c>
      <c r="B514" s="168">
        <v>514</v>
      </c>
      <c r="C514" s="459" t="s">
        <v>2147</v>
      </c>
    </row>
    <row r="515" spans="1:3">
      <c r="A515" s="168" t="e">
        <f>Uebersicht!K60</f>
        <v>#REF!</v>
      </c>
      <c r="B515" s="168">
        <v>515</v>
      </c>
      <c r="C515" s="459" t="s">
        <v>2148</v>
      </c>
    </row>
    <row r="516" spans="1:3">
      <c r="A516" s="168" t="e">
        <f>Uebersicht!K62</f>
        <v>#REF!</v>
      </c>
      <c r="B516" s="168">
        <v>516</v>
      </c>
      <c r="C516" s="459" t="s">
        <v>2149</v>
      </c>
    </row>
    <row r="517" spans="1:3">
      <c r="A517" s="168" t="e">
        <f>#REF!</f>
        <v>#REF!</v>
      </c>
      <c r="B517" s="168">
        <v>517</v>
      </c>
      <c r="C517" s="459" t="s">
        <v>2150</v>
      </c>
    </row>
    <row r="518" spans="1:3">
      <c r="A518" s="168" t="e">
        <f>#REF!</f>
        <v>#REF!</v>
      </c>
      <c r="B518" s="168">
        <v>518</v>
      </c>
      <c r="C518" s="459" t="s">
        <v>2151</v>
      </c>
    </row>
    <row r="519" spans="1:3">
      <c r="A519" s="168" t="e">
        <f>#REF!</f>
        <v>#REF!</v>
      </c>
      <c r="B519" s="168">
        <v>519</v>
      </c>
      <c r="C519" s="459" t="s">
        <v>2156</v>
      </c>
    </row>
    <row r="520" spans="1:3">
      <c r="A520" s="168" t="e">
        <f>#REF!</f>
        <v>#REF!</v>
      </c>
      <c r="B520" s="168">
        <v>520</v>
      </c>
      <c r="C520" s="459" t="s">
        <v>2157</v>
      </c>
    </row>
    <row r="521" spans="1:3">
      <c r="A521" s="168" t="e">
        <f>#REF!</f>
        <v>#REF!</v>
      </c>
      <c r="B521" s="168">
        <v>521</v>
      </c>
      <c r="C521" s="459" t="s">
        <v>2158</v>
      </c>
    </row>
    <row r="522" spans="1:3">
      <c r="A522" s="168" t="e">
        <f>#REF!</f>
        <v>#REF!</v>
      </c>
      <c r="B522" s="168">
        <v>522</v>
      </c>
      <c r="C522" s="459" t="s">
        <v>2159</v>
      </c>
    </row>
    <row r="523" spans="1:3">
      <c r="A523" s="168" t="e">
        <f>#REF!</f>
        <v>#REF!</v>
      </c>
      <c r="B523" s="168">
        <v>523</v>
      </c>
      <c r="C523" s="459" t="s">
        <v>2160</v>
      </c>
    </row>
    <row r="524" spans="1:3">
      <c r="A524" s="168" t="e">
        <f>#REF!</f>
        <v>#REF!</v>
      </c>
      <c r="B524" s="168">
        <v>524</v>
      </c>
      <c r="C524" s="459" t="s">
        <v>2161</v>
      </c>
    </row>
    <row r="525" spans="1:3">
      <c r="A525" s="168" t="e">
        <f>#REF!</f>
        <v>#REF!</v>
      </c>
      <c r="B525" s="168">
        <v>525</v>
      </c>
      <c r="C525" s="459" t="s">
        <v>2165</v>
      </c>
    </row>
    <row r="526" spans="1:3">
      <c r="A526" s="168" t="e">
        <f>#REF!</f>
        <v>#REF!</v>
      </c>
      <c r="B526" s="168">
        <v>526</v>
      </c>
      <c r="C526" s="459" t="s">
        <v>2164</v>
      </c>
    </row>
    <row r="527" spans="1:3">
      <c r="A527" s="168" t="e">
        <f>#REF!</f>
        <v>#REF!</v>
      </c>
      <c r="B527" s="168">
        <v>527</v>
      </c>
      <c r="C527" s="459" t="s">
        <v>2163</v>
      </c>
    </row>
    <row r="528" spans="1:3">
      <c r="A528" s="168" t="e">
        <f>#REF!</f>
        <v>#REF!</v>
      </c>
      <c r="B528" s="168">
        <v>528</v>
      </c>
      <c r="C528" s="459" t="s">
        <v>2162</v>
      </c>
    </row>
    <row r="529" spans="1:3">
      <c r="A529" s="168" t="e">
        <f>#REF!</f>
        <v>#REF!</v>
      </c>
      <c r="B529" s="168">
        <v>529</v>
      </c>
      <c r="C529" s="459" t="s">
        <v>2166</v>
      </c>
    </row>
    <row r="530" spans="1:3">
      <c r="A530" s="168" t="e">
        <f>#REF!</f>
        <v>#REF!</v>
      </c>
      <c r="B530" s="168">
        <v>530</v>
      </c>
      <c r="C530" s="459" t="s">
        <v>2167</v>
      </c>
    </row>
    <row r="531" spans="1:3">
      <c r="A531" s="168" t="e">
        <f>Uebersicht!F42</f>
        <v>#REF!</v>
      </c>
      <c r="B531" s="168">
        <v>531</v>
      </c>
      <c r="C531" s="459" t="s">
        <v>2215</v>
      </c>
    </row>
    <row r="532" spans="1:3">
      <c r="A532" s="168" t="e">
        <f>Uebersicht!H42</f>
        <v>#REF!</v>
      </c>
      <c r="B532" s="168">
        <v>532</v>
      </c>
      <c r="C532" s="459" t="s">
        <v>2216</v>
      </c>
    </row>
    <row r="533" spans="1:3">
      <c r="A533" s="168" t="e">
        <f>Uebersicht!K42</f>
        <v>#REF!</v>
      </c>
      <c r="B533" s="168">
        <v>533</v>
      </c>
      <c r="C533" s="459" t="s">
        <v>2217</v>
      </c>
    </row>
    <row r="534" spans="1:3">
      <c r="A534" s="457" t="e">
        <f>IF(A533=0,1,VLOOKUP(A533,été_documents!$O$58:$R$61,4,FALSE))-1</f>
        <v>#REF!</v>
      </c>
      <c r="B534" s="168">
        <v>534</v>
      </c>
      <c r="C534" s="459" t="s">
        <v>2218</v>
      </c>
    </row>
    <row r="535" spans="1:3">
      <c r="A535" s="168" t="e">
        <f>Uebersicht!F43</f>
        <v>#REF!</v>
      </c>
      <c r="B535" s="168">
        <v>535</v>
      </c>
      <c r="C535" s="459" t="s">
        <v>2219</v>
      </c>
    </row>
    <row r="536" spans="1:3">
      <c r="A536" s="168" t="e">
        <f>Uebersicht!H43</f>
        <v>#REF!</v>
      </c>
      <c r="B536" s="168">
        <v>536</v>
      </c>
      <c r="C536" s="459" t="s">
        <v>2220</v>
      </c>
    </row>
    <row r="537" spans="1:3">
      <c r="A537" s="168" t="e">
        <f>Uebersicht!K43</f>
        <v>#REF!</v>
      </c>
      <c r="B537" s="168">
        <v>537</v>
      </c>
      <c r="C537" s="459" t="s">
        <v>2221</v>
      </c>
    </row>
    <row r="538" spans="1:3">
      <c r="A538" s="457" t="e">
        <f>IF(OR(A537="",A537=0),1,VLOOKUP(A537,été_documents!$O$58:$R$61,4,FALSE))-1</f>
        <v>#REF!</v>
      </c>
      <c r="B538" s="168">
        <v>538</v>
      </c>
      <c r="C538" s="459" t="s">
        <v>2222</v>
      </c>
    </row>
    <row r="539" spans="1:3">
      <c r="A539" s="173">
        <f>enveloppe_életricité!F18</f>
        <v>0</v>
      </c>
      <c r="B539" s="168">
        <v>539</v>
      </c>
      <c r="C539" s="459" t="s">
        <v>2262</v>
      </c>
    </row>
    <row r="540" spans="1:3">
      <c r="A540" s="173">
        <f>enveloppe_életricité!G19</f>
        <v>0</v>
      </c>
      <c r="B540" s="168">
        <v>540</v>
      </c>
      <c r="C540" s="459" t="s">
        <v>2263</v>
      </c>
    </row>
    <row r="541" spans="1:3">
      <c r="A541" s="173">
        <f>enveloppe_életricité!H19</f>
        <v>0</v>
      </c>
      <c r="B541" s="168">
        <v>541</v>
      </c>
      <c r="C541" s="459" t="s">
        <v>2264</v>
      </c>
    </row>
    <row r="542" spans="1:3">
      <c r="A542" s="173">
        <f>enveloppe_életricité!I19</f>
        <v>0</v>
      </c>
      <c r="B542" s="168">
        <v>542</v>
      </c>
      <c r="C542" s="459" t="s">
        <v>2265</v>
      </c>
    </row>
    <row r="543" spans="1:3">
      <c r="A543" s="168">
        <f>enveloppe_életricité!F30</f>
        <v>0</v>
      </c>
      <c r="B543" s="168">
        <v>543</v>
      </c>
      <c r="C543" s="459" t="s">
        <v>2355</v>
      </c>
    </row>
    <row r="544" spans="1:3">
      <c r="A544" s="168">
        <f>IF(A543=0,1,VLOOKUP(A543,enveloppe_életricité!$N$12:$P$14,3,FALSE))-1</f>
        <v>0</v>
      </c>
      <c r="B544" s="168">
        <v>544</v>
      </c>
      <c r="C544" s="459" t="s">
        <v>2359</v>
      </c>
    </row>
    <row r="545" spans="1:3">
      <c r="A545" s="168">
        <f>enveloppe_életricité!G18</f>
        <v>0</v>
      </c>
      <c r="B545" s="168">
        <v>545</v>
      </c>
      <c r="C545" s="459" t="s">
        <v>2356</v>
      </c>
    </row>
    <row r="546" spans="1:3">
      <c r="A546" s="168">
        <f>IF(A545=0,1,VLOOKUP(A545,enveloppe_életricité!$N$12:$P$14,3,FALSE))-1</f>
        <v>0</v>
      </c>
      <c r="B546" s="168">
        <v>546</v>
      </c>
      <c r="C546" s="459" t="s">
        <v>2360</v>
      </c>
    </row>
    <row r="547" spans="1:3">
      <c r="A547" s="168">
        <f>enveloppe_életricité!H18</f>
        <v>0</v>
      </c>
      <c r="B547" s="168">
        <v>547</v>
      </c>
      <c r="C547" s="459" t="s">
        <v>2357</v>
      </c>
    </row>
    <row r="548" spans="1:3">
      <c r="A548" s="168">
        <f>IF(A547=0,1,VLOOKUP(A547,enveloppe_életricité!$N$12:$P$14,3,FALSE))-1</f>
        <v>0</v>
      </c>
      <c r="B548" s="168">
        <v>548</v>
      </c>
      <c r="C548" s="459" t="s">
        <v>2361</v>
      </c>
    </row>
    <row r="549" spans="1:3">
      <c r="A549" s="168">
        <f>enveloppe_életricité!I18</f>
        <v>0</v>
      </c>
      <c r="B549" s="168">
        <v>549</v>
      </c>
      <c r="C549" s="459" t="s">
        <v>2358</v>
      </c>
    </row>
    <row r="550" spans="1:3">
      <c r="A550" s="168">
        <f>IF(A549=0,1,VLOOKUP(A549,enveloppe_életricité!$N$12:$P$14,3,FALSE))-1</f>
        <v>0</v>
      </c>
      <c r="B550" s="168">
        <v>550</v>
      </c>
      <c r="C550" s="459" t="s">
        <v>2362</v>
      </c>
    </row>
    <row r="551" spans="1:3">
      <c r="A551" s="168">
        <f>enveloppe_életricité!O57</f>
        <v>0</v>
      </c>
      <c r="B551" s="168">
        <v>551</v>
      </c>
      <c r="C551" s="459" t="s">
        <v>2363</v>
      </c>
    </row>
    <row r="552" spans="1:3">
      <c r="A552" s="168">
        <f>enveloppe_életricité!P57</f>
        <v>0</v>
      </c>
      <c r="B552" s="168">
        <v>552</v>
      </c>
      <c r="C552" s="459" t="s">
        <v>2364</v>
      </c>
    </row>
    <row r="553" spans="1:3">
      <c r="A553" s="168">
        <f>enveloppe_életricité!Q57</f>
        <v>0</v>
      </c>
      <c r="B553" s="168">
        <v>553</v>
      </c>
      <c r="C553" s="459" t="s">
        <v>2365</v>
      </c>
    </row>
    <row r="554" spans="1:3">
      <c r="A554" s="168">
        <f>enveloppe_életricité!R57</f>
        <v>0</v>
      </c>
      <c r="B554" s="168">
        <v>554</v>
      </c>
      <c r="C554" s="459" t="s">
        <v>2366</v>
      </c>
    </row>
    <row r="555" spans="1:3">
      <c r="A555" s="168" t="e">
        <f>enveloppe_életricité!S57</f>
        <v>#REF!</v>
      </c>
      <c r="B555" s="168">
        <v>555</v>
      </c>
      <c r="C555" s="459" t="s">
        <v>2367</v>
      </c>
    </row>
    <row r="556" spans="1:3">
      <c r="A556" s="168" t="e">
        <f>enveloppe_életricité!O95</f>
        <v>#REF!</v>
      </c>
      <c r="B556" s="168">
        <v>556</v>
      </c>
      <c r="C556" s="459" t="s">
        <v>2368</v>
      </c>
    </row>
    <row r="557" spans="1:3">
      <c r="A557" s="168" t="e">
        <f>enveloppe_életricité!P95</f>
        <v>#REF!</v>
      </c>
      <c r="B557" s="168">
        <v>557</v>
      </c>
      <c r="C557" s="459" t="s">
        <v>2369</v>
      </c>
    </row>
    <row r="558" spans="1:3">
      <c r="A558" s="168" t="e">
        <f>enveloppe_életricité!Q95</f>
        <v>#REF!</v>
      </c>
      <c r="B558" s="168">
        <v>558</v>
      </c>
      <c r="C558" s="459" t="s">
        <v>2370</v>
      </c>
    </row>
    <row r="559" spans="1:3">
      <c r="A559" s="168" t="e">
        <f>enveloppe_életricité!R95</f>
        <v>#REF!</v>
      </c>
      <c r="B559" s="168">
        <v>559</v>
      </c>
      <c r="C559" s="459" t="s">
        <v>2371</v>
      </c>
    </row>
    <row r="560" spans="1:3">
      <c r="A560" s="168" t="e">
        <f>enveloppe_életricité!S95</f>
        <v>#REF!</v>
      </c>
      <c r="B560" s="168">
        <v>560</v>
      </c>
      <c r="C560" s="459" t="s">
        <v>2372</v>
      </c>
    </row>
    <row r="561" spans="1:3">
      <c r="A561" s="168" t="e">
        <f>enveloppe_életricité!O90</f>
        <v>#REF!</v>
      </c>
      <c r="B561" s="168">
        <v>561</v>
      </c>
      <c r="C561" s="459" t="s">
        <v>2373</v>
      </c>
    </row>
    <row r="562" spans="1:3">
      <c r="A562" s="168" t="e">
        <f>enveloppe_életricité!P90</f>
        <v>#REF!</v>
      </c>
      <c r="B562" s="168">
        <v>562</v>
      </c>
      <c r="C562" s="459" t="s">
        <v>2374</v>
      </c>
    </row>
    <row r="563" spans="1:3">
      <c r="A563" s="168" t="e">
        <f>enveloppe_életricité!Q90</f>
        <v>#REF!</v>
      </c>
      <c r="B563" s="168">
        <v>563</v>
      </c>
      <c r="C563" s="459" t="s">
        <v>2375</v>
      </c>
    </row>
    <row r="564" spans="1:3">
      <c r="A564" s="168" t="e">
        <f>enveloppe_életricité!R90</f>
        <v>#REF!</v>
      </c>
      <c r="B564" s="168">
        <v>564</v>
      </c>
      <c r="C564" s="459" t="s">
        <v>2376</v>
      </c>
    </row>
    <row r="565" spans="1:3">
      <c r="A565" s="168" t="e">
        <f>enveloppe_életricité!S90</f>
        <v>#REF!</v>
      </c>
      <c r="B565" s="168">
        <v>565</v>
      </c>
      <c r="C565" s="459" t="s">
        <v>2377</v>
      </c>
    </row>
    <row r="566" spans="1:3">
      <c r="A566" s="168" t="e">
        <f>enveloppe_életricité!O69</f>
        <v>#REF!</v>
      </c>
      <c r="B566" s="168">
        <v>566</v>
      </c>
      <c r="C566" s="459" t="s">
        <v>2378</v>
      </c>
    </row>
    <row r="567" spans="1:3">
      <c r="A567" s="168" t="e">
        <f>enveloppe_életricité!P69</f>
        <v>#REF!</v>
      </c>
      <c r="B567" s="168">
        <v>567</v>
      </c>
      <c r="C567" s="459" t="s">
        <v>2379</v>
      </c>
    </row>
    <row r="568" spans="1:3">
      <c r="A568" s="168" t="e">
        <f>enveloppe_életricité!Q69</f>
        <v>#REF!</v>
      </c>
      <c r="B568" s="168">
        <v>568</v>
      </c>
      <c r="C568" s="459" t="s">
        <v>2380</v>
      </c>
    </row>
    <row r="569" spans="1:3">
      <c r="A569" s="168" t="e">
        <f>enveloppe_életricité!R69</f>
        <v>#REF!</v>
      </c>
      <c r="B569" s="168">
        <v>569</v>
      </c>
      <c r="C569" s="459" t="s">
        <v>2381</v>
      </c>
    </row>
    <row r="570" spans="1:3">
      <c r="A570" s="168" t="e">
        <f>enveloppe_életricité!S69</f>
        <v>#REF!</v>
      </c>
      <c r="B570" s="168">
        <v>570</v>
      </c>
      <c r="C570" s="459" t="s">
        <v>2382</v>
      </c>
    </row>
    <row r="571" spans="1:3">
      <c r="A571" s="168" t="e">
        <f>enveloppe_életricité!O60</f>
        <v>#REF!</v>
      </c>
      <c r="B571" s="168">
        <v>571</v>
      </c>
      <c r="C571" s="459" t="s">
        <v>2383</v>
      </c>
    </row>
    <row r="572" spans="1:3">
      <c r="A572" s="168" t="e">
        <f>enveloppe_életricité!P60</f>
        <v>#REF!</v>
      </c>
      <c r="B572" s="168">
        <v>572</v>
      </c>
      <c r="C572" s="459" t="s">
        <v>2384</v>
      </c>
    </row>
    <row r="573" spans="1:3">
      <c r="A573" s="168" t="e">
        <f>enveloppe_életricité!Q60</f>
        <v>#REF!</v>
      </c>
      <c r="B573" s="168">
        <v>573</v>
      </c>
      <c r="C573" s="459" t="s">
        <v>2385</v>
      </c>
    </row>
    <row r="574" spans="1:3">
      <c r="A574" s="168" t="e">
        <f>enveloppe_életricité!R60</f>
        <v>#REF!</v>
      </c>
      <c r="B574" s="168">
        <v>574</v>
      </c>
      <c r="C574" s="459" t="s">
        <v>2386</v>
      </c>
    </row>
    <row r="575" spans="1:3">
      <c r="A575" s="168" t="e">
        <f>enveloppe_életricité!S60</f>
        <v>#REF!</v>
      </c>
      <c r="B575" s="168">
        <v>575</v>
      </c>
      <c r="C575" s="459" t="s">
        <v>2387</v>
      </c>
    </row>
    <row r="576" spans="1:3">
      <c r="A576" s="168" t="e">
        <f>enveloppe_életricité!O46</f>
        <v>#REF!</v>
      </c>
      <c r="B576" s="168">
        <v>576</v>
      </c>
      <c r="C576" s="459" t="s">
        <v>2388</v>
      </c>
    </row>
    <row r="577" spans="1:3">
      <c r="A577" s="168" t="e">
        <f>enveloppe_életricité!P46</f>
        <v>#REF!</v>
      </c>
      <c r="B577" s="168">
        <v>577</v>
      </c>
      <c r="C577" s="459" t="s">
        <v>2389</v>
      </c>
    </row>
    <row r="578" spans="1:3">
      <c r="A578" s="168" t="e">
        <f>enveloppe_életricité!Q46</f>
        <v>#REF!</v>
      </c>
      <c r="B578" s="168">
        <v>578</v>
      </c>
      <c r="C578" s="459" t="s">
        <v>2390</v>
      </c>
    </row>
    <row r="579" spans="1:3">
      <c r="A579" s="168" t="e">
        <f>enveloppe_életricité!R46</f>
        <v>#REF!</v>
      </c>
      <c r="B579" s="168">
        <v>579</v>
      </c>
      <c r="C579" s="459" t="s">
        <v>2391</v>
      </c>
    </row>
    <row r="580" spans="1:3">
      <c r="A580" s="168" t="e">
        <f>enveloppe_életricité!S46</f>
        <v>#REF!</v>
      </c>
      <c r="B580" s="168">
        <v>580</v>
      </c>
      <c r="C580" s="459" t="s">
        <v>2392</v>
      </c>
    </row>
    <row r="581" spans="1:3">
      <c r="A581" s="173" t="e">
        <f>enveloppe_életricité!O17</f>
        <v>#REF!</v>
      </c>
      <c r="B581" s="168">
        <v>581</v>
      </c>
      <c r="C581" s="459" t="s">
        <v>2393</v>
      </c>
    </row>
    <row r="582" spans="1:3">
      <c r="A582" s="173" t="e">
        <f>enveloppe_életricité!P17</f>
        <v>#REF!</v>
      </c>
      <c r="B582" s="168">
        <v>582</v>
      </c>
      <c r="C582" s="459" t="s">
        <v>2394</v>
      </c>
    </row>
    <row r="583" spans="1:3">
      <c r="A583" s="173" t="e">
        <f>enveloppe_életricité!Q17</f>
        <v>#REF!</v>
      </c>
      <c r="B583" s="168">
        <v>583</v>
      </c>
      <c r="C583" s="459" t="s">
        <v>2395</v>
      </c>
    </row>
    <row r="584" spans="1:3">
      <c r="A584" s="173" t="e">
        <f>enveloppe_életricité!R17</f>
        <v>#REF!</v>
      </c>
      <c r="B584" s="168">
        <v>584</v>
      </c>
      <c r="C584" s="459" t="s">
        <v>2396</v>
      </c>
    </row>
    <row r="585" spans="1:3">
      <c r="A585" s="168" t="e">
        <f>enveloppe_életricité!S17</f>
        <v>#REF!</v>
      </c>
      <c r="B585" s="168">
        <v>585</v>
      </c>
      <c r="C585" s="459" t="s">
        <v>2397</v>
      </c>
    </row>
    <row r="586" spans="1:3">
      <c r="A586" s="173" t="e">
        <f>enveloppe_életricité!O20</f>
        <v>#REF!</v>
      </c>
      <c r="B586" s="168">
        <v>586</v>
      </c>
      <c r="C586" s="459" t="s">
        <v>2398</v>
      </c>
    </row>
    <row r="587" spans="1:3">
      <c r="A587" s="173" t="e">
        <f>enveloppe_életricité!P20</f>
        <v>#REF!</v>
      </c>
      <c r="B587" s="168">
        <v>587</v>
      </c>
      <c r="C587" s="459" t="s">
        <v>2399</v>
      </c>
    </row>
    <row r="588" spans="1:3">
      <c r="A588" s="173" t="e">
        <f>enveloppe_életricité!Q20</f>
        <v>#REF!</v>
      </c>
      <c r="B588" s="168">
        <v>588</v>
      </c>
      <c r="C588" s="459" t="s">
        <v>2400</v>
      </c>
    </row>
    <row r="589" spans="1:3">
      <c r="A589" s="173" t="e">
        <f>enveloppe_életricité!R20</f>
        <v>#REF!</v>
      </c>
      <c r="B589" s="168">
        <v>589</v>
      </c>
      <c r="C589" s="459" t="s">
        <v>2401</v>
      </c>
    </row>
    <row r="590" spans="1:3">
      <c r="A590" s="168" t="e">
        <f>enveloppe_életricité!S20</f>
        <v>#REF!</v>
      </c>
      <c r="B590" s="168">
        <v>590</v>
      </c>
      <c r="C590" s="459" t="s">
        <v>2402</v>
      </c>
    </row>
    <row r="591" spans="1:3">
      <c r="A591" s="168" t="e">
        <f>enveloppe_életricité!O99</f>
        <v>#REF!</v>
      </c>
      <c r="B591" s="168">
        <v>591</v>
      </c>
      <c r="C591" s="459" t="s">
        <v>2403</v>
      </c>
    </row>
    <row r="592" spans="1:3">
      <c r="A592" s="168" t="e">
        <f>enveloppe_életricité!P99</f>
        <v>#REF!</v>
      </c>
      <c r="B592" s="168">
        <v>592</v>
      </c>
      <c r="C592" s="459" t="s">
        <v>2404</v>
      </c>
    </row>
    <row r="593" spans="1:3">
      <c r="A593" s="168" t="e">
        <f>enveloppe_életricité!Q99</f>
        <v>#REF!</v>
      </c>
      <c r="B593" s="168">
        <v>593</v>
      </c>
      <c r="C593" s="459" t="s">
        <v>2405</v>
      </c>
    </row>
    <row r="594" spans="1:3">
      <c r="A594" s="168" t="e">
        <f>enveloppe_életricité!R99</f>
        <v>#REF!</v>
      </c>
      <c r="B594" s="168">
        <v>594</v>
      </c>
      <c r="C594" s="459" t="s">
        <v>2406</v>
      </c>
    </row>
    <row r="595" spans="1:3">
      <c r="A595" s="168" t="e">
        <f>enveloppe_életricité!S99</f>
        <v>#REF!</v>
      </c>
      <c r="B595" s="168">
        <v>595</v>
      </c>
      <c r="C595" s="459" t="s">
        <v>2407</v>
      </c>
    </row>
    <row r="596" spans="1:3">
      <c r="A596" s="168" t="e">
        <f>enveloppe_életricité!O100</f>
        <v>#REF!</v>
      </c>
      <c r="B596" s="168">
        <v>596</v>
      </c>
      <c r="C596" s="459" t="s">
        <v>2408</v>
      </c>
    </row>
    <row r="597" spans="1:3">
      <c r="A597" s="168" t="e">
        <f>enveloppe_életricité!P100</f>
        <v>#REF!</v>
      </c>
      <c r="B597" s="168">
        <v>597</v>
      </c>
      <c r="C597" s="459" t="s">
        <v>2409</v>
      </c>
    </row>
    <row r="598" spans="1:3">
      <c r="A598" s="168" t="e">
        <f>enveloppe_életricité!Q100</f>
        <v>#REF!</v>
      </c>
      <c r="B598" s="168">
        <v>598</v>
      </c>
      <c r="C598" s="459" t="s">
        <v>2410</v>
      </c>
    </row>
    <row r="599" spans="1:3">
      <c r="A599" s="168" t="e">
        <f>enveloppe_életricité!R100</f>
        <v>#REF!</v>
      </c>
      <c r="B599" s="168">
        <v>599</v>
      </c>
      <c r="C599" s="459" t="s">
        <v>2411</v>
      </c>
    </row>
    <row r="600" spans="1:3">
      <c r="A600" s="168" t="e">
        <f>enveloppe_életricité!S100</f>
        <v>#REF!</v>
      </c>
      <c r="B600" s="168">
        <v>600</v>
      </c>
      <c r="C600" s="459" t="s">
        <v>2412</v>
      </c>
    </row>
    <row r="601" spans="1:3">
      <c r="A601" s="168">
        <f>enveloppe_életricité!H96</f>
        <v>0</v>
      </c>
      <c r="B601" s="168">
        <v>601</v>
      </c>
      <c r="C601" s="459" t="s">
        <v>2322</v>
      </c>
    </row>
    <row r="602" spans="1:3">
      <c r="A602" s="168">
        <f>enveloppe_életricité!J96</f>
        <v>0</v>
      </c>
      <c r="B602" s="168">
        <v>602</v>
      </c>
      <c r="C602" s="459" t="s">
        <v>2323</v>
      </c>
    </row>
  </sheetData>
  <sheetProtection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opLeftCell="A9" workbookViewId="0">
      <selection activeCell="D33" sqref="D33"/>
    </sheetView>
  </sheetViews>
  <sheetFormatPr baseColWidth="10" defaultRowHeight="12.75"/>
  <cols>
    <col min="1" max="1" width="39.42578125" style="84" customWidth="1"/>
    <col min="2" max="11" width="11.42578125" style="84"/>
    <col min="12" max="16" width="11.42578125" style="84" hidden="1" customWidth="1"/>
    <col min="17" max="18" width="0" style="84" hidden="1" customWidth="1"/>
    <col min="19" max="16384" width="11.42578125" style="84"/>
  </cols>
  <sheetData>
    <row r="1" spans="1:18" ht="21" customHeight="1">
      <c r="A1" s="684" t="str">
        <f>Uebersetzung!D489</f>
        <v>Übertrag in das Rechentool PVopti</v>
      </c>
    </row>
    <row r="2" spans="1:18" ht="15" customHeight="1"/>
    <row r="3" spans="1:18" ht="15" customHeight="1" thickBot="1">
      <c r="C3" s="685" t="str">
        <f>Uebersetzung!D490</f>
        <v>Bitte den gelben Bereich kopieren und als Inhalt in PVopti einfügen:</v>
      </c>
      <c r="L3" s="29">
        <v>1</v>
      </c>
    </row>
    <row r="4" spans="1:18" ht="15" customHeight="1">
      <c r="A4" s="84" t="str">
        <f>Uebersetzung!D491</f>
        <v>MOP-Nr.: / Projektname: / Gebäudeadresse:</v>
      </c>
      <c r="C4" s="676" t="e">
        <f>IF(Projekt3&lt;&gt;"",Projekt3,"")</f>
        <v>#REF!</v>
      </c>
      <c r="D4" s="672" t="e">
        <f>IF(#REF!&lt;&gt;"",#REF!,"")</f>
        <v>#REF!</v>
      </c>
      <c r="E4" s="672"/>
      <c r="F4" s="672"/>
      <c r="G4" s="672" t="e">
        <f>IF(#REF!&lt;&gt;"",#REF!,"")</f>
        <v>#REF!</v>
      </c>
      <c r="H4" s="672"/>
      <c r="I4" s="663"/>
      <c r="L4" s="29">
        <v>2</v>
      </c>
      <c r="M4" s="84" t="s">
        <v>112</v>
      </c>
      <c r="P4" s="84" t="s">
        <v>173</v>
      </c>
      <c r="Q4" s="84" t="s">
        <v>1116</v>
      </c>
      <c r="R4" s="84" t="s">
        <v>2659</v>
      </c>
    </row>
    <row r="5" spans="1:18" ht="15" customHeight="1">
      <c r="A5" s="84" t="str">
        <f>Uebersetzung!D492</f>
        <v xml:space="preserve">Parz.-Nr.:   / Klimastation: / Gebäudestandort: </v>
      </c>
      <c r="C5" s="664" t="e">
        <f>IF(Projekt2&lt;&gt;"",Projekt2,"")</f>
        <v>#REF!</v>
      </c>
      <c r="D5" s="673" t="e">
        <f>IF(#REF!&lt;&gt;"",#REF!,"")</f>
        <v>#REF!</v>
      </c>
      <c r="E5" s="673"/>
      <c r="F5" s="673"/>
      <c r="G5" s="673" t="e">
        <f>IF(#REF!&lt;&gt;"",#REF!,"")</f>
        <v>#REF!</v>
      </c>
      <c r="H5" s="673"/>
      <c r="I5" s="665"/>
      <c r="L5" s="29">
        <v>3</v>
      </c>
      <c r="M5" s="84" t="s">
        <v>230</v>
      </c>
      <c r="P5" s="84" t="s">
        <v>174</v>
      </c>
      <c r="Q5" s="84" t="s">
        <v>1117</v>
      </c>
      <c r="R5" s="84" t="s">
        <v>2660</v>
      </c>
    </row>
    <row r="6" spans="1:18" ht="15" customHeight="1">
      <c r="C6" s="664"/>
      <c r="D6" s="666"/>
      <c r="E6" s="666"/>
      <c r="F6" s="666"/>
      <c r="G6" s="666"/>
      <c r="H6" s="666"/>
      <c r="I6" s="667"/>
      <c r="L6" s="29">
        <v>4</v>
      </c>
      <c r="M6" s="84" t="s">
        <v>231</v>
      </c>
      <c r="P6" s="84" t="s">
        <v>0</v>
      </c>
      <c r="Q6" s="84" t="s">
        <v>1118</v>
      </c>
      <c r="R6" s="84" t="s">
        <v>2661</v>
      </c>
    </row>
    <row r="7" spans="1:18" ht="15" customHeight="1">
      <c r="C7" s="664"/>
      <c r="D7" s="674"/>
      <c r="E7" s="674"/>
      <c r="F7" s="674"/>
      <c r="G7" s="674"/>
      <c r="H7" s="674"/>
      <c r="I7" s="675"/>
      <c r="L7" s="29">
        <v>5</v>
      </c>
      <c r="M7" s="84" t="s">
        <v>113</v>
      </c>
      <c r="P7" s="84" t="s">
        <v>176</v>
      </c>
      <c r="Q7" s="84" t="s">
        <v>1119</v>
      </c>
      <c r="R7" s="84" t="s">
        <v>2662</v>
      </c>
    </row>
    <row r="8" spans="1:18" ht="15" customHeight="1">
      <c r="A8" s="575" t="str">
        <f>Uebersetzung!D493</f>
        <v>Wärmeerzeuger</v>
      </c>
      <c r="C8" s="664"/>
      <c r="D8" s="666"/>
      <c r="E8" s="666"/>
      <c r="F8" s="666"/>
      <c r="G8" s="666"/>
      <c r="H8" s="666"/>
      <c r="I8" s="667"/>
      <c r="L8" s="29">
        <v>6</v>
      </c>
      <c r="M8" s="84" t="s">
        <v>232</v>
      </c>
      <c r="P8" s="84" t="s">
        <v>129</v>
      </c>
      <c r="Q8" s="84" t="s">
        <v>1120</v>
      </c>
      <c r="R8" s="84" t="s">
        <v>2663</v>
      </c>
    </row>
    <row r="9" spans="1:18" ht="15" customHeight="1">
      <c r="A9" s="84" t="str">
        <f>Uebersetzung!D494</f>
        <v>Erz. A</v>
      </c>
      <c r="B9" s="687"/>
      <c r="C9" s="686" t="e">
        <f>IF(#REF!&gt;1,INDEX($L$3:$M$48,#REF!,2),"")</f>
        <v>#REF!</v>
      </c>
      <c r="D9" s="674" t="e">
        <f>IF(#REF!&gt;0,#REF!/100,0)</f>
        <v>#REF!</v>
      </c>
      <c r="E9" s="674" t="e">
        <f>IF(#REF!&gt;0,#REF!/100,0)</f>
        <v>#REF!</v>
      </c>
      <c r="F9" s="674" t="e">
        <f>IF(AND(WirkungsgradA&gt;0,#REF!=1),WirkungsgradA,0)</f>
        <v>#REF!</v>
      </c>
      <c r="G9" s="674" t="e">
        <f>IF(AND(WirkungsgradA&gt;0,qw&gt;0,#REF!=1),WirkungsgradA,0)</f>
        <v>#REF!</v>
      </c>
      <c r="H9" s="674" t="e">
        <f>IF(#REF!,IF(#REF!&gt;0,#REF!,0),0)</f>
        <v>#REF!</v>
      </c>
      <c r="I9" s="675" t="e">
        <f>IF(#REF!,IF(AND(#REF!&gt;0,qw&gt;0),#REF!,0),0)</f>
        <v>#REF!</v>
      </c>
      <c r="L9" s="29">
        <v>7</v>
      </c>
      <c r="M9" s="84" t="s">
        <v>233</v>
      </c>
      <c r="P9" s="84" t="s">
        <v>398</v>
      </c>
      <c r="Q9" s="84" t="s">
        <v>398</v>
      </c>
      <c r="R9" s="84" t="s">
        <v>2664</v>
      </c>
    </row>
    <row r="10" spans="1:18" ht="15" customHeight="1">
      <c r="A10" s="84" t="str">
        <f>Uebersetzung!D495</f>
        <v>Erz. B</v>
      </c>
      <c r="C10" s="686" t="e">
        <f>IF(#REF!&gt;1,INDEX($L$3:$M$48,#REF!,2),"")</f>
        <v>#REF!</v>
      </c>
      <c r="D10" s="674" t="e">
        <f>IF(#REF!&gt;0,#REF!/100,0)</f>
        <v>#REF!</v>
      </c>
      <c r="E10" s="674" t="e">
        <f>IF(#REF!&gt;0,#REF!/100,0)</f>
        <v>#REF!</v>
      </c>
      <c r="F10" s="674" t="e">
        <f>IF(AND(WirkungsgradB&gt;0,#REF!=1),WirkungsgradB,0)</f>
        <v>#REF!</v>
      </c>
      <c r="G10" s="674" t="e">
        <f>IF(AND(WirkungsgradB&gt;0,qw&gt;0,#REF!=1),WirkungsgradB,0)</f>
        <v>#REF!</v>
      </c>
      <c r="H10" s="674" t="e">
        <f>IF(#REF!,IF(#REF!&gt;0,#REF!,0),0)</f>
        <v>#REF!</v>
      </c>
      <c r="I10" s="675" t="e">
        <f>IF(#REF!,IF(AND(#REF!&gt;0,qw&gt;0),#REF!,0),0)</f>
        <v>#REF!</v>
      </c>
      <c r="L10" s="29">
        <v>8</v>
      </c>
      <c r="M10" s="84" t="s">
        <v>114</v>
      </c>
      <c r="P10" s="84" t="s">
        <v>399</v>
      </c>
      <c r="Q10" s="84" t="s">
        <v>1121</v>
      </c>
      <c r="R10" s="84" t="s">
        <v>2665</v>
      </c>
    </row>
    <row r="11" spans="1:18" ht="15" customHeight="1">
      <c r="A11" s="84" t="str">
        <f>Uebersetzung!D496</f>
        <v>Erz. C</v>
      </c>
      <c r="C11" s="686" t="e">
        <f>IF(#REF!&gt;1,INDEX($L$3:$M$48,#REF!,2),"")</f>
        <v>#REF!</v>
      </c>
      <c r="D11" s="674" t="e">
        <f>IF(#REF!&gt;0,#REF!/100,0)</f>
        <v>#REF!</v>
      </c>
      <c r="E11" s="674" t="e">
        <f>IF(#REF!&gt;0,#REF!/100,0)</f>
        <v>#REF!</v>
      </c>
      <c r="F11" s="674" t="e">
        <f>IF(AND(WirkungsgradC&gt;0,#REF!=1),WirkungsgradC,0)</f>
        <v>#REF!</v>
      </c>
      <c r="G11" s="674" t="e">
        <f>IF(AND(WirkungsgradC&gt;0,qw&gt;0,#REF!=1),WirkungsgradC,0)</f>
        <v>#REF!</v>
      </c>
      <c r="H11" s="674" t="e">
        <f>IF(#REF!,IF(#REF!&gt;0,#REF!,0),0)</f>
        <v>#REF!</v>
      </c>
      <c r="I11" s="675" t="e">
        <f>IF(#REF!,IF(AND(#REF!&gt;0,qw&gt;0),#REF!,0),0)</f>
        <v>#REF!</v>
      </c>
      <c r="L11" s="29">
        <v>9</v>
      </c>
      <c r="M11" s="84" t="s">
        <v>160</v>
      </c>
      <c r="P11" s="84" t="s">
        <v>130</v>
      </c>
      <c r="Q11" s="84" t="s">
        <v>1122</v>
      </c>
      <c r="R11" s="84" t="s">
        <v>2666</v>
      </c>
    </row>
    <row r="12" spans="1:18" ht="15" customHeight="1">
      <c r="A12" s="84" t="str">
        <f>Uebersetzung!D497</f>
        <v>Erz. D</v>
      </c>
      <c r="C12" s="686" t="e">
        <f>IF(#REF!&gt;1,INDEX($L$3:$M$48,#REF!,2),"")</f>
        <v>#REF!</v>
      </c>
      <c r="D12" s="674" t="e">
        <f>IF(#REF!&gt;0,#REF!/100,0)</f>
        <v>#REF!</v>
      </c>
      <c r="E12" s="674" t="e">
        <f>IF(#REF!&gt;0,#REF!/100,0)</f>
        <v>#REF!</v>
      </c>
      <c r="F12" s="674" t="e">
        <f>IF(AND(WirkungsgradD&gt;0,#REF!=1),WirkungsgradD,0)</f>
        <v>#REF!</v>
      </c>
      <c r="G12" s="674" t="e">
        <f>IF(AND(WirkungsgradD&gt;0,qw&gt;0,#REF!=1),WirkungsgradD,0)</f>
        <v>#REF!</v>
      </c>
      <c r="H12" s="674" t="e">
        <f>IF(#REF!,IF(#REF!&gt;0,#REF!,0),0)</f>
        <v>#REF!</v>
      </c>
      <c r="I12" s="675" t="e">
        <f>IF(#REF!,IF(AND(#REF!&gt;0,qw&gt;0),#REF!,0),0)</f>
        <v>#REF!</v>
      </c>
      <c r="L12" s="29">
        <v>10</v>
      </c>
      <c r="M12" s="84" t="s">
        <v>4</v>
      </c>
      <c r="P12" s="84" t="s">
        <v>241</v>
      </c>
      <c r="Q12" s="84" t="s">
        <v>241</v>
      </c>
      <c r="R12" s="84" t="s">
        <v>2667</v>
      </c>
    </row>
    <row r="13" spans="1:18" ht="15" customHeight="1">
      <c r="C13" s="686" t="e">
        <f>IF(#REF!&lt;&gt;"",#REF!,"")</f>
        <v>#REF!</v>
      </c>
      <c r="D13" s="674" t="e">
        <f>IF(#REF!&gt;0,#REF!/100,"")</f>
        <v>#REF!</v>
      </c>
      <c r="E13" s="674" t="e">
        <f>IF(#REF!&gt;0,#REF!/100,"")</f>
        <v>#REF!</v>
      </c>
      <c r="F13" s="674"/>
      <c r="G13" s="674"/>
      <c r="H13" s="666"/>
      <c r="I13" s="667"/>
      <c r="L13" s="29">
        <v>11</v>
      </c>
      <c r="M13" s="84" t="s">
        <v>799</v>
      </c>
      <c r="P13" s="84" t="s">
        <v>131</v>
      </c>
      <c r="Q13" s="84" t="s">
        <v>1123</v>
      </c>
      <c r="R13" s="84" t="s">
        <v>2668</v>
      </c>
    </row>
    <row r="14" spans="1:18" ht="15" customHeight="1">
      <c r="A14" s="84" t="str">
        <f>Uebersetzung!D498</f>
        <v>Nutzbare Kapazität (kWh)</v>
      </c>
      <c r="B14" s="84" t="s">
        <v>333</v>
      </c>
      <c r="C14" s="677" t="str">
        <f>IF(enveloppe_életricité!H96&gt;0,enveloppe_életricité!H96,"")</f>
        <v/>
      </c>
      <c r="D14" s="666"/>
      <c r="E14" s="666"/>
      <c r="F14" s="666"/>
      <c r="G14" s="666"/>
      <c r="H14" s="666"/>
      <c r="I14" s="667"/>
      <c r="L14" s="29">
        <v>12</v>
      </c>
      <c r="M14" s="84" t="s">
        <v>106</v>
      </c>
      <c r="P14" s="84" t="s">
        <v>132</v>
      </c>
      <c r="Q14" s="84" t="s">
        <v>1124</v>
      </c>
      <c r="R14" s="84" t="s">
        <v>2669</v>
      </c>
    </row>
    <row r="15" spans="1:18" ht="15" customHeight="1">
      <c r="C15" s="664"/>
      <c r="D15" s="666"/>
      <c r="E15" s="666"/>
      <c r="F15" s="666"/>
      <c r="G15" s="666"/>
      <c r="H15" s="666"/>
      <c r="I15" s="667"/>
      <c r="L15" s="29">
        <v>13</v>
      </c>
      <c r="M15" s="84" t="s">
        <v>20</v>
      </c>
    </row>
    <row r="16" spans="1:18" ht="15" customHeight="1">
      <c r="A16" s="575" t="str">
        <f>Uebersetzung!D499</f>
        <v>Zone</v>
      </c>
      <c r="C16" s="668">
        <v>1</v>
      </c>
      <c r="D16" s="669">
        <v>2</v>
      </c>
      <c r="E16" s="669">
        <v>3</v>
      </c>
      <c r="F16" s="669">
        <v>4</v>
      </c>
      <c r="G16" s="666"/>
      <c r="H16" s="666"/>
      <c r="I16" s="667"/>
      <c r="L16" s="29">
        <v>14</v>
      </c>
      <c r="M16" s="84" t="s">
        <v>86</v>
      </c>
    </row>
    <row r="17" spans="1:13" ht="15" customHeight="1">
      <c r="A17" s="84" t="str">
        <f>Uebersetzung!D500</f>
        <v>Gebäudekategorie</v>
      </c>
      <c r="B17" s="84" t="s">
        <v>2637</v>
      </c>
      <c r="C17" s="677" t="e">
        <f>IF(#REF!&lt;&gt;"",INDEX(P3:R15,Kategorie1,Uebersetzung!$A$1),"")</f>
        <v>#REF!</v>
      </c>
      <c r="D17" s="674" t="e">
        <f>IF(#REF!&lt;&gt;"",INDEX(P3:R15,Kategorie2,Uebersetzung!$A$1),"")</f>
        <v>#REF!</v>
      </c>
      <c r="E17" s="674" t="e">
        <f>IF(#REF!&lt;&gt;"",INDEX(P3:R15,Kategorie3,Uebersetzung!$A$1),"")</f>
        <v>#REF!</v>
      </c>
      <c r="F17" s="674" t="e">
        <f>IF(#REF!&lt;&gt;"",INDEX(P3:R15,Kategorie4,Uebersetzung!$A$1),"")</f>
        <v>#REF!</v>
      </c>
      <c r="G17" s="666"/>
      <c r="H17" s="666"/>
      <c r="I17" s="667"/>
      <c r="L17" s="29">
        <v>15</v>
      </c>
      <c r="M17" s="84" t="s">
        <v>196</v>
      </c>
    </row>
    <row r="18" spans="1:13" ht="15" customHeight="1">
      <c r="A18" s="84" t="str">
        <f>Uebersetzung!D501</f>
        <v>Energiebezugsfläche EBF (m2)</v>
      </c>
      <c r="C18" s="677" t="e">
        <f>IF(#REF!&lt;&gt;"",#REF!,0)</f>
        <v>#REF!</v>
      </c>
      <c r="D18" s="674" t="e">
        <f>IF(#REF!&lt;&gt;"",#REF!,0)</f>
        <v>#REF!</v>
      </c>
      <c r="E18" s="674" t="e">
        <f>IF(#REF!&lt;&gt;"",#REF!,0)</f>
        <v>#REF!</v>
      </c>
      <c r="F18" s="674" t="e">
        <f>IF(#REF!&lt;&gt;"",#REF!,0)</f>
        <v>#REF!</v>
      </c>
      <c r="G18" s="666"/>
      <c r="H18" s="666"/>
      <c r="I18" s="667"/>
      <c r="L18" s="29">
        <v>16</v>
      </c>
      <c r="M18" s="84" t="s">
        <v>226</v>
      </c>
    </row>
    <row r="19" spans="1:13" ht="15" customHeight="1">
      <c r="A19" s="84" t="str">
        <f>Uebersetzung!D502</f>
        <v>Neubau</v>
      </c>
      <c r="C19" s="677" t="e">
        <f>IF(#REF!&lt;&gt;"",IF(Neubau1=2,1,IF(Neubau1=3,0,"")),"")</f>
        <v>#REF!</v>
      </c>
      <c r="D19" s="674" t="e">
        <f>IF(#REF!&lt;&gt;"",IF(Neubau2=2,1,IF(Neubau2=3,0,"")),"")</f>
        <v>#REF!</v>
      </c>
      <c r="E19" s="674" t="e">
        <f>IF(#REF!&lt;&gt;"",IF(Neubau3=2,1,IF(Neubau3=3,0,"")),"")</f>
        <v>#REF!</v>
      </c>
      <c r="F19" s="674" t="e">
        <f>IF(#REF!&lt;&gt;"",IF(Neubau4=2,1,IF(Neubau4=3,0,"")),"")</f>
        <v>#REF!</v>
      </c>
      <c r="G19" s="666"/>
      <c r="H19" s="666"/>
      <c r="I19" s="667"/>
      <c r="L19" s="29">
        <v>17</v>
      </c>
      <c r="M19" s="84" t="s">
        <v>234</v>
      </c>
    </row>
    <row r="20" spans="1:13" ht="15" customHeight="1">
      <c r="A20" s="84" t="str">
        <f>Uebersetzung!D503</f>
        <v>Warmwasser Rechenwert</v>
      </c>
      <c r="B20" s="84" t="s">
        <v>256</v>
      </c>
      <c r="C20" s="678">
        <f>IF(enveloppe_életricité!F18&lt;&gt;0,enveloppe_életricité!F18,0)</f>
        <v>0</v>
      </c>
      <c r="D20" s="679">
        <f>IF(enveloppe_életricité!G19&lt;&gt;0,enveloppe_életricité!G19,0)</f>
        <v>0</v>
      </c>
      <c r="E20" s="679">
        <f>IF(enveloppe_életricité!H19&lt;&gt;0,enveloppe_életricité!H19,0)</f>
        <v>0</v>
      </c>
      <c r="F20" s="679">
        <f>IF(enveloppe_életricité!I19&lt;&gt;0,enveloppe_életricité!I19,0)</f>
        <v>0</v>
      </c>
      <c r="G20" s="666"/>
      <c r="H20" s="666"/>
      <c r="I20" s="667"/>
      <c r="L20" s="29">
        <v>18</v>
      </c>
      <c r="M20" s="84" t="s">
        <v>235</v>
      </c>
    </row>
    <row r="21" spans="1:13" ht="15" customHeight="1">
      <c r="A21" s="84" t="str">
        <f>Uebersetzung!D504</f>
        <v xml:space="preserve"> </v>
      </c>
      <c r="C21" s="664"/>
      <c r="D21" s="666"/>
      <c r="E21" s="666"/>
      <c r="F21" s="666"/>
      <c r="G21" s="666"/>
      <c r="H21" s="666"/>
      <c r="I21" s="667"/>
      <c r="L21" s="29">
        <v>19</v>
      </c>
      <c r="M21" s="84" t="s">
        <v>89</v>
      </c>
    </row>
    <row r="22" spans="1:13" ht="15" customHeight="1">
      <c r="A22" s="84" t="str">
        <f>Uebersetzung!D505</f>
        <v>Klimakälte</v>
      </c>
      <c r="B22" s="84" t="s">
        <v>256</v>
      </c>
      <c r="C22" s="678" t="e">
        <f>IF(#REF!&lt;&gt;0,#REF!,0)</f>
        <v>#REF!</v>
      </c>
      <c r="D22" s="679" t="e">
        <f>IF(#REF!&lt;&gt;0,#REF!,0)</f>
        <v>#REF!</v>
      </c>
      <c r="E22" s="679" t="e">
        <f>IF(#REF!&lt;&gt;0,#REF!,0)</f>
        <v>#REF!</v>
      </c>
      <c r="F22" s="679" t="e">
        <f>IF(#REF!&lt;&gt;0,#REF!,0)</f>
        <v>#REF!</v>
      </c>
      <c r="G22" s="666"/>
      <c r="H22" s="666"/>
      <c r="I22" s="667"/>
      <c r="L22" s="29">
        <v>20</v>
      </c>
      <c r="M22" s="84" t="s">
        <v>90</v>
      </c>
    </row>
    <row r="23" spans="1:13" ht="15" customHeight="1">
      <c r="A23" s="84" t="str">
        <f>Uebersetzung!D506</f>
        <v>Lüftung</v>
      </c>
      <c r="B23" s="84" t="s">
        <v>256</v>
      </c>
      <c r="C23" s="678" t="e">
        <f>IF(#REF!&lt;&gt;0,#REF!,0)</f>
        <v>#REF!</v>
      </c>
      <c r="D23" s="679" t="e">
        <f>IF(#REF!&lt;&gt;0,#REF!,0)</f>
        <v>#REF!</v>
      </c>
      <c r="E23" s="679" t="e">
        <f>IF(#REF!&lt;&gt;0,#REF!,0)</f>
        <v>#REF!</v>
      </c>
      <c r="F23" s="679" t="e">
        <f>IF(#REF!&lt;&gt;0,#REF!,0)</f>
        <v>#REF!</v>
      </c>
      <c r="G23" s="666"/>
      <c r="H23" s="666"/>
      <c r="I23" s="667"/>
      <c r="L23" s="29">
        <v>21</v>
      </c>
      <c r="M23" s="84" t="s">
        <v>91</v>
      </c>
    </row>
    <row r="24" spans="1:13" ht="15" customHeight="1">
      <c r="A24" s="84" t="str">
        <f>Uebersetzung!D507</f>
        <v>Anzahl Wohneinheiten</v>
      </c>
      <c r="C24" s="677" t="e">
        <f>IF(AND(enveloppe_életricité!#REF!&gt;0,wohnen1),enveloppe_életricité!#REF!,0)</f>
        <v>#REF!</v>
      </c>
      <c r="D24" s="674" t="e">
        <f>IF(AND(enveloppe_életricité!G32&gt;0,wohnen2),enveloppe_életricité!G32,0)</f>
        <v>#REF!</v>
      </c>
      <c r="E24" s="674" t="e">
        <f>IF(AND(enveloppe_életricité!H32&gt;0,wohnen3),enveloppe_életricité!H32,0)</f>
        <v>#REF!</v>
      </c>
      <c r="F24" s="674" t="e">
        <f>IF(AND(enveloppe_életricité!I32&gt;0,wohnen4),enveloppe_életricité!I32,0)</f>
        <v>#REF!</v>
      </c>
      <c r="G24" s="666"/>
      <c r="H24" s="666"/>
      <c r="I24" s="667"/>
      <c r="L24" s="29">
        <v>22</v>
      </c>
      <c r="M24" s="84" t="s">
        <v>92</v>
      </c>
    </row>
    <row r="25" spans="1:13" ht="15" customHeight="1">
      <c r="A25" s="84" t="str">
        <f>Uebersetzung!D508</f>
        <v>Bedarf Lift</v>
      </c>
      <c r="B25" s="84" t="s">
        <v>256</v>
      </c>
      <c r="C25" s="689" t="e">
        <f>IF(AND(#REF!&gt;0,enveloppe_életricité!O34&gt;0),enveloppe_életricité!O34/#REF!,0)</f>
        <v>#REF!</v>
      </c>
      <c r="D25" s="690" t="e">
        <f>IF(AND(#REF!&gt;0,enveloppe_életricité!P34&gt;0),enveloppe_életricité!P34/#REF!,0)</f>
        <v>#REF!</v>
      </c>
      <c r="E25" s="690" t="e">
        <f>IF(AND(#REF!&gt;0,enveloppe_életricité!Q34&gt;0),enveloppe_életricité!Q34/#REF!,0)</f>
        <v>#REF!</v>
      </c>
      <c r="F25" s="690" t="e">
        <f>IF(AND(#REF!&gt;0,enveloppe_életricité!R34&gt;0),enveloppe_életricité!R34/#REF!,0)</f>
        <v>#REF!</v>
      </c>
      <c r="G25" s="666"/>
      <c r="H25" s="666"/>
      <c r="I25" s="667"/>
      <c r="L25" s="29">
        <v>23</v>
      </c>
      <c r="M25" s="84" t="s">
        <v>87</v>
      </c>
    </row>
    <row r="26" spans="1:13" ht="15" customHeight="1">
      <c r="A26" s="84" t="str">
        <f>Uebersetzung!D509</f>
        <v>Bedarf Heizbänder</v>
      </c>
      <c r="B26" s="84" t="s">
        <v>256</v>
      </c>
      <c r="C26" s="677">
        <v>0</v>
      </c>
      <c r="D26" s="674">
        <v>0</v>
      </c>
      <c r="E26" s="674">
        <v>0</v>
      </c>
      <c r="F26" s="674">
        <v>0</v>
      </c>
      <c r="G26" s="666"/>
      <c r="H26" s="666"/>
      <c r="I26" s="667"/>
      <c r="L26" s="29">
        <v>24</v>
      </c>
      <c r="M26" s="84" t="s">
        <v>93</v>
      </c>
    </row>
    <row r="27" spans="1:13" ht="15" customHeight="1">
      <c r="A27" s="84" t="str">
        <f>Uebersetzung!D510</f>
        <v>Reduktion Geschirrspüler</v>
      </c>
      <c r="B27" s="84" t="s">
        <v>2192</v>
      </c>
      <c r="C27" s="677">
        <f>1-enveloppe_életricité!O35</f>
        <v>1</v>
      </c>
      <c r="D27" s="674" t="e">
        <f>IF(D$18&lt;&gt;"",1-enveloppe_életricité!P35,1)</f>
        <v>#REF!</v>
      </c>
      <c r="E27" s="674" t="e">
        <f>IF(E$18&lt;&gt;"",1-enveloppe_életricité!Q35,1)</f>
        <v>#REF!</v>
      </c>
      <c r="F27" s="674" t="e">
        <f>IF(F$18&lt;&gt;"",1-enveloppe_életricité!R35,1)</f>
        <v>#REF!</v>
      </c>
      <c r="G27" s="666"/>
      <c r="H27" s="666"/>
      <c r="I27" s="667"/>
      <c r="L27" s="29">
        <v>25</v>
      </c>
      <c r="M27" s="84" t="s">
        <v>252</v>
      </c>
    </row>
    <row r="28" spans="1:13" ht="15" customHeight="1">
      <c r="A28" s="84" t="str">
        <f>Uebersetzung!D511</f>
        <v>Reduktion Kühl- und Gefrierschränke</v>
      </c>
      <c r="B28" s="84" t="s">
        <v>2192</v>
      </c>
      <c r="C28" s="677">
        <f>1-enveloppe_életricité!O36</f>
        <v>1</v>
      </c>
      <c r="D28" s="674" t="e">
        <f>IF(D$18&lt;&gt;"",1-enveloppe_életricité!P36,1)</f>
        <v>#REF!</v>
      </c>
      <c r="E28" s="674" t="e">
        <f>IF(E$18&lt;&gt;"",1-enveloppe_életricité!Q36,1)</f>
        <v>#REF!</v>
      </c>
      <c r="F28" s="674" t="e">
        <f>IF(F$18&lt;&gt;"",1-enveloppe_életricité!R36,1)</f>
        <v>#REF!</v>
      </c>
      <c r="G28" s="666"/>
      <c r="H28" s="666"/>
      <c r="I28" s="667"/>
      <c r="L28" s="29">
        <v>26</v>
      </c>
      <c r="M28" s="84" t="s">
        <v>253</v>
      </c>
    </row>
    <row r="29" spans="1:13" ht="15" customHeight="1">
      <c r="A29" s="84" t="str">
        <f>Uebersetzung!D512</f>
        <v>Reduktion Waschmaschine</v>
      </c>
      <c r="B29" s="84" t="s">
        <v>2192</v>
      </c>
      <c r="C29" s="677">
        <f>1-enveloppe_életricité!O37</f>
        <v>1</v>
      </c>
      <c r="D29" s="674" t="e">
        <f>IF(D$18&lt;&gt;"",1-enveloppe_életricité!P37,1)</f>
        <v>#REF!</v>
      </c>
      <c r="E29" s="674" t="e">
        <f>IF(E$18&lt;&gt;"",1-enveloppe_életricité!Q37,1)</f>
        <v>#REF!</v>
      </c>
      <c r="F29" s="674" t="e">
        <f>IF(F$18&lt;&gt;"",1-enveloppe_életricité!R37,1)</f>
        <v>#REF!</v>
      </c>
      <c r="G29" s="666"/>
      <c r="H29" s="666"/>
      <c r="I29" s="667"/>
      <c r="L29" s="29">
        <v>27</v>
      </c>
      <c r="M29" s="84" t="s">
        <v>143</v>
      </c>
    </row>
    <row r="30" spans="1:13" ht="15" customHeight="1">
      <c r="A30" s="84" t="str">
        <f>Uebersetzung!D513</f>
        <v>Reduktion Wäschetrockner</v>
      </c>
      <c r="B30" s="84" t="s">
        <v>2192</v>
      </c>
      <c r="C30" s="677">
        <f>1-enveloppe_életricité!O38</f>
        <v>1</v>
      </c>
      <c r="D30" s="674" t="e">
        <f>IF(D$18&lt;&gt;"",1-enveloppe_életricité!P38,1)</f>
        <v>#REF!</v>
      </c>
      <c r="E30" s="674" t="e">
        <f>IF(E$18&lt;&gt;"",1-enveloppe_életricité!Q38,1)</f>
        <v>#REF!</v>
      </c>
      <c r="F30" s="674" t="e">
        <f>IF(F$18&lt;&gt;"",1-enveloppe_életricité!R38,1)</f>
        <v>#REF!</v>
      </c>
      <c r="G30" s="666"/>
      <c r="H30" s="666"/>
      <c r="I30" s="667"/>
      <c r="L30" s="29">
        <v>28</v>
      </c>
      <c r="M30" s="84" t="s">
        <v>213</v>
      </c>
    </row>
    <row r="31" spans="1:13" ht="15" customHeight="1">
      <c r="A31" s="84" t="str">
        <f>Uebersetzung!D514</f>
        <v>Reduktion Induktionskochherde</v>
      </c>
      <c r="B31" s="84" t="s">
        <v>2192</v>
      </c>
      <c r="C31" s="677">
        <f>1-enveloppe_életricité!O39</f>
        <v>1</v>
      </c>
      <c r="D31" s="674" t="e">
        <f>IF(D$18&lt;&gt;"",1-enveloppe_életricité!P39,1)</f>
        <v>#REF!</v>
      </c>
      <c r="E31" s="674" t="e">
        <f>IF(E$18&lt;&gt;"",1-enveloppe_életricité!Q39,1)</f>
        <v>#REF!</v>
      </c>
      <c r="F31" s="674" t="e">
        <f>IF(F$18&lt;&gt;"",1-enveloppe_életricité!R39,1)</f>
        <v>#REF!</v>
      </c>
      <c r="G31" s="666"/>
      <c r="H31" s="666"/>
      <c r="I31" s="667"/>
      <c r="L31" s="29">
        <v>29</v>
      </c>
      <c r="M31" s="84" t="s">
        <v>141</v>
      </c>
    </row>
    <row r="32" spans="1:13" ht="15" customHeight="1">
      <c r="A32" s="84" t="str">
        <f>Uebersetzung!D515</f>
        <v>Reduktion Wohnungsbeleuchtung</v>
      </c>
      <c r="B32" s="84" t="s">
        <v>2192</v>
      </c>
      <c r="C32" s="677">
        <f>1-enveloppe_életricité!O40</f>
        <v>1</v>
      </c>
      <c r="D32" s="674" t="e">
        <f>IF(D$18&lt;&gt;"",1-enveloppe_életricité!P40,1)</f>
        <v>#REF!</v>
      </c>
      <c r="E32" s="674" t="e">
        <f>IF(E$18&lt;&gt;"",1-enveloppe_életricité!Q40,1)</f>
        <v>#REF!</v>
      </c>
      <c r="F32" s="674" t="e">
        <f>IF(F$18&lt;&gt;"",1-enveloppe_életricité!R40,1)</f>
        <v>#REF!</v>
      </c>
      <c r="G32" s="666"/>
      <c r="H32" s="666"/>
      <c r="I32" s="667"/>
      <c r="L32" s="29">
        <v>30</v>
      </c>
      <c r="M32" s="84" t="s">
        <v>142</v>
      </c>
    </row>
    <row r="33" spans="1:13" ht="15" customHeight="1">
      <c r="A33" s="84" t="str">
        <f>Uebersetzung!D516</f>
        <v>Reduktion allgemeine Beleuchtung</v>
      </c>
      <c r="B33" s="84" t="s">
        <v>2192</v>
      </c>
      <c r="C33" s="677">
        <f>1-enveloppe_életricité!O41</f>
        <v>1</v>
      </c>
      <c r="D33" s="674" t="e">
        <f>IF(D$18&lt;&gt;"",1-enveloppe_életricité!P41,1)</f>
        <v>#REF!</v>
      </c>
      <c r="E33" s="674" t="e">
        <f>IF(E$18&lt;&gt;"",1-enveloppe_életricité!Q41,1)</f>
        <v>#REF!</v>
      </c>
      <c r="F33" s="674" t="e">
        <f>IF(F$18&lt;&gt;"",1-enveloppe_életricité!R41,1)</f>
        <v>#REF!</v>
      </c>
      <c r="G33" s="666"/>
      <c r="H33" s="666"/>
      <c r="I33" s="667"/>
      <c r="L33" s="29">
        <v>31</v>
      </c>
      <c r="M33" s="84" t="s">
        <v>164</v>
      </c>
    </row>
    <row r="34" spans="1:13" ht="15" customHeight="1">
      <c r="A34" s="84" t="str">
        <f>Uebersetzung!D517</f>
        <v>Reduktion Geräte Gebäudebetrieb</v>
      </c>
      <c r="B34" s="84" t="s">
        <v>2192</v>
      </c>
      <c r="C34" s="677">
        <f>1-enveloppe_életricité!O42</f>
        <v>1</v>
      </c>
      <c r="D34" s="674" t="e">
        <f>IF(D$18&lt;&gt;"",1-enveloppe_életricité!P42,1)</f>
        <v>#REF!</v>
      </c>
      <c r="E34" s="674" t="e">
        <f>IF(E$18&lt;&gt;"",1-enveloppe_életricité!Q42,1)</f>
        <v>#REF!</v>
      </c>
      <c r="F34" s="674" t="e">
        <f>IF(F$18&lt;&gt;"",1-enveloppe_életricité!R42,1)</f>
        <v>#REF!</v>
      </c>
      <c r="G34" s="666"/>
      <c r="H34" s="666"/>
      <c r="I34" s="667"/>
      <c r="L34" s="29">
        <v>32</v>
      </c>
      <c r="M34" s="84" t="s">
        <v>254</v>
      </c>
    </row>
    <row r="35" spans="1:13" ht="15" customHeight="1">
      <c r="A35" s="84" t="str">
        <f>Uebersetzung!D518</f>
        <v>Bedarf Beleuchtung Zweckbau Rechenwert</v>
      </c>
      <c r="B35" s="84" t="s">
        <v>256</v>
      </c>
      <c r="C35" s="680" t="e">
        <f>IF(AND(enveloppe_életricité!F90&gt;0,wohnen1=FALSE),enveloppe_életricité!F90,0)</f>
        <v>#REF!</v>
      </c>
      <c r="D35" s="681" t="e">
        <f>IF(AND(enveloppe_életricité!G90&gt;0,wohnen2=FALSE),enveloppe_életricité!G90,0)</f>
        <v>#REF!</v>
      </c>
      <c r="E35" s="681" t="e">
        <f>IF(AND(enveloppe_életricité!H90&gt;0,wohnen3=FALSE),enveloppe_életricité!H90,0)</f>
        <v>#REF!</v>
      </c>
      <c r="F35" s="681" t="e">
        <f>IF(AND(enveloppe_életricité!I90&gt;0,wohnen4=FALSE),enveloppe_életricité!I90,0)</f>
        <v>#REF!</v>
      </c>
      <c r="G35" s="666"/>
      <c r="H35" s="666"/>
      <c r="I35" s="667"/>
      <c r="L35" s="29">
        <v>33</v>
      </c>
      <c r="M35" s="84" t="s">
        <v>255</v>
      </c>
    </row>
    <row r="36" spans="1:13" ht="15" customHeight="1">
      <c r="A36" s="84" t="str">
        <f>Uebersetzung!D519</f>
        <v>Bedarf Geräte Zweckbau Rechenwert</v>
      </c>
      <c r="B36" s="84" t="s">
        <v>256</v>
      </c>
      <c r="C36" s="680" t="e">
        <f>IF(AND(enveloppe_életricité!O60&gt;0,wohnen1=FALSE),enveloppe_életricité!O60/2,0)</f>
        <v>#REF!</v>
      </c>
      <c r="D36" s="681" t="e">
        <f>IF(AND(enveloppe_életricité!P60&gt;0,wohnen2=FALSE),enveloppe_életricité!P60/2,0)</f>
        <v>#REF!</v>
      </c>
      <c r="E36" s="681" t="e">
        <f>IF(AND(enveloppe_életricité!Q60&gt;0,wohnen3=FALSE),enveloppe_életricité!Q60/2,0)</f>
        <v>#REF!</v>
      </c>
      <c r="F36" s="681" t="e">
        <f>IF(AND(enveloppe_életricité!R60&gt;0,wohnen4=FALSE),enveloppe_életricité!R60/2,0)</f>
        <v>#REF!</v>
      </c>
      <c r="G36" s="666"/>
      <c r="H36" s="666"/>
      <c r="I36" s="667"/>
      <c r="L36" s="29">
        <v>34</v>
      </c>
      <c r="M36" s="84" t="s">
        <v>2239</v>
      </c>
    </row>
    <row r="37" spans="1:13" ht="15" customHeight="1" thickBot="1">
      <c r="A37" s="84" t="str">
        <f>Uebersetzung!D520</f>
        <v>Bedarf AGT Zweckbau Rechenwert</v>
      </c>
      <c r="B37" s="84" t="s">
        <v>256</v>
      </c>
      <c r="C37" s="682" t="e">
        <f>IF(AND(enveloppe_életricité!O69&gt;0,wohnen1=FALSE),enveloppe_életricité!O69/2,0)</f>
        <v>#REF!</v>
      </c>
      <c r="D37" s="683" t="e">
        <f>IF(AND(enveloppe_életricité!P69&gt;0,wohnen2=FALSE),enveloppe_életricité!P69/2,0)</f>
        <v>#REF!</v>
      </c>
      <c r="E37" s="683" t="e">
        <f>IF(AND(enveloppe_életricité!Q69&gt;0,wohnen3=FALSE),enveloppe_életricité!Q69/2,0)</f>
        <v>#REF!</v>
      </c>
      <c r="F37" s="683" t="e">
        <f>IF(AND(enveloppe_életricité!R69&gt;0,wohnen4=FALSE),enveloppe_életricité!R69/2,0)</f>
        <v>#REF!</v>
      </c>
      <c r="G37" s="670"/>
      <c r="H37" s="670"/>
      <c r="I37" s="671"/>
      <c r="L37" s="29">
        <v>35</v>
      </c>
      <c r="M37" s="84" t="s">
        <v>162</v>
      </c>
    </row>
    <row r="38" spans="1:13" ht="15" customHeight="1">
      <c r="L38" s="29">
        <v>36</v>
      </c>
      <c r="M38" s="84" t="s">
        <v>336</v>
      </c>
    </row>
    <row r="39" spans="1:13">
      <c r="L39" s="29">
        <v>37</v>
      </c>
      <c r="M39" s="84" t="s">
        <v>191</v>
      </c>
    </row>
    <row r="40" spans="1:13">
      <c r="L40" s="29">
        <v>38</v>
      </c>
      <c r="M40" s="84" t="s">
        <v>192</v>
      </c>
    </row>
    <row r="41" spans="1:13">
      <c r="L41" s="29">
        <v>39</v>
      </c>
      <c r="M41" s="84" t="s">
        <v>16</v>
      </c>
    </row>
    <row r="42" spans="1:13">
      <c r="L42" s="29">
        <v>40</v>
      </c>
      <c r="M42" s="84" t="s">
        <v>193</v>
      </c>
    </row>
    <row r="43" spans="1:13">
      <c r="L43" s="29">
        <v>41</v>
      </c>
      <c r="M43" s="84" t="s">
        <v>194</v>
      </c>
    </row>
    <row r="44" spans="1:13">
      <c r="L44" s="29">
        <v>42</v>
      </c>
      <c r="M44" s="84" t="s">
        <v>182</v>
      </c>
    </row>
    <row r="45" spans="1:13">
      <c r="L45" s="29">
        <v>43</v>
      </c>
      <c r="M45" s="84" t="s">
        <v>247</v>
      </c>
    </row>
    <row r="46" spans="1:13">
      <c r="L46" s="29">
        <v>44</v>
      </c>
      <c r="M46" s="84" t="s">
        <v>793</v>
      </c>
    </row>
    <row r="47" spans="1:13">
      <c r="L47" s="29">
        <v>45</v>
      </c>
      <c r="M47" s="84" t="s">
        <v>795</v>
      </c>
    </row>
    <row r="48" spans="1:13">
      <c r="L48" s="29">
        <v>46</v>
      </c>
      <c r="M48" s="84" t="s">
        <v>794</v>
      </c>
    </row>
  </sheetData>
  <sheetProtection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1:F419"/>
  <sheetViews>
    <sheetView zoomScaleNormal="100" workbookViewId="0">
      <selection activeCell="D98" sqref="D98"/>
    </sheetView>
  </sheetViews>
  <sheetFormatPr baseColWidth="10" defaultColWidth="11.5703125" defaultRowHeight="26.1" customHeight="1"/>
  <cols>
    <col min="1" max="1" width="2.140625" style="53" customWidth="1"/>
    <col min="2" max="2" width="11.5703125" style="53"/>
    <col min="3" max="3" width="89.28515625" style="53" customWidth="1"/>
    <col min="4" max="4" width="77.42578125" style="53" customWidth="1"/>
    <col min="5" max="5" width="11.5703125" style="55"/>
    <col min="6" max="6" width="11.42578125" style="55" customWidth="1"/>
    <col min="7" max="16384" width="11.5703125" style="53"/>
  </cols>
  <sheetData>
    <row r="1" spans="2:6" ht="26.1" customHeight="1">
      <c r="B1" s="161" t="s">
        <v>2767</v>
      </c>
    </row>
    <row r="3" spans="2:6" s="162" customFormat="1" ht="26.1" customHeight="1">
      <c r="B3" s="162" t="s">
        <v>259</v>
      </c>
      <c r="C3" s="166" t="s">
        <v>646</v>
      </c>
      <c r="D3" s="162" t="s">
        <v>177</v>
      </c>
      <c r="E3" s="163" t="s">
        <v>260</v>
      </c>
      <c r="F3" s="163" t="s">
        <v>184</v>
      </c>
    </row>
    <row r="4" spans="2:6" ht="26.1" customHeight="1">
      <c r="B4" s="54">
        <v>42430</v>
      </c>
      <c r="C4" s="83" t="s">
        <v>647</v>
      </c>
      <c r="E4" s="165" t="s">
        <v>178</v>
      </c>
      <c r="F4" s="55">
        <v>0.8</v>
      </c>
    </row>
    <row r="5" spans="2:6" s="2" customFormat="1" ht="26.1" customHeight="1">
      <c r="B5" s="154">
        <v>42566</v>
      </c>
      <c r="C5" s="2" t="s">
        <v>783</v>
      </c>
      <c r="E5" s="165" t="s">
        <v>178</v>
      </c>
      <c r="F5" s="55">
        <v>0.9</v>
      </c>
    </row>
    <row r="6" spans="2:6" s="2" customFormat="1" ht="26.1" customHeight="1">
      <c r="B6" s="154">
        <v>42566</v>
      </c>
      <c r="C6" s="2" t="s">
        <v>784</v>
      </c>
      <c r="D6" s="2" t="s">
        <v>785</v>
      </c>
      <c r="E6" s="165" t="s">
        <v>178</v>
      </c>
      <c r="F6" s="55">
        <v>0.9</v>
      </c>
    </row>
    <row r="7" spans="2:6" s="2" customFormat="1" ht="26.1" customHeight="1">
      <c r="B7" s="154">
        <v>42566</v>
      </c>
      <c r="C7" s="2" t="s">
        <v>786</v>
      </c>
      <c r="D7" s="2" t="s">
        <v>787</v>
      </c>
      <c r="E7" s="165" t="s">
        <v>178</v>
      </c>
      <c r="F7" s="55">
        <v>0.9</v>
      </c>
    </row>
    <row r="8" spans="2:6" s="2" customFormat="1" ht="26.1" customHeight="1">
      <c r="B8" s="154">
        <v>42566</v>
      </c>
      <c r="C8" s="2" t="s">
        <v>788</v>
      </c>
      <c r="D8" s="2" t="s">
        <v>789</v>
      </c>
      <c r="E8" s="165" t="s">
        <v>178</v>
      </c>
      <c r="F8" s="55">
        <v>0.9</v>
      </c>
    </row>
    <row r="9" spans="2:6" s="2" customFormat="1" ht="26.1" customHeight="1">
      <c r="B9" s="154">
        <v>42566</v>
      </c>
      <c r="C9" s="159" t="s">
        <v>791</v>
      </c>
      <c r="D9" s="158" t="s">
        <v>790</v>
      </c>
      <c r="E9" s="165" t="s">
        <v>178</v>
      </c>
      <c r="F9" s="55">
        <v>0.9</v>
      </c>
    </row>
    <row r="10" spans="2:6" s="2" customFormat="1" ht="26.1" customHeight="1">
      <c r="B10" s="154">
        <v>42576</v>
      </c>
      <c r="C10" s="159" t="s">
        <v>801</v>
      </c>
      <c r="D10" s="158" t="s">
        <v>802</v>
      </c>
      <c r="E10" s="165" t="s">
        <v>178</v>
      </c>
      <c r="F10" s="155">
        <v>0.92</v>
      </c>
    </row>
    <row r="11" spans="2:6" s="2" customFormat="1" ht="26.1" customHeight="1">
      <c r="B11" s="154">
        <v>42576</v>
      </c>
      <c r="C11" s="159" t="s">
        <v>806</v>
      </c>
      <c r="D11" s="159" t="s">
        <v>805</v>
      </c>
      <c r="E11" s="165" t="s">
        <v>178</v>
      </c>
      <c r="F11" s="155">
        <v>0.92</v>
      </c>
    </row>
    <row r="12" spans="2:6" s="2" customFormat="1" ht="26.1" customHeight="1">
      <c r="B12" s="154">
        <v>42602</v>
      </c>
      <c r="C12" s="159" t="s">
        <v>1269</v>
      </c>
      <c r="E12" s="165" t="s">
        <v>178</v>
      </c>
      <c r="F12" s="180" t="s">
        <v>1270</v>
      </c>
    </row>
    <row r="13" spans="2:6" s="2" customFormat="1" ht="26.1" customHeight="1">
      <c r="B13" s="154">
        <v>42623</v>
      </c>
      <c r="C13" s="159" t="s">
        <v>1281</v>
      </c>
      <c r="D13" s="158" t="s">
        <v>1282</v>
      </c>
      <c r="E13" s="165" t="s">
        <v>178</v>
      </c>
      <c r="F13" s="195">
        <v>1.01</v>
      </c>
    </row>
    <row r="14" spans="2:6" s="2" customFormat="1" ht="26.1" customHeight="1">
      <c r="B14" s="154">
        <v>42626</v>
      </c>
      <c r="C14" s="159" t="s">
        <v>1295</v>
      </c>
      <c r="D14" s="158" t="s">
        <v>1296</v>
      </c>
      <c r="E14" s="155" t="s">
        <v>178</v>
      </c>
      <c r="F14" s="155">
        <v>1.01</v>
      </c>
    </row>
    <row r="15" spans="2:6" s="2" customFormat="1" ht="26.1" customHeight="1">
      <c r="B15" s="154">
        <v>42664</v>
      </c>
      <c r="C15" s="159" t="s">
        <v>1363</v>
      </c>
      <c r="E15" s="155" t="s">
        <v>178</v>
      </c>
      <c r="F15" s="155">
        <v>1.01</v>
      </c>
    </row>
    <row r="16" spans="2:6" s="2" customFormat="1" ht="26.1" customHeight="1">
      <c r="B16" s="154">
        <v>42684</v>
      </c>
      <c r="C16" s="159" t="s">
        <v>1449</v>
      </c>
      <c r="D16" s="158" t="s">
        <v>1450</v>
      </c>
      <c r="E16" s="374" t="s">
        <v>178</v>
      </c>
      <c r="F16" s="155">
        <v>1.02</v>
      </c>
    </row>
    <row r="17" spans="2:6" s="2" customFormat="1" ht="26.1" customHeight="1">
      <c r="B17" s="154">
        <v>42684</v>
      </c>
      <c r="C17" s="159" t="s">
        <v>1519</v>
      </c>
      <c r="D17" s="158" t="s">
        <v>1520</v>
      </c>
      <c r="E17" s="155" t="s">
        <v>178</v>
      </c>
      <c r="F17" s="155">
        <v>1.03</v>
      </c>
    </row>
    <row r="18" spans="2:6" s="2" customFormat="1" ht="26.1" customHeight="1">
      <c r="B18" s="154">
        <v>42720</v>
      </c>
      <c r="C18" s="159" t="s">
        <v>2137</v>
      </c>
      <c r="D18" s="159" t="s">
        <v>2138</v>
      </c>
      <c r="E18" s="155" t="s">
        <v>178</v>
      </c>
      <c r="F18" s="155">
        <v>1.1000000000000001</v>
      </c>
    </row>
    <row r="19" spans="2:6" s="2" customFormat="1" ht="26.1" customHeight="1">
      <c r="B19" s="154">
        <v>42720</v>
      </c>
      <c r="C19" s="159" t="s">
        <v>2139</v>
      </c>
      <c r="D19" s="159" t="s">
        <v>2140</v>
      </c>
      <c r="E19" s="155" t="s">
        <v>178</v>
      </c>
      <c r="F19" s="155">
        <v>1.1000000000000001</v>
      </c>
    </row>
    <row r="20" spans="2:6" s="2" customFormat="1" ht="26.1" customHeight="1">
      <c r="B20" s="154">
        <v>42723</v>
      </c>
      <c r="C20" s="159" t="s">
        <v>2154</v>
      </c>
      <c r="D20" s="159" t="s">
        <v>2155</v>
      </c>
      <c r="E20" s="155" t="s">
        <v>178</v>
      </c>
      <c r="F20" s="155">
        <v>1.1100000000000001</v>
      </c>
    </row>
    <row r="21" spans="2:6" s="2" customFormat="1" ht="26.1" customHeight="1">
      <c r="B21" s="154">
        <v>42723</v>
      </c>
      <c r="C21" s="159" t="s">
        <v>2152</v>
      </c>
      <c r="D21" s="159" t="s">
        <v>2153</v>
      </c>
      <c r="E21" s="155" t="s">
        <v>178</v>
      </c>
      <c r="F21" s="155">
        <v>1.1100000000000001</v>
      </c>
    </row>
    <row r="22" spans="2:6" s="2" customFormat="1" ht="26.1" customHeight="1">
      <c r="B22" s="154">
        <v>42725</v>
      </c>
      <c r="C22" s="159" t="s">
        <v>2168</v>
      </c>
      <c r="D22" s="159" t="s">
        <v>2169</v>
      </c>
      <c r="E22" s="155" t="s">
        <v>178</v>
      </c>
      <c r="F22" s="155">
        <v>1.1299999999999999</v>
      </c>
    </row>
    <row r="23" spans="2:6" s="2" customFormat="1" ht="26.1" customHeight="1">
      <c r="B23" s="154">
        <v>42725</v>
      </c>
      <c r="C23" s="159" t="s">
        <v>2170</v>
      </c>
      <c r="D23" s="159" t="s">
        <v>2171</v>
      </c>
      <c r="E23" s="155" t="s">
        <v>178</v>
      </c>
      <c r="F23" s="155">
        <v>1.1299999999999999</v>
      </c>
    </row>
    <row r="24" spans="2:6" s="2" customFormat="1" ht="26.1" customHeight="1">
      <c r="B24" s="154">
        <v>42742</v>
      </c>
      <c r="C24" s="159" t="s">
        <v>2193</v>
      </c>
      <c r="D24" s="159" t="s">
        <v>2194</v>
      </c>
      <c r="E24" s="155" t="s">
        <v>178</v>
      </c>
      <c r="F24" s="155">
        <v>1.1399999999999999</v>
      </c>
    </row>
    <row r="25" spans="2:6" s="2" customFormat="1" ht="26.1" customHeight="1">
      <c r="B25" s="154">
        <v>42742</v>
      </c>
      <c r="C25" s="159" t="s">
        <v>2204</v>
      </c>
      <c r="D25" s="159" t="s">
        <v>2205</v>
      </c>
      <c r="E25" s="155" t="s">
        <v>178</v>
      </c>
      <c r="F25" s="155">
        <v>1.1399999999999999</v>
      </c>
    </row>
    <row r="26" spans="2:6" s="2" customFormat="1" ht="26.1" customHeight="1">
      <c r="B26" s="154">
        <v>42742</v>
      </c>
      <c r="C26" s="159" t="s">
        <v>2209</v>
      </c>
      <c r="D26" s="159"/>
      <c r="E26" s="155" t="s">
        <v>178</v>
      </c>
      <c r="F26" s="155">
        <v>1.1399999999999999</v>
      </c>
    </row>
    <row r="27" spans="2:6" s="2" customFormat="1" ht="26.1" customHeight="1">
      <c r="B27" s="154">
        <v>42742</v>
      </c>
      <c r="C27" s="159" t="s">
        <v>2206</v>
      </c>
      <c r="D27" s="159" t="s">
        <v>2207</v>
      </c>
      <c r="E27" s="155" t="s">
        <v>178</v>
      </c>
      <c r="F27" s="155">
        <v>1.1399999999999999</v>
      </c>
    </row>
    <row r="28" spans="2:6" s="2" customFormat="1" ht="26.1" customHeight="1">
      <c r="B28" s="154">
        <v>42742</v>
      </c>
      <c r="C28" s="159" t="s">
        <v>2208</v>
      </c>
      <c r="D28" s="159"/>
      <c r="E28" s="155" t="s">
        <v>178</v>
      </c>
      <c r="F28" s="155">
        <v>1.1399999999999999</v>
      </c>
    </row>
    <row r="29" spans="2:6" s="2" customFormat="1" ht="26.1" customHeight="1">
      <c r="B29" s="154">
        <v>42742</v>
      </c>
      <c r="C29" s="159" t="s">
        <v>2210</v>
      </c>
      <c r="D29" s="159" t="s">
        <v>2211</v>
      </c>
      <c r="E29" s="155" t="s">
        <v>178</v>
      </c>
      <c r="F29" s="155">
        <v>1.1399999999999999</v>
      </c>
    </row>
    <row r="30" spans="2:6" s="2" customFormat="1" ht="26.1" customHeight="1">
      <c r="B30" s="154">
        <v>42742</v>
      </c>
      <c r="C30" s="159" t="s">
        <v>2212</v>
      </c>
      <c r="D30" s="159" t="s">
        <v>2211</v>
      </c>
      <c r="E30" s="155" t="s">
        <v>178</v>
      </c>
      <c r="F30" s="155">
        <v>1.1399999999999999</v>
      </c>
    </row>
    <row r="31" spans="2:6" s="2" customFormat="1" ht="26.1" customHeight="1">
      <c r="B31" s="154">
        <v>42742</v>
      </c>
      <c r="C31" s="159" t="s">
        <v>2213</v>
      </c>
      <c r="D31" s="159" t="s">
        <v>2214</v>
      </c>
      <c r="E31" s="155" t="s">
        <v>178</v>
      </c>
      <c r="F31" s="155">
        <v>1.1399999999999999</v>
      </c>
    </row>
    <row r="32" spans="2:6" s="2" customFormat="1" ht="26.1" customHeight="1">
      <c r="B32" s="154">
        <v>42742</v>
      </c>
      <c r="C32" s="159" t="s">
        <v>2224</v>
      </c>
      <c r="D32" s="159" t="s">
        <v>2223</v>
      </c>
      <c r="E32" s="155" t="s">
        <v>178</v>
      </c>
      <c r="F32" s="155">
        <v>1.1399999999999999</v>
      </c>
    </row>
    <row r="33" spans="2:6" s="2" customFormat="1" ht="26.1" customHeight="1">
      <c r="B33" s="154">
        <v>42742</v>
      </c>
      <c r="C33" s="159" t="s">
        <v>2225</v>
      </c>
      <c r="D33" s="159" t="s">
        <v>2226</v>
      </c>
      <c r="E33" s="155" t="s">
        <v>178</v>
      </c>
      <c r="F33" s="155">
        <v>1.1399999999999999</v>
      </c>
    </row>
    <row r="34" spans="2:6" s="2" customFormat="1" ht="26.1" customHeight="1">
      <c r="B34" s="154">
        <v>42742</v>
      </c>
      <c r="C34" s="159" t="s">
        <v>2227</v>
      </c>
      <c r="D34" s="159" t="s">
        <v>2228</v>
      </c>
      <c r="E34" s="155" t="s">
        <v>178</v>
      </c>
      <c r="F34" s="155">
        <v>1.1499999999999999</v>
      </c>
    </row>
    <row r="35" spans="2:6" s="2" customFormat="1" ht="26.1" customHeight="1">
      <c r="B35" s="154">
        <v>42742</v>
      </c>
      <c r="C35" s="159" t="s">
        <v>2229</v>
      </c>
      <c r="D35" s="159" t="s">
        <v>2230</v>
      </c>
      <c r="E35" s="155" t="s">
        <v>178</v>
      </c>
      <c r="F35" s="155">
        <v>1.1599999999999999</v>
      </c>
    </row>
    <row r="36" spans="2:6" s="2" customFormat="1" ht="26.1" customHeight="1">
      <c r="B36" s="154">
        <v>42762</v>
      </c>
      <c r="C36" s="159" t="s">
        <v>2232</v>
      </c>
      <c r="D36" s="159" t="s">
        <v>2231</v>
      </c>
      <c r="E36" s="155" t="s">
        <v>178</v>
      </c>
      <c r="F36" s="155">
        <v>1.17</v>
      </c>
    </row>
    <row r="37" spans="2:6" s="2" customFormat="1" ht="26.1" customHeight="1">
      <c r="B37" s="154">
        <v>42766</v>
      </c>
      <c r="C37" s="159" t="s">
        <v>2233</v>
      </c>
      <c r="D37" s="159" t="s">
        <v>2234</v>
      </c>
      <c r="E37" s="155" t="s">
        <v>178</v>
      </c>
      <c r="F37" s="155">
        <v>1.18</v>
      </c>
    </row>
    <row r="38" spans="2:6" s="2" customFormat="1" ht="26.1" customHeight="1">
      <c r="B38" s="154">
        <v>42768</v>
      </c>
      <c r="C38" s="159" t="s">
        <v>2235</v>
      </c>
      <c r="D38" s="159" t="s">
        <v>2236</v>
      </c>
      <c r="E38" s="155" t="s">
        <v>178</v>
      </c>
      <c r="F38" s="155">
        <v>1.19</v>
      </c>
    </row>
    <row r="39" spans="2:6" s="2" customFormat="1" ht="26.1" customHeight="1">
      <c r="B39" s="154">
        <v>42768</v>
      </c>
      <c r="C39" s="159" t="s">
        <v>2240</v>
      </c>
      <c r="D39" s="159" t="s">
        <v>2241</v>
      </c>
      <c r="E39" s="155" t="s">
        <v>178</v>
      </c>
      <c r="F39" s="155">
        <v>1.19</v>
      </c>
    </row>
    <row r="40" spans="2:6" s="2" customFormat="1" ht="26.1" customHeight="1">
      <c r="B40" s="154">
        <v>42768</v>
      </c>
      <c r="C40" s="159" t="s">
        <v>2255</v>
      </c>
      <c r="D40" s="159" t="s">
        <v>2256</v>
      </c>
      <c r="E40" s="155" t="s">
        <v>178</v>
      </c>
      <c r="F40" s="155">
        <v>1.19</v>
      </c>
    </row>
    <row r="41" spans="2:6" s="2" customFormat="1" ht="26.1" customHeight="1">
      <c r="B41" s="154">
        <v>42768</v>
      </c>
      <c r="C41" s="159" t="s">
        <v>2257</v>
      </c>
      <c r="D41" s="159" t="s">
        <v>2256</v>
      </c>
      <c r="E41" s="155" t="s">
        <v>178</v>
      </c>
      <c r="F41" s="155">
        <v>1.19</v>
      </c>
    </row>
    <row r="42" spans="2:6" s="2" customFormat="1" ht="26.1" customHeight="1">
      <c r="B42" s="154">
        <v>42768</v>
      </c>
      <c r="C42" s="159" t="s">
        <v>2258</v>
      </c>
      <c r="D42" s="159" t="s">
        <v>2259</v>
      </c>
      <c r="E42" s="155" t="s">
        <v>178</v>
      </c>
      <c r="F42" s="155">
        <v>1.19</v>
      </c>
    </row>
    <row r="43" spans="2:6" s="2" customFormat="1" ht="26.1" customHeight="1">
      <c r="B43" s="154">
        <v>42768</v>
      </c>
      <c r="C43" s="159" t="s">
        <v>2260</v>
      </c>
      <c r="D43" s="159" t="s">
        <v>2261</v>
      </c>
      <c r="E43" s="155" t="s">
        <v>178</v>
      </c>
      <c r="F43" s="155">
        <v>1.19</v>
      </c>
    </row>
    <row r="44" spans="2:6" s="2" customFormat="1" ht="26.1" customHeight="1">
      <c r="B44" s="154">
        <v>42770</v>
      </c>
      <c r="C44" s="159" t="s">
        <v>2270</v>
      </c>
      <c r="D44" s="159" t="s">
        <v>2271</v>
      </c>
      <c r="E44" s="155" t="s">
        <v>178</v>
      </c>
      <c r="F44" s="155">
        <v>1.2</v>
      </c>
    </row>
    <row r="45" spans="2:6" s="2" customFormat="1" ht="26.1" customHeight="1">
      <c r="B45" s="154">
        <v>42819</v>
      </c>
      <c r="C45" s="159" t="s">
        <v>2330</v>
      </c>
      <c r="D45" s="159" t="s">
        <v>2331</v>
      </c>
      <c r="E45" s="155" t="s">
        <v>178</v>
      </c>
      <c r="F45" s="155">
        <v>1.21</v>
      </c>
    </row>
    <row r="46" spans="2:6" s="2" customFormat="1" ht="26.1" customHeight="1">
      <c r="B46" s="154">
        <v>42819</v>
      </c>
      <c r="C46" s="159" t="s">
        <v>2332</v>
      </c>
      <c r="D46" s="159" t="s">
        <v>2333</v>
      </c>
      <c r="E46" s="155" t="s">
        <v>178</v>
      </c>
      <c r="F46" s="155">
        <v>1.21</v>
      </c>
    </row>
    <row r="47" spans="2:6" s="2" customFormat="1" ht="26.1" customHeight="1">
      <c r="B47" s="154">
        <v>42819</v>
      </c>
      <c r="C47" s="159" t="s">
        <v>2336</v>
      </c>
      <c r="D47" s="159" t="s">
        <v>2334</v>
      </c>
      <c r="E47" s="155" t="s">
        <v>178</v>
      </c>
      <c r="F47" s="155">
        <v>1.21</v>
      </c>
    </row>
    <row r="48" spans="2:6" s="2" customFormat="1" ht="26.1" customHeight="1">
      <c r="B48" s="154">
        <v>42819</v>
      </c>
      <c r="C48" s="159" t="s">
        <v>2335</v>
      </c>
      <c r="D48" s="159" t="s">
        <v>2338</v>
      </c>
      <c r="E48" s="155" t="s">
        <v>178</v>
      </c>
      <c r="F48" s="155">
        <v>1.21</v>
      </c>
    </row>
    <row r="49" spans="2:6" s="2" customFormat="1" ht="26.1" customHeight="1">
      <c r="B49" s="154">
        <v>42819</v>
      </c>
      <c r="C49" s="159" t="s">
        <v>2337</v>
      </c>
      <c r="D49" s="159" t="s">
        <v>2339</v>
      </c>
      <c r="E49" s="155" t="s">
        <v>178</v>
      </c>
      <c r="F49" s="155">
        <v>1.21</v>
      </c>
    </row>
    <row r="50" spans="2:6" s="2" customFormat="1" ht="26.1" customHeight="1">
      <c r="B50" s="154">
        <v>42819</v>
      </c>
      <c r="C50" s="159" t="s">
        <v>2340</v>
      </c>
      <c r="E50" s="155" t="s">
        <v>178</v>
      </c>
      <c r="F50" s="155">
        <v>1.21</v>
      </c>
    </row>
    <row r="51" spans="2:6" s="2" customFormat="1" ht="26.1" customHeight="1">
      <c r="B51" s="154">
        <v>42819</v>
      </c>
      <c r="C51" s="159" t="s">
        <v>2341</v>
      </c>
      <c r="D51" s="158" t="s">
        <v>2342</v>
      </c>
      <c r="E51" s="155" t="s">
        <v>178</v>
      </c>
      <c r="F51" s="155">
        <v>1.21</v>
      </c>
    </row>
    <row r="52" spans="2:6" s="2" customFormat="1" ht="26.1" customHeight="1">
      <c r="B52" s="154">
        <v>42819</v>
      </c>
      <c r="C52" s="159" t="s">
        <v>2343</v>
      </c>
      <c r="D52" s="158" t="s">
        <v>2344</v>
      </c>
      <c r="E52" s="155" t="s">
        <v>178</v>
      </c>
      <c r="F52" s="155">
        <v>1.21</v>
      </c>
    </row>
    <row r="53" spans="2:6" s="2" customFormat="1" ht="26.1" customHeight="1">
      <c r="B53" s="154">
        <v>42819</v>
      </c>
      <c r="C53" s="159" t="s">
        <v>2345</v>
      </c>
      <c r="D53" s="158" t="s">
        <v>2346</v>
      </c>
      <c r="E53" s="155" t="s">
        <v>178</v>
      </c>
      <c r="F53" s="155">
        <v>1.21</v>
      </c>
    </row>
    <row r="54" spans="2:6" s="2" customFormat="1" ht="26.1" customHeight="1">
      <c r="B54" s="154">
        <v>42819</v>
      </c>
      <c r="C54" s="159" t="s">
        <v>2347</v>
      </c>
      <c r="D54" s="158" t="s">
        <v>2348</v>
      </c>
      <c r="E54" s="155" t="s">
        <v>178</v>
      </c>
      <c r="F54" s="155">
        <v>1.21</v>
      </c>
    </row>
    <row r="55" spans="2:6" s="2" customFormat="1" ht="26.1" customHeight="1">
      <c r="B55" s="154">
        <v>42819</v>
      </c>
      <c r="C55" s="159" t="s">
        <v>2349</v>
      </c>
      <c r="D55" s="159" t="s">
        <v>2350</v>
      </c>
      <c r="E55" s="155" t="s">
        <v>178</v>
      </c>
      <c r="F55" s="155">
        <v>1.21</v>
      </c>
    </row>
    <row r="56" spans="2:6" s="2" customFormat="1" ht="26.1" customHeight="1">
      <c r="B56" s="154">
        <v>42819</v>
      </c>
      <c r="C56" s="159" t="s">
        <v>2351</v>
      </c>
      <c r="D56" s="159" t="s">
        <v>2352</v>
      </c>
      <c r="E56" s="155" t="s">
        <v>178</v>
      </c>
      <c r="F56" s="155">
        <v>1.21</v>
      </c>
    </row>
    <row r="57" spans="2:6" s="2" customFormat="1" ht="26.1" customHeight="1">
      <c r="B57" s="154">
        <v>42819</v>
      </c>
      <c r="C57" s="159" t="s">
        <v>2353</v>
      </c>
      <c r="D57" s="159" t="s">
        <v>2354</v>
      </c>
      <c r="E57" s="155" t="s">
        <v>178</v>
      </c>
      <c r="F57" s="155">
        <v>1.21</v>
      </c>
    </row>
    <row r="58" spans="2:6" s="2" customFormat="1" ht="26.1" customHeight="1">
      <c r="B58" s="154">
        <v>42830</v>
      </c>
      <c r="C58" s="159" t="s">
        <v>2417</v>
      </c>
      <c r="D58" s="159" t="s">
        <v>2414</v>
      </c>
      <c r="E58" s="155" t="s">
        <v>178</v>
      </c>
      <c r="F58" s="155">
        <v>1.23</v>
      </c>
    </row>
    <row r="59" spans="2:6" s="2" customFormat="1" ht="26.1" customHeight="1">
      <c r="B59" s="154">
        <v>42835</v>
      </c>
      <c r="C59" s="159" t="s">
        <v>2416</v>
      </c>
      <c r="D59" s="159" t="s">
        <v>2418</v>
      </c>
      <c r="E59" s="155" t="s">
        <v>178</v>
      </c>
      <c r="F59" s="155">
        <v>1.24</v>
      </c>
    </row>
    <row r="60" spans="2:6" s="2" customFormat="1" ht="26.1" customHeight="1">
      <c r="B60" s="154">
        <v>42835</v>
      </c>
      <c r="C60" s="159" t="s">
        <v>2419</v>
      </c>
      <c r="E60" s="155" t="s">
        <v>178</v>
      </c>
      <c r="F60" s="155">
        <v>1.24</v>
      </c>
    </row>
    <row r="61" spans="2:6" s="2" customFormat="1" ht="26.1" customHeight="1">
      <c r="B61" s="154">
        <v>42837</v>
      </c>
      <c r="C61" s="159" t="s">
        <v>2420</v>
      </c>
      <c r="D61" s="2" t="s">
        <v>2421</v>
      </c>
      <c r="E61" s="155" t="s">
        <v>178</v>
      </c>
      <c r="F61" s="155">
        <v>1.25</v>
      </c>
    </row>
    <row r="62" spans="2:6" s="2" customFormat="1" ht="26.1" customHeight="1">
      <c r="B62" s="154">
        <v>42861</v>
      </c>
      <c r="C62" s="159" t="s">
        <v>2582</v>
      </c>
      <c r="D62" s="158" t="s">
        <v>2581</v>
      </c>
      <c r="E62" s="155" t="s">
        <v>178</v>
      </c>
      <c r="F62" s="155">
        <v>1.26</v>
      </c>
    </row>
    <row r="63" spans="2:6" s="2" customFormat="1" ht="26.1" customHeight="1">
      <c r="B63" s="154">
        <v>42861</v>
      </c>
      <c r="C63" s="159" t="s">
        <v>2583</v>
      </c>
      <c r="D63" s="158" t="s">
        <v>2581</v>
      </c>
      <c r="E63" s="155" t="s">
        <v>178</v>
      </c>
      <c r="F63" s="155">
        <v>1.26</v>
      </c>
    </row>
    <row r="64" spans="2:6" s="2" customFormat="1" ht="26.1" customHeight="1">
      <c r="B64" s="154">
        <v>42861</v>
      </c>
      <c r="C64" s="159" t="s">
        <v>2584</v>
      </c>
      <c r="D64" s="159" t="s">
        <v>2585</v>
      </c>
      <c r="E64" s="155" t="s">
        <v>178</v>
      </c>
      <c r="F64" s="155">
        <v>1.26</v>
      </c>
    </row>
    <row r="65" spans="2:6" s="2" customFormat="1" ht="26.1" customHeight="1">
      <c r="B65" s="154">
        <v>42861</v>
      </c>
      <c r="C65" s="159" t="s">
        <v>2586</v>
      </c>
      <c r="D65" s="158"/>
      <c r="E65" s="155" t="s">
        <v>178</v>
      </c>
      <c r="F65" s="155">
        <v>1.26</v>
      </c>
    </row>
    <row r="66" spans="2:6" s="2" customFormat="1" ht="26.1" customHeight="1">
      <c r="B66" s="154">
        <v>42861</v>
      </c>
      <c r="C66" s="159" t="s">
        <v>2587</v>
      </c>
      <c r="D66" s="158" t="s">
        <v>2588</v>
      </c>
      <c r="E66" s="155" t="s">
        <v>178</v>
      </c>
      <c r="F66" s="155">
        <v>1.26</v>
      </c>
    </row>
    <row r="67" spans="2:6" s="2" customFormat="1" ht="26.1" customHeight="1">
      <c r="B67" s="154">
        <v>42861</v>
      </c>
      <c r="C67" s="159" t="s">
        <v>2589</v>
      </c>
      <c r="D67" s="158" t="s">
        <v>2590</v>
      </c>
      <c r="E67" s="155" t="s">
        <v>178</v>
      </c>
      <c r="F67" s="155">
        <v>1.26</v>
      </c>
    </row>
    <row r="68" spans="2:6" s="2" customFormat="1" ht="26.1" customHeight="1">
      <c r="B68" s="154">
        <v>42861</v>
      </c>
      <c r="C68" s="159" t="s">
        <v>2591</v>
      </c>
      <c r="D68" s="159" t="s">
        <v>2592</v>
      </c>
      <c r="E68" s="155" t="s">
        <v>178</v>
      </c>
      <c r="F68" s="155">
        <v>1.26</v>
      </c>
    </row>
    <row r="69" spans="2:6" s="2" customFormat="1" ht="26.1" customHeight="1">
      <c r="B69" s="154">
        <v>42861</v>
      </c>
      <c r="C69" s="159" t="s">
        <v>2611</v>
      </c>
      <c r="D69" s="159" t="s">
        <v>2612</v>
      </c>
      <c r="E69" s="155" t="s">
        <v>178</v>
      </c>
      <c r="F69" s="155">
        <v>1.26</v>
      </c>
    </row>
    <row r="70" spans="2:6" s="2" customFormat="1" ht="26.1" customHeight="1">
      <c r="B70" s="154">
        <v>42861</v>
      </c>
      <c r="C70" s="159" t="s">
        <v>2614</v>
      </c>
      <c r="D70" s="159" t="s">
        <v>2613</v>
      </c>
      <c r="E70" s="155" t="s">
        <v>178</v>
      </c>
      <c r="F70" s="155">
        <v>1.26</v>
      </c>
    </row>
    <row r="71" spans="2:6" s="2" customFormat="1" ht="26.1" customHeight="1">
      <c r="B71" s="154">
        <v>42881</v>
      </c>
      <c r="C71" s="159" t="s">
        <v>2616</v>
      </c>
      <c r="D71" s="159" t="s">
        <v>2617</v>
      </c>
      <c r="E71" s="155" t="s">
        <v>178</v>
      </c>
      <c r="F71" s="155">
        <v>1.27</v>
      </c>
    </row>
    <row r="72" spans="2:6" s="2" customFormat="1" ht="26.1" customHeight="1">
      <c r="B72" s="154">
        <v>42881</v>
      </c>
      <c r="C72" s="159" t="s">
        <v>2619</v>
      </c>
      <c r="D72" s="159" t="s">
        <v>2618</v>
      </c>
      <c r="E72" s="155" t="s">
        <v>178</v>
      </c>
      <c r="F72" s="155">
        <v>1.27</v>
      </c>
    </row>
    <row r="73" spans="2:6" s="2" customFormat="1" ht="26.1" customHeight="1">
      <c r="B73" s="154">
        <v>42881</v>
      </c>
      <c r="C73" s="159" t="s">
        <v>2620</v>
      </c>
      <c r="D73" s="159" t="s">
        <v>2621</v>
      </c>
      <c r="E73" s="155" t="s">
        <v>178</v>
      </c>
      <c r="F73" s="155">
        <v>1.27</v>
      </c>
    </row>
    <row r="74" spans="2:6" s="2" customFormat="1" ht="26.1" customHeight="1">
      <c r="B74" s="154">
        <v>42881</v>
      </c>
      <c r="C74" s="159" t="s">
        <v>2623</v>
      </c>
      <c r="D74" s="159" t="s">
        <v>2622</v>
      </c>
      <c r="E74" s="155" t="s">
        <v>178</v>
      </c>
      <c r="F74" s="155">
        <v>1.27</v>
      </c>
    </row>
    <row r="75" spans="2:6" s="2" customFormat="1" ht="26.1" customHeight="1">
      <c r="B75" s="154">
        <v>42881</v>
      </c>
      <c r="C75" s="159" t="s">
        <v>2624</v>
      </c>
      <c r="D75" s="159" t="s">
        <v>2625</v>
      </c>
      <c r="E75" s="155" t="s">
        <v>178</v>
      </c>
      <c r="F75" s="155">
        <v>1.27</v>
      </c>
    </row>
    <row r="76" spans="2:6" s="2" customFormat="1" ht="26.1" customHeight="1">
      <c r="B76" s="154">
        <v>42881</v>
      </c>
      <c r="C76" s="159" t="s">
        <v>2626</v>
      </c>
      <c r="D76" s="159" t="s">
        <v>2627</v>
      </c>
      <c r="E76" s="155" t="s">
        <v>178</v>
      </c>
      <c r="F76" s="155">
        <v>1.27</v>
      </c>
    </row>
    <row r="77" spans="2:6" s="2" customFormat="1" ht="26.1" customHeight="1">
      <c r="B77" s="154">
        <v>42881</v>
      </c>
      <c r="C77" s="159" t="s">
        <v>2628</v>
      </c>
      <c r="D77" s="159" t="s">
        <v>2629</v>
      </c>
      <c r="E77" s="155" t="s">
        <v>178</v>
      </c>
      <c r="F77" s="155">
        <v>1.27</v>
      </c>
    </row>
    <row r="78" spans="2:6" s="2" customFormat="1" ht="26.1" customHeight="1">
      <c r="B78" s="154">
        <v>42887</v>
      </c>
      <c r="C78" s="159" t="s">
        <v>2630</v>
      </c>
      <c r="D78" s="159" t="s">
        <v>2631</v>
      </c>
      <c r="E78" s="155" t="s">
        <v>178</v>
      </c>
      <c r="F78" s="155">
        <v>1.28</v>
      </c>
    </row>
    <row r="79" spans="2:6" s="2" customFormat="1" ht="26.1" customHeight="1">
      <c r="B79" s="154">
        <v>42934</v>
      </c>
      <c r="C79" s="159" t="s">
        <v>2703</v>
      </c>
      <c r="D79" s="159"/>
      <c r="E79" s="155" t="s">
        <v>178</v>
      </c>
      <c r="F79" s="155">
        <v>1.29</v>
      </c>
    </row>
    <row r="80" spans="2:6" s="2" customFormat="1" ht="26.1" customHeight="1">
      <c r="B80" s="160">
        <v>42954</v>
      </c>
      <c r="C80" s="159" t="s">
        <v>2718</v>
      </c>
      <c r="D80" s="159"/>
      <c r="E80" s="155" t="s">
        <v>178</v>
      </c>
      <c r="F80" s="155">
        <v>1.29</v>
      </c>
    </row>
    <row r="81" spans="2:6" s="2" customFormat="1" ht="26.1" customHeight="1">
      <c r="B81" s="160">
        <v>42955</v>
      </c>
      <c r="C81" s="159" t="s">
        <v>2720</v>
      </c>
      <c r="D81" s="159" t="s">
        <v>2721</v>
      </c>
      <c r="E81" s="155" t="s">
        <v>178</v>
      </c>
      <c r="F81" s="155">
        <v>1.29</v>
      </c>
    </row>
    <row r="82" spans="2:6" s="2" customFormat="1" ht="26.1" customHeight="1">
      <c r="B82" s="160">
        <v>42959</v>
      </c>
      <c r="C82" s="159" t="s">
        <v>2722</v>
      </c>
      <c r="D82" s="159" t="s">
        <v>2723</v>
      </c>
      <c r="E82" s="155" t="s">
        <v>178</v>
      </c>
      <c r="F82" s="155">
        <v>1.29</v>
      </c>
    </row>
    <row r="83" spans="2:6" s="2" customFormat="1" ht="26.1" customHeight="1">
      <c r="B83" s="160">
        <v>42959</v>
      </c>
      <c r="C83" s="159" t="s">
        <v>2724</v>
      </c>
      <c r="D83" s="159" t="s">
        <v>2725</v>
      </c>
      <c r="E83" s="155" t="s">
        <v>178</v>
      </c>
      <c r="F83" s="155">
        <v>1.29</v>
      </c>
    </row>
    <row r="84" spans="2:6" s="2" customFormat="1" ht="26.1" customHeight="1">
      <c r="B84" s="160">
        <v>42959</v>
      </c>
      <c r="C84" s="159" t="s">
        <v>2726</v>
      </c>
      <c r="D84" s="159" t="s">
        <v>2727</v>
      </c>
      <c r="E84" s="155" t="s">
        <v>178</v>
      </c>
      <c r="F84" s="155">
        <v>1.29</v>
      </c>
    </row>
    <row r="85" spans="2:6" s="2" customFormat="1" ht="26.1" customHeight="1">
      <c r="B85" s="160">
        <v>42962</v>
      </c>
      <c r="C85" s="159" t="s">
        <v>2733</v>
      </c>
      <c r="D85" s="159" t="s">
        <v>2734</v>
      </c>
      <c r="E85" s="155" t="s">
        <v>178</v>
      </c>
      <c r="F85" s="180" t="s">
        <v>2732</v>
      </c>
    </row>
    <row r="86" spans="2:6" s="2" customFormat="1" ht="26.1" customHeight="1">
      <c r="B86" s="160">
        <v>42962</v>
      </c>
      <c r="C86" s="159" t="s">
        <v>2735</v>
      </c>
      <c r="D86" s="159" t="s">
        <v>2736</v>
      </c>
      <c r="E86" s="155" t="s">
        <v>178</v>
      </c>
      <c r="F86" s="180" t="s">
        <v>2732</v>
      </c>
    </row>
    <row r="87" spans="2:6" s="2" customFormat="1" ht="26.1" customHeight="1">
      <c r="B87" s="160">
        <v>42965</v>
      </c>
      <c r="C87" s="159" t="s">
        <v>2737</v>
      </c>
      <c r="D87" s="159" t="s">
        <v>2738</v>
      </c>
      <c r="E87" s="155" t="s">
        <v>178</v>
      </c>
      <c r="F87" s="180" t="s">
        <v>2732</v>
      </c>
    </row>
    <row r="88" spans="2:6" s="2" customFormat="1" ht="26.1" customHeight="1">
      <c r="B88" s="160">
        <v>42965</v>
      </c>
      <c r="C88" s="159" t="s">
        <v>2744</v>
      </c>
      <c r="D88" s="159" t="s">
        <v>2745</v>
      </c>
      <c r="E88" s="155" t="s">
        <v>178</v>
      </c>
      <c r="F88" s="180" t="s">
        <v>2732</v>
      </c>
    </row>
    <row r="89" spans="2:6" s="2" customFormat="1" ht="26.1" customHeight="1">
      <c r="B89" s="160">
        <v>42966</v>
      </c>
      <c r="C89" s="159" t="s">
        <v>2749</v>
      </c>
      <c r="D89" s="159" t="s">
        <v>2750</v>
      </c>
      <c r="E89" s="155" t="s">
        <v>178</v>
      </c>
      <c r="F89" s="180" t="s">
        <v>2748</v>
      </c>
    </row>
    <row r="90" spans="2:6" s="2" customFormat="1" ht="26.1" customHeight="1">
      <c r="B90" s="160">
        <v>42966</v>
      </c>
      <c r="C90" s="159" t="s">
        <v>2753</v>
      </c>
      <c r="D90" s="159" t="s">
        <v>2752</v>
      </c>
      <c r="E90" s="155" t="s">
        <v>178</v>
      </c>
      <c r="F90" s="180" t="s">
        <v>2748</v>
      </c>
    </row>
    <row r="91" spans="2:6" s="2" customFormat="1" ht="26.1" customHeight="1">
      <c r="B91" s="160">
        <v>42966</v>
      </c>
      <c r="C91" s="159" t="s">
        <v>2754</v>
      </c>
      <c r="D91" s="159" t="s">
        <v>2755</v>
      </c>
      <c r="E91" s="155" t="s">
        <v>178</v>
      </c>
      <c r="F91" s="180" t="s">
        <v>2748</v>
      </c>
    </row>
    <row r="92" spans="2:6" s="2" customFormat="1" ht="26.1" customHeight="1">
      <c r="B92" s="706">
        <v>42966</v>
      </c>
      <c r="C92" s="705" t="s">
        <v>2759</v>
      </c>
      <c r="D92" s="705" t="s">
        <v>2756</v>
      </c>
      <c r="E92" s="704" t="s">
        <v>178</v>
      </c>
      <c r="F92" s="707" t="s">
        <v>2748</v>
      </c>
    </row>
    <row r="93" spans="2:6" s="2" customFormat="1" ht="26.1" customHeight="1">
      <c r="B93" s="706">
        <v>42966</v>
      </c>
      <c r="C93" s="705" t="s">
        <v>2757</v>
      </c>
      <c r="D93" s="705" t="s">
        <v>2756</v>
      </c>
      <c r="E93" s="704" t="s">
        <v>178</v>
      </c>
      <c r="F93" s="707" t="s">
        <v>2748</v>
      </c>
    </row>
    <row r="94" spans="2:6" s="2" customFormat="1" ht="26.1" customHeight="1">
      <c r="B94" s="706">
        <v>42966</v>
      </c>
      <c r="C94" s="705" t="s">
        <v>2758</v>
      </c>
      <c r="D94" s="705" t="s">
        <v>2756</v>
      </c>
      <c r="E94" s="704" t="s">
        <v>178</v>
      </c>
      <c r="F94" s="707" t="s">
        <v>2748</v>
      </c>
    </row>
    <row r="95" spans="2:6" s="2" customFormat="1" ht="26.1" customHeight="1">
      <c r="B95" s="706">
        <v>42972</v>
      </c>
      <c r="C95" s="705" t="s">
        <v>2764</v>
      </c>
      <c r="D95" s="705" t="s">
        <v>2763</v>
      </c>
      <c r="E95" s="704" t="s">
        <v>178</v>
      </c>
      <c r="F95" s="707" t="s">
        <v>2748</v>
      </c>
    </row>
    <row r="96" spans="2:6" s="2" customFormat="1" ht="26.1" customHeight="1">
      <c r="B96" s="706">
        <v>42972</v>
      </c>
      <c r="C96" s="705" t="s">
        <v>2765</v>
      </c>
      <c r="D96" s="705" t="s">
        <v>2766</v>
      </c>
      <c r="E96" s="704" t="s">
        <v>178</v>
      </c>
      <c r="F96" s="707" t="s">
        <v>2748</v>
      </c>
    </row>
    <row r="97" spans="2:6" s="2" customFormat="1" ht="26.1" customHeight="1">
      <c r="B97" s="154">
        <v>42984</v>
      </c>
      <c r="C97" s="2" t="s">
        <v>2770</v>
      </c>
      <c r="D97" s="2" t="s">
        <v>2771</v>
      </c>
      <c r="E97" s="155" t="s">
        <v>178</v>
      </c>
      <c r="F97" s="155" t="s">
        <v>2748</v>
      </c>
    </row>
    <row r="98" spans="2:6" s="2" customFormat="1" ht="26.1" customHeight="1">
      <c r="B98" s="154"/>
      <c r="E98" s="155"/>
      <c r="F98" s="155"/>
    </row>
    <row r="99" spans="2:6" s="2" customFormat="1" ht="26.1" customHeight="1">
      <c r="B99" s="154"/>
      <c r="E99" s="155"/>
      <c r="F99" s="155"/>
    </row>
    <row r="100" spans="2:6" s="2" customFormat="1" ht="26.1" customHeight="1">
      <c r="B100" s="154"/>
      <c r="E100" s="155"/>
      <c r="F100" s="155"/>
    </row>
    <row r="101" spans="2:6" s="2" customFormat="1" ht="26.1" customHeight="1">
      <c r="B101" s="154"/>
      <c r="E101" s="155"/>
      <c r="F101" s="155"/>
    </row>
    <row r="102" spans="2:6" s="2" customFormat="1" ht="26.1" customHeight="1">
      <c r="B102" s="154"/>
      <c r="E102" s="155"/>
      <c r="F102" s="155"/>
    </row>
    <row r="103" spans="2:6" s="2" customFormat="1" ht="26.1" customHeight="1">
      <c r="B103" s="154"/>
      <c r="E103" s="155"/>
      <c r="F103" s="155"/>
    </row>
    <row r="104" spans="2:6" s="2" customFormat="1" ht="26.1" customHeight="1">
      <c r="B104" s="154"/>
      <c r="E104" s="155"/>
      <c r="F104" s="155"/>
    </row>
    <row r="105" spans="2:6" s="2" customFormat="1" ht="26.1" customHeight="1">
      <c r="B105" s="154"/>
      <c r="E105" s="155"/>
      <c r="F105" s="155"/>
    </row>
    <row r="106" spans="2:6" s="2" customFormat="1" ht="26.1" customHeight="1">
      <c r="B106" s="154"/>
      <c r="E106" s="155"/>
      <c r="F106" s="155"/>
    </row>
    <row r="107" spans="2:6" s="2" customFormat="1" ht="26.1" customHeight="1">
      <c r="B107" s="154"/>
      <c r="E107" s="155"/>
      <c r="F107" s="155"/>
    </row>
    <row r="108" spans="2:6" s="2" customFormat="1" ht="26.1" customHeight="1">
      <c r="B108" s="154"/>
      <c r="E108" s="155"/>
      <c r="F108" s="155"/>
    </row>
    <row r="109" spans="2:6" s="2" customFormat="1" ht="26.1" customHeight="1">
      <c r="B109" s="154"/>
      <c r="E109" s="155"/>
      <c r="F109" s="155"/>
    </row>
    <row r="110" spans="2:6" s="2" customFormat="1" ht="26.1" customHeight="1">
      <c r="B110" s="154"/>
      <c r="E110" s="155"/>
      <c r="F110" s="155"/>
    </row>
    <row r="111" spans="2:6" s="2" customFormat="1" ht="26.1" customHeight="1">
      <c r="B111" s="154"/>
      <c r="E111" s="155"/>
      <c r="F111" s="155"/>
    </row>
    <row r="112" spans="2:6" s="2" customFormat="1" ht="26.1" customHeight="1">
      <c r="B112" s="154"/>
      <c r="E112" s="155"/>
      <c r="F112" s="155"/>
    </row>
    <row r="113" spans="2:6" s="2" customFormat="1" ht="26.1" customHeight="1">
      <c r="B113" s="154"/>
      <c r="E113" s="155"/>
      <c r="F113" s="155"/>
    </row>
    <row r="114" spans="2:6" s="2" customFormat="1" ht="26.1" customHeight="1">
      <c r="B114" s="154"/>
      <c r="E114" s="155"/>
      <c r="F114" s="155"/>
    </row>
    <row r="115" spans="2:6" s="2" customFormat="1" ht="26.1" customHeight="1">
      <c r="B115" s="154"/>
      <c r="E115" s="155"/>
      <c r="F115" s="155"/>
    </row>
    <row r="116" spans="2:6" s="2" customFormat="1" ht="26.1" customHeight="1">
      <c r="B116" s="154"/>
      <c r="E116" s="155"/>
      <c r="F116" s="155"/>
    </row>
    <row r="117" spans="2:6" s="2" customFormat="1" ht="26.1" customHeight="1">
      <c r="B117" s="154"/>
      <c r="E117" s="155"/>
      <c r="F117" s="155"/>
    </row>
    <row r="118" spans="2:6" s="2" customFormat="1" ht="26.1" customHeight="1">
      <c r="B118" s="154"/>
      <c r="E118" s="155"/>
      <c r="F118" s="155"/>
    </row>
    <row r="119" spans="2:6" s="2" customFormat="1" ht="26.1" customHeight="1">
      <c r="B119" s="154"/>
      <c r="E119" s="155"/>
      <c r="F119" s="155"/>
    </row>
    <row r="120" spans="2:6" s="2" customFormat="1" ht="26.1" customHeight="1">
      <c r="B120" s="154"/>
      <c r="E120" s="155"/>
      <c r="F120" s="155"/>
    </row>
    <row r="121" spans="2:6" s="2" customFormat="1" ht="26.1" customHeight="1">
      <c r="B121" s="154"/>
      <c r="E121" s="155"/>
      <c r="F121" s="155"/>
    </row>
    <row r="122" spans="2:6" s="2" customFormat="1" ht="26.1" customHeight="1">
      <c r="B122" s="154"/>
      <c r="E122" s="155"/>
      <c r="F122" s="155"/>
    </row>
    <row r="123" spans="2:6" s="2" customFormat="1" ht="26.1" customHeight="1">
      <c r="B123" s="154"/>
      <c r="E123" s="155"/>
      <c r="F123" s="155"/>
    </row>
    <row r="124" spans="2:6" s="2" customFormat="1" ht="26.1" customHeight="1">
      <c r="B124" s="154"/>
      <c r="E124" s="155"/>
      <c r="F124" s="155"/>
    </row>
    <row r="125" spans="2:6" s="2" customFormat="1" ht="26.1" customHeight="1">
      <c r="B125" s="154"/>
      <c r="E125" s="155"/>
      <c r="F125" s="155"/>
    </row>
    <row r="126" spans="2:6" s="2" customFormat="1" ht="26.1" customHeight="1">
      <c r="B126" s="154"/>
      <c r="E126" s="155"/>
      <c r="F126" s="155"/>
    </row>
    <row r="127" spans="2:6" s="2" customFormat="1" ht="26.1" customHeight="1">
      <c r="B127" s="154"/>
      <c r="E127" s="155"/>
      <c r="F127" s="155"/>
    </row>
    <row r="128" spans="2:6" s="2" customFormat="1" ht="26.1" customHeight="1">
      <c r="B128" s="154"/>
      <c r="E128" s="155"/>
      <c r="F128" s="155"/>
    </row>
    <row r="129" spans="2:6" s="2" customFormat="1" ht="26.1" customHeight="1">
      <c r="B129" s="154"/>
      <c r="E129" s="155"/>
      <c r="F129" s="155"/>
    </row>
    <row r="130" spans="2:6" s="2" customFormat="1" ht="26.1" customHeight="1">
      <c r="B130" s="154"/>
      <c r="E130" s="155"/>
      <c r="F130" s="155"/>
    </row>
    <row r="131" spans="2:6" s="2" customFormat="1" ht="26.1" customHeight="1">
      <c r="B131" s="154"/>
      <c r="E131" s="155"/>
      <c r="F131" s="155"/>
    </row>
    <row r="132" spans="2:6" s="2" customFormat="1" ht="26.1" customHeight="1">
      <c r="B132" s="154"/>
      <c r="E132" s="155"/>
      <c r="F132" s="155"/>
    </row>
    <row r="133" spans="2:6" s="2" customFormat="1" ht="26.1" customHeight="1">
      <c r="B133" s="154"/>
      <c r="E133" s="155"/>
      <c r="F133" s="155"/>
    </row>
    <row r="134" spans="2:6" s="2" customFormat="1" ht="26.1" customHeight="1">
      <c r="B134" s="154"/>
      <c r="E134" s="155"/>
      <c r="F134" s="155"/>
    </row>
    <row r="135" spans="2:6" s="2" customFormat="1" ht="26.1" customHeight="1">
      <c r="B135" s="154"/>
      <c r="E135" s="155"/>
      <c r="F135" s="155"/>
    </row>
    <row r="136" spans="2:6" s="2" customFormat="1" ht="26.1" customHeight="1">
      <c r="B136" s="154"/>
      <c r="E136" s="155"/>
      <c r="F136" s="155"/>
    </row>
    <row r="137" spans="2:6" s="2" customFormat="1" ht="26.1" customHeight="1">
      <c r="B137" s="154"/>
      <c r="E137" s="155"/>
      <c r="F137" s="155"/>
    </row>
    <row r="138" spans="2:6" s="2" customFormat="1" ht="26.1" customHeight="1">
      <c r="B138" s="154"/>
      <c r="E138" s="155"/>
      <c r="F138" s="155"/>
    </row>
    <row r="139" spans="2:6" s="2" customFormat="1" ht="26.1" customHeight="1">
      <c r="B139" s="154"/>
      <c r="E139" s="155"/>
      <c r="F139" s="155"/>
    </row>
    <row r="140" spans="2:6" s="2" customFormat="1" ht="26.1" customHeight="1">
      <c r="B140" s="154"/>
      <c r="E140" s="155"/>
      <c r="F140" s="155"/>
    </row>
    <row r="141" spans="2:6" s="2" customFormat="1" ht="26.1" customHeight="1">
      <c r="B141" s="154"/>
      <c r="E141" s="155"/>
      <c r="F141" s="155"/>
    </row>
    <row r="142" spans="2:6" s="2" customFormat="1" ht="26.1" customHeight="1">
      <c r="B142" s="154"/>
      <c r="E142" s="155"/>
      <c r="F142" s="155"/>
    </row>
    <row r="143" spans="2:6" s="2" customFormat="1" ht="26.1" customHeight="1">
      <c r="B143" s="154"/>
      <c r="E143" s="155"/>
      <c r="F143" s="155"/>
    </row>
    <row r="144" spans="2:6" s="2" customFormat="1" ht="26.1" customHeight="1">
      <c r="B144" s="154"/>
      <c r="E144" s="155"/>
      <c r="F144" s="155"/>
    </row>
    <row r="145" spans="2:6" s="2" customFormat="1" ht="26.1" customHeight="1">
      <c r="B145" s="154"/>
      <c r="E145" s="155"/>
      <c r="F145" s="155"/>
    </row>
    <row r="146" spans="2:6" s="2" customFormat="1" ht="26.1" customHeight="1">
      <c r="B146" s="154"/>
      <c r="E146" s="155"/>
      <c r="F146" s="155"/>
    </row>
    <row r="147" spans="2:6" s="2" customFormat="1" ht="26.1" customHeight="1">
      <c r="B147" s="154"/>
      <c r="E147" s="155"/>
      <c r="F147" s="155"/>
    </row>
    <row r="148" spans="2:6" s="2" customFormat="1" ht="26.1" customHeight="1">
      <c r="B148" s="154"/>
      <c r="E148" s="155"/>
      <c r="F148" s="155"/>
    </row>
    <row r="149" spans="2:6" s="2" customFormat="1" ht="26.1" customHeight="1">
      <c r="B149" s="154"/>
      <c r="E149" s="155"/>
      <c r="F149" s="155"/>
    </row>
    <row r="150" spans="2:6" s="2" customFormat="1" ht="26.1" customHeight="1">
      <c r="B150" s="154"/>
      <c r="E150" s="155"/>
      <c r="F150" s="155"/>
    </row>
    <row r="151" spans="2:6" s="2" customFormat="1" ht="26.1" customHeight="1">
      <c r="B151" s="154"/>
      <c r="E151" s="155"/>
      <c r="F151" s="155"/>
    </row>
    <row r="152" spans="2:6" s="2" customFormat="1" ht="26.1" customHeight="1">
      <c r="B152" s="154"/>
      <c r="E152" s="155"/>
      <c r="F152" s="155"/>
    </row>
    <row r="153" spans="2:6" s="2" customFormat="1" ht="26.1" customHeight="1">
      <c r="B153" s="154"/>
      <c r="E153" s="155"/>
      <c r="F153" s="155"/>
    </row>
    <row r="154" spans="2:6" s="2" customFormat="1" ht="26.1" customHeight="1">
      <c r="B154" s="154"/>
      <c r="E154" s="155"/>
      <c r="F154" s="155"/>
    </row>
    <row r="155" spans="2:6" s="2" customFormat="1" ht="26.1" customHeight="1">
      <c r="B155" s="154"/>
      <c r="E155" s="155"/>
      <c r="F155" s="155"/>
    </row>
    <row r="156" spans="2:6" s="2" customFormat="1" ht="26.1" customHeight="1">
      <c r="B156" s="154"/>
      <c r="E156" s="155"/>
      <c r="F156" s="155"/>
    </row>
    <row r="157" spans="2:6" s="2" customFormat="1" ht="26.1" customHeight="1">
      <c r="B157" s="154"/>
      <c r="E157" s="155"/>
      <c r="F157" s="155"/>
    </row>
    <row r="158" spans="2:6" s="2" customFormat="1" ht="26.1" customHeight="1">
      <c r="B158" s="154"/>
      <c r="E158" s="155"/>
      <c r="F158" s="155"/>
    </row>
    <row r="159" spans="2:6" s="2" customFormat="1" ht="26.1" customHeight="1">
      <c r="B159" s="154"/>
      <c r="E159" s="155"/>
      <c r="F159" s="155"/>
    </row>
    <row r="160" spans="2:6" s="2" customFormat="1" ht="26.1" customHeight="1">
      <c r="B160" s="154"/>
      <c r="E160" s="155"/>
      <c r="F160" s="155"/>
    </row>
    <row r="161" spans="2:6" s="2" customFormat="1" ht="26.1" customHeight="1">
      <c r="B161" s="154"/>
      <c r="E161" s="155"/>
      <c r="F161" s="155"/>
    </row>
    <row r="162" spans="2:6" s="2" customFormat="1" ht="26.1" customHeight="1">
      <c r="B162" s="154"/>
      <c r="E162" s="155"/>
      <c r="F162" s="155"/>
    </row>
    <row r="163" spans="2:6" s="2" customFormat="1" ht="26.1" customHeight="1">
      <c r="B163" s="154"/>
      <c r="E163" s="155"/>
      <c r="F163" s="155"/>
    </row>
    <row r="164" spans="2:6" s="2" customFormat="1" ht="26.1" customHeight="1">
      <c r="B164" s="154"/>
      <c r="E164" s="155"/>
      <c r="F164" s="155"/>
    </row>
    <row r="165" spans="2:6" s="2" customFormat="1" ht="26.1" customHeight="1">
      <c r="B165" s="154"/>
      <c r="E165" s="155"/>
      <c r="F165" s="155"/>
    </row>
    <row r="166" spans="2:6" s="2" customFormat="1" ht="26.1" customHeight="1">
      <c r="B166" s="154"/>
      <c r="E166" s="155"/>
      <c r="F166" s="155"/>
    </row>
    <row r="167" spans="2:6" s="2" customFormat="1" ht="26.1" customHeight="1">
      <c r="B167" s="154"/>
      <c r="E167" s="155"/>
      <c r="F167" s="155"/>
    </row>
    <row r="168" spans="2:6" s="2" customFormat="1" ht="26.1" customHeight="1">
      <c r="B168" s="154"/>
      <c r="E168" s="155"/>
      <c r="F168" s="155"/>
    </row>
    <row r="169" spans="2:6" s="2" customFormat="1" ht="26.1" customHeight="1">
      <c r="B169" s="154"/>
      <c r="E169" s="155"/>
      <c r="F169" s="155"/>
    </row>
    <row r="170" spans="2:6" s="2" customFormat="1" ht="26.1" customHeight="1">
      <c r="B170" s="154"/>
      <c r="E170" s="155"/>
      <c r="F170" s="155"/>
    </row>
    <row r="171" spans="2:6" s="2" customFormat="1" ht="26.1" customHeight="1">
      <c r="B171" s="154"/>
      <c r="E171" s="155"/>
      <c r="F171" s="155"/>
    </row>
    <row r="172" spans="2:6" s="2" customFormat="1" ht="26.1" customHeight="1">
      <c r="B172" s="154"/>
      <c r="E172" s="155"/>
      <c r="F172" s="155"/>
    </row>
    <row r="173" spans="2:6" s="2" customFormat="1" ht="26.1" customHeight="1">
      <c r="B173" s="154"/>
      <c r="E173" s="155"/>
      <c r="F173" s="155"/>
    </row>
    <row r="174" spans="2:6" s="2" customFormat="1" ht="26.1" customHeight="1">
      <c r="B174" s="154"/>
      <c r="E174" s="155"/>
      <c r="F174" s="155"/>
    </row>
    <row r="175" spans="2:6" s="2" customFormat="1" ht="26.1" customHeight="1">
      <c r="B175" s="154"/>
      <c r="E175" s="155"/>
      <c r="F175" s="155"/>
    </row>
    <row r="176" spans="2:6" s="2" customFormat="1" ht="26.1" customHeight="1">
      <c r="B176" s="154"/>
      <c r="E176" s="155"/>
      <c r="F176" s="155"/>
    </row>
    <row r="177" spans="2:6" s="2" customFormat="1" ht="26.1" customHeight="1">
      <c r="B177" s="154"/>
      <c r="E177" s="155"/>
      <c r="F177" s="155"/>
    </row>
    <row r="178" spans="2:6" s="2" customFormat="1" ht="26.1" customHeight="1">
      <c r="B178" s="154"/>
      <c r="E178" s="155"/>
      <c r="F178" s="155"/>
    </row>
    <row r="179" spans="2:6" s="2" customFormat="1" ht="26.1" customHeight="1">
      <c r="B179" s="154"/>
      <c r="E179" s="155"/>
      <c r="F179" s="155"/>
    </row>
    <row r="180" spans="2:6" s="2" customFormat="1" ht="26.1" customHeight="1">
      <c r="B180" s="154"/>
      <c r="E180" s="155"/>
      <c r="F180" s="155"/>
    </row>
    <row r="181" spans="2:6" s="2" customFormat="1" ht="26.1" customHeight="1">
      <c r="B181" s="154"/>
      <c r="E181" s="155"/>
      <c r="F181" s="155"/>
    </row>
    <row r="182" spans="2:6" s="2" customFormat="1" ht="26.1" customHeight="1">
      <c r="B182" s="154"/>
      <c r="E182" s="155"/>
      <c r="F182" s="155"/>
    </row>
    <row r="183" spans="2:6" s="2" customFormat="1" ht="26.1" customHeight="1">
      <c r="B183" s="154"/>
      <c r="E183" s="155"/>
      <c r="F183" s="155"/>
    </row>
    <row r="184" spans="2:6" s="2" customFormat="1" ht="26.1" customHeight="1">
      <c r="B184" s="154"/>
      <c r="E184" s="155"/>
      <c r="F184" s="155"/>
    </row>
    <row r="185" spans="2:6" s="2" customFormat="1" ht="26.1" customHeight="1">
      <c r="B185" s="154"/>
      <c r="E185" s="155"/>
      <c r="F185" s="155"/>
    </row>
    <row r="186" spans="2:6" s="2" customFormat="1" ht="26.1" customHeight="1">
      <c r="B186" s="154"/>
      <c r="E186" s="155"/>
      <c r="F186" s="155"/>
    </row>
    <row r="187" spans="2:6" s="2" customFormat="1" ht="26.1" customHeight="1">
      <c r="B187" s="154"/>
      <c r="E187" s="155"/>
      <c r="F187" s="155"/>
    </row>
    <row r="188" spans="2:6" s="2" customFormat="1" ht="26.1" customHeight="1">
      <c r="B188" s="154"/>
      <c r="E188" s="155"/>
      <c r="F188" s="155"/>
    </row>
    <row r="189" spans="2:6" s="2" customFormat="1" ht="26.1" customHeight="1">
      <c r="B189" s="154"/>
      <c r="E189" s="155"/>
      <c r="F189" s="155"/>
    </row>
    <row r="190" spans="2:6" s="2" customFormat="1" ht="26.1" customHeight="1">
      <c r="B190" s="154"/>
      <c r="E190" s="155"/>
      <c r="F190" s="155"/>
    </row>
    <row r="191" spans="2:6" s="2" customFormat="1" ht="26.1" customHeight="1">
      <c r="B191" s="154"/>
      <c r="E191" s="155"/>
      <c r="F191" s="155"/>
    </row>
    <row r="192" spans="2:6" s="2" customFormat="1" ht="26.1" customHeight="1">
      <c r="B192" s="154"/>
      <c r="E192" s="155"/>
      <c r="F192" s="155"/>
    </row>
    <row r="193" spans="2:6" s="2" customFormat="1" ht="26.1" customHeight="1">
      <c r="B193" s="154"/>
      <c r="E193" s="155"/>
      <c r="F193" s="155"/>
    </row>
    <row r="194" spans="2:6" s="2" customFormat="1" ht="26.1" customHeight="1">
      <c r="B194" s="154"/>
      <c r="E194" s="155"/>
      <c r="F194" s="155"/>
    </row>
    <row r="195" spans="2:6" s="2" customFormat="1" ht="26.1" customHeight="1">
      <c r="B195" s="154"/>
      <c r="E195" s="155"/>
      <c r="F195" s="155"/>
    </row>
    <row r="196" spans="2:6" s="2" customFormat="1" ht="26.1" customHeight="1">
      <c r="B196" s="154"/>
      <c r="E196" s="155"/>
      <c r="F196" s="155"/>
    </row>
    <row r="197" spans="2:6" s="2" customFormat="1" ht="26.1" customHeight="1">
      <c r="B197" s="154"/>
      <c r="E197" s="155"/>
      <c r="F197" s="155"/>
    </row>
    <row r="198" spans="2:6" s="2" customFormat="1" ht="26.1" customHeight="1">
      <c r="B198" s="154"/>
      <c r="E198" s="155"/>
      <c r="F198" s="155"/>
    </row>
    <row r="199" spans="2:6" s="2" customFormat="1" ht="26.1" customHeight="1">
      <c r="B199" s="154"/>
      <c r="E199" s="155"/>
      <c r="F199" s="155"/>
    </row>
    <row r="200" spans="2:6" s="2" customFormat="1" ht="26.1" customHeight="1">
      <c r="B200" s="154"/>
      <c r="E200" s="155"/>
      <c r="F200" s="155"/>
    </row>
    <row r="201" spans="2:6" s="2" customFormat="1" ht="26.1" customHeight="1">
      <c r="B201" s="154"/>
      <c r="E201" s="155"/>
      <c r="F201" s="155"/>
    </row>
    <row r="202" spans="2:6" s="2" customFormat="1" ht="26.1" customHeight="1">
      <c r="B202" s="154"/>
      <c r="E202" s="155"/>
      <c r="F202" s="155"/>
    </row>
    <row r="203" spans="2:6" s="2" customFormat="1" ht="26.1" customHeight="1">
      <c r="B203" s="154"/>
      <c r="E203" s="155"/>
      <c r="F203" s="155"/>
    </row>
    <row r="204" spans="2:6" s="2" customFormat="1" ht="26.1" customHeight="1">
      <c r="B204" s="154"/>
      <c r="E204" s="155"/>
      <c r="F204" s="155"/>
    </row>
    <row r="205" spans="2:6" s="2" customFormat="1" ht="26.1" customHeight="1">
      <c r="B205" s="154"/>
      <c r="E205" s="155"/>
      <c r="F205" s="155"/>
    </row>
    <row r="206" spans="2:6" s="2" customFormat="1" ht="26.1" customHeight="1">
      <c r="B206" s="154"/>
      <c r="E206" s="155"/>
      <c r="F206" s="155"/>
    </row>
    <row r="207" spans="2:6" s="2" customFormat="1" ht="26.1" customHeight="1">
      <c r="B207" s="154"/>
      <c r="E207" s="155"/>
      <c r="F207" s="155"/>
    </row>
    <row r="208" spans="2:6" s="2" customFormat="1" ht="26.1" customHeight="1">
      <c r="B208" s="154"/>
      <c r="E208" s="155"/>
      <c r="F208" s="155"/>
    </row>
    <row r="209" spans="2:6" s="2" customFormat="1" ht="26.1" customHeight="1">
      <c r="B209" s="154"/>
      <c r="E209" s="155"/>
      <c r="F209" s="155"/>
    </row>
    <row r="210" spans="2:6" s="2" customFormat="1" ht="26.1" customHeight="1">
      <c r="B210" s="154"/>
      <c r="E210" s="155"/>
      <c r="F210" s="155"/>
    </row>
    <row r="211" spans="2:6" s="2" customFormat="1" ht="26.1" customHeight="1">
      <c r="B211" s="154"/>
      <c r="E211" s="155"/>
      <c r="F211" s="155"/>
    </row>
    <row r="212" spans="2:6" s="2" customFormat="1" ht="26.1" customHeight="1">
      <c r="B212" s="154"/>
      <c r="E212" s="155"/>
      <c r="F212" s="155"/>
    </row>
    <row r="213" spans="2:6" s="2" customFormat="1" ht="26.1" customHeight="1">
      <c r="B213" s="154"/>
      <c r="E213" s="155"/>
      <c r="F213" s="155"/>
    </row>
    <row r="214" spans="2:6" s="2" customFormat="1" ht="26.1" customHeight="1">
      <c r="B214" s="154"/>
      <c r="E214" s="155"/>
      <c r="F214" s="155"/>
    </row>
    <row r="215" spans="2:6" s="2" customFormat="1" ht="26.1" customHeight="1">
      <c r="B215" s="154"/>
      <c r="E215" s="155"/>
      <c r="F215" s="155"/>
    </row>
    <row r="216" spans="2:6" s="2" customFormat="1" ht="26.1" customHeight="1">
      <c r="B216" s="154"/>
      <c r="E216" s="155"/>
      <c r="F216" s="155"/>
    </row>
    <row r="217" spans="2:6" s="2" customFormat="1" ht="26.1" customHeight="1">
      <c r="B217" s="154"/>
      <c r="E217" s="155"/>
      <c r="F217" s="155"/>
    </row>
    <row r="218" spans="2:6" s="2" customFormat="1" ht="26.1" customHeight="1">
      <c r="B218" s="154"/>
      <c r="E218" s="155"/>
      <c r="F218" s="155"/>
    </row>
    <row r="219" spans="2:6" s="2" customFormat="1" ht="26.1" customHeight="1">
      <c r="B219" s="154"/>
      <c r="E219" s="155"/>
      <c r="F219" s="155"/>
    </row>
    <row r="220" spans="2:6" s="2" customFormat="1" ht="26.1" customHeight="1">
      <c r="B220" s="154"/>
      <c r="E220" s="155"/>
      <c r="F220" s="155"/>
    </row>
    <row r="221" spans="2:6" s="2" customFormat="1" ht="26.1" customHeight="1">
      <c r="B221" s="154"/>
      <c r="E221" s="155"/>
      <c r="F221" s="155"/>
    </row>
    <row r="222" spans="2:6" s="2" customFormat="1" ht="26.1" customHeight="1">
      <c r="B222" s="154"/>
      <c r="E222" s="155"/>
      <c r="F222" s="155"/>
    </row>
    <row r="223" spans="2:6" s="2" customFormat="1" ht="26.1" customHeight="1">
      <c r="B223" s="154"/>
      <c r="E223" s="155"/>
      <c r="F223" s="155"/>
    </row>
    <row r="224" spans="2:6" s="2" customFormat="1" ht="26.1" customHeight="1">
      <c r="B224" s="154"/>
      <c r="E224" s="155"/>
      <c r="F224" s="155"/>
    </row>
    <row r="225" spans="2:6" s="2" customFormat="1" ht="26.1" customHeight="1">
      <c r="B225" s="154"/>
      <c r="E225" s="155"/>
      <c r="F225" s="155"/>
    </row>
    <row r="226" spans="2:6" s="2" customFormat="1" ht="26.1" customHeight="1">
      <c r="B226" s="154"/>
      <c r="E226" s="155"/>
      <c r="F226" s="155"/>
    </row>
    <row r="227" spans="2:6" s="2" customFormat="1" ht="26.1" customHeight="1">
      <c r="B227" s="154"/>
      <c r="E227" s="155"/>
      <c r="F227" s="155"/>
    </row>
    <row r="228" spans="2:6" s="2" customFormat="1" ht="26.1" customHeight="1">
      <c r="B228" s="154"/>
      <c r="E228" s="155"/>
      <c r="F228" s="155"/>
    </row>
    <row r="229" spans="2:6" s="2" customFormat="1" ht="26.1" customHeight="1">
      <c r="B229" s="154"/>
      <c r="E229" s="155"/>
      <c r="F229" s="155"/>
    </row>
    <row r="230" spans="2:6" s="2" customFormat="1" ht="26.1" customHeight="1">
      <c r="B230" s="154"/>
      <c r="E230" s="155"/>
      <c r="F230" s="155"/>
    </row>
    <row r="231" spans="2:6" s="2" customFormat="1" ht="26.1" customHeight="1">
      <c r="B231" s="154"/>
      <c r="E231" s="155"/>
      <c r="F231" s="155"/>
    </row>
    <row r="232" spans="2:6" s="2" customFormat="1" ht="26.1" customHeight="1">
      <c r="B232" s="154"/>
      <c r="E232" s="155"/>
      <c r="F232" s="155"/>
    </row>
    <row r="233" spans="2:6" s="2" customFormat="1" ht="26.1" customHeight="1">
      <c r="B233" s="154"/>
      <c r="E233" s="155"/>
      <c r="F233" s="155"/>
    </row>
    <row r="234" spans="2:6" s="2" customFormat="1" ht="26.1" customHeight="1">
      <c r="B234" s="154"/>
      <c r="E234" s="155"/>
      <c r="F234" s="155"/>
    </row>
    <row r="235" spans="2:6" s="2" customFormat="1" ht="26.1" customHeight="1">
      <c r="B235" s="154"/>
      <c r="E235" s="155"/>
      <c r="F235" s="155"/>
    </row>
    <row r="236" spans="2:6" s="2" customFormat="1" ht="26.1" customHeight="1">
      <c r="B236" s="154"/>
      <c r="E236" s="155"/>
      <c r="F236" s="155"/>
    </row>
    <row r="237" spans="2:6" s="2" customFormat="1" ht="26.1" customHeight="1">
      <c r="B237" s="154"/>
      <c r="E237" s="155"/>
      <c r="F237" s="155"/>
    </row>
    <row r="238" spans="2:6" s="2" customFormat="1" ht="26.1" customHeight="1">
      <c r="B238" s="154"/>
      <c r="E238" s="155"/>
      <c r="F238" s="155"/>
    </row>
    <row r="239" spans="2:6" s="2" customFormat="1" ht="26.1" customHeight="1">
      <c r="B239" s="154"/>
      <c r="E239" s="155"/>
      <c r="F239" s="155"/>
    </row>
    <row r="240" spans="2:6" s="2" customFormat="1" ht="26.1" customHeight="1">
      <c r="B240" s="154"/>
      <c r="E240" s="155"/>
      <c r="F240" s="155"/>
    </row>
    <row r="241" spans="2:6" s="2" customFormat="1" ht="26.1" customHeight="1">
      <c r="B241" s="154"/>
      <c r="E241" s="155"/>
      <c r="F241" s="155"/>
    </row>
    <row r="242" spans="2:6" s="2" customFormat="1" ht="26.1" customHeight="1">
      <c r="B242" s="154"/>
      <c r="E242" s="155"/>
      <c r="F242" s="155"/>
    </row>
    <row r="243" spans="2:6" s="2" customFormat="1" ht="26.1" customHeight="1">
      <c r="B243" s="154"/>
      <c r="E243" s="155"/>
      <c r="F243" s="155"/>
    </row>
    <row r="244" spans="2:6" s="2" customFormat="1" ht="26.1" customHeight="1">
      <c r="B244" s="154"/>
      <c r="E244" s="155"/>
      <c r="F244" s="155"/>
    </row>
    <row r="245" spans="2:6" s="2" customFormat="1" ht="26.1" customHeight="1">
      <c r="B245" s="154"/>
      <c r="E245" s="155"/>
      <c r="F245" s="155"/>
    </row>
    <row r="246" spans="2:6" s="2" customFormat="1" ht="26.1" customHeight="1">
      <c r="B246" s="154"/>
      <c r="E246" s="155"/>
      <c r="F246" s="155"/>
    </row>
    <row r="247" spans="2:6" s="2" customFormat="1" ht="26.1" customHeight="1">
      <c r="B247" s="154"/>
      <c r="E247" s="155"/>
      <c r="F247" s="155"/>
    </row>
    <row r="248" spans="2:6" s="2" customFormat="1" ht="26.1" customHeight="1">
      <c r="B248" s="154"/>
      <c r="E248" s="155"/>
      <c r="F248" s="155"/>
    </row>
    <row r="249" spans="2:6" s="2" customFormat="1" ht="26.1" customHeight="1">
      <c r="B249" s="154"/>
      <c r="E249" s="155"/>
      <c r="F249" s="155"/>
    </row>
    <row r="250" spans="2:6" s="2" customFormat="1" ht="26.1" customHeight="1">
      <c r="B250" s="154"/>
      <c r="E250" s="155"/>
      <c r="F250" s="155"/>
    </row>
    <row r="251" spans="2:6" s="2" customFormat="1" ht="26.1" customHeight="1">
      <c r="B251" s="154"/>
      <c r="E251" s="155"/>
      <c r="F251" s="155"/>
    </row>
    <row r="252" spans="2:6" s="2" customFormat="1" ht="26.1" customHeight="1">
      <c r="B252" s="154"/>
      <c r="E252" s="155"/>
      <c r="F252" s="155"/>
    </row>
    <row r="253" spans="2:6" s="2" customFormat="1" ht="26.1" customHeight="1">
      <c r="B253" s="154"/>
      <c r="E253" s="155"/>
      <c r="F253" s="155"/>
    </row>
    <row r="254" spans="2:6" s="2" customFormat="1" ht="26.1" customHeight="1">
      <c r="B254" s="154"/>
      <c r="E254" s="155"/>
      <c r="F254" s="155"/>
    </row>
    <row r="255" spans="2:6" s="2" customFormat="1" ht="26.1" customHeight="1">
      <c r="B255" s="154"/>
      <c r="E255" s="155"/>
      <c r="F255" s="155"/>
    </row>
    <row r="256" spans="2:6" s="2" customFormat="1" ht="26.1" customHeight="1">
      <c r="B256" s="154"/>
      <c r="E256" s="155"/>
      <c r="F256" s="155"/>
    </row>
    <row r="257" spans="2:6" s="2" customFormat="1" ht="26.1" customHeight="1">
      <c r="B257" s="154"/>
      <c r="E257" s="155"/>
      <c r="F257" s="155"/>
    </row>
    <row r="258" spans="2:6" s="2" customFormat="1" ht="26.1" customHeight="1">
      <c r="B258" s="154"/>
      <c r="E258" s="155"/>
      <c r="F258" s="155"/>
    </row>
    <row r="259" spans="2:6" s="2" customFormat="1" ht="26.1" customHeight="1">
      <c r="B259" s="154"/>
      <c r="E259" s="155"/>
      <c r="F259" s="155"/>
    </row>
    <row r="260" spans="2:6" s="2" customFormat="1" ht="26.1" customHeight="1">
      <c r="B260" s="154"/>
      <c r="E260" s="155"/>
      <c r="F260" s="155"/>
    </row>
    <row r="261" spans="2:6" s="2" customFormat="1" ht="26.1" customHeight="1">
      <c r="B261" s="154"/>
      <c r="E261" s="155"/>
      <c r="F261" s="155"/>
    </row>
    <row r="262" spans="2:6" s="2" customFormat="1" ht="26.1" customHeight="1">
      <c r="B262" s="154"/>
      <c r="E262" s="155"/>
      <c r="F262" s="155"/>
    </row>
    <row r="263" spans="2:6" s="2" customFormat="1" ht="26.1" customHeight="1">
      <c r="B263" s="154"/>
      <c r="E263" s="155"/>
      <c r="F263" s="155"/>
    </row>
    <row r="264" spans="2:6" s="2" customFormat="1" ht="26.1" customHeight="1">
      <c r="B264" s="154"/>
      <c r="E264" s="155"/>
      <c r="F264" s="155"/>
    </row>
    <row r="265" spans="2:6" s="2" customFormat="1" ht="26.1" customHeight="1">
      <c r="B265" s="154"/>
      <c r="E265" s="155"/>
      <c r="F265" s="155"/>
    </row>
    <row r="266" spans="2:6" s="2" customFormat="1" ht="26.1" customHeight="1">
      <c r="B266" s="154"/>
      <c r="E266" s="155"/>
      <c r="F266" s="155"/>
    </row>
    <row r="267" spans="2:6" s="2" customFormat="1" ht="26.1" customHeight="1">
      <c r="B267" s="154"/>
      <c r="E267" s="155"/>
      <c r="F267" s="155"/>
    </row>
    <row r="268" spans="2:6" s="2" customFormat="1" ht="26.1" customHeight="1">
      <c r="B268" s="154"/>
      <c r="E268" s="155"/>
      <c r="F268" s="155"/>
    </row>
    <row r="269" spans="2:6" s="2" customFormat="1" ht="26.1" customHeight="1">
      <c r="B269" s="154"/>
      <c r="E269" s="155"/>
      <c r="F269" s="155"/>
    </row>
    <row r="270" spans="2:6" s="2" customFormat="1" ht="26.1" customHeight="1">
      <c r="B270" s="154"/>
      <c r="E270" s="155"/>
      <c r="F270" s="155"/>
    </row>
    <row r="271" spans="2:6" s="2" customFormat="1" ht="26.1" customHeight="1">
      <c r="B271" s="154"/>
      <c r="E271" s="155"/>
      <c r="F271" s="155"/>
    </row>
    <row r="272" spans="2:6" s="2" customFormat="1" ht="26.1" customHeight="1">
      <c r="B272" s="154"/>
      <c r="E272" s="155"/>
      <c r="F272" s="155"/>
    </row>
    <row r="273" spans="2:6" s="2" customFormat="1" ht="26.1" customHeight="1">
      <c r="B273" s="154"/>
      <c r="E273" s="155"/>
      <c r="F273" s="155"/>
    </row>
    <row r="274" spans="2:6" s="2" customFormat="1" ht="26.1" customHeight="1">
      <c r="B274" s="154"/>
      <c r="E274" s="155"/>
      <c r="F274" s="155"/>
    </row>
    <row r="275" spans="2:6" s="2" customFormat="1" ht="26.1" customHeight="1">
      <c r="B275" s="154"/>
      <c r="E275" s="155"/>
      <c r="F275" s="155"/>
    </row>
    <row r="276" spans="2:6" s="2" customFormat="1" ht="26.1" customHeight="1">
      <c r="B276" s="154"/>
      <c r="E276" s="155"/>
      <c r="F276" s="155"/>
    </row>
    <row r="277" spans="2:6" s="2" customFormat="1" ht="26.1" customHeight="1">
      <c r="B277" s="154"/>
      <c r="E277" s="155"/>
      <c r="F277" s="155"/>
    </row>
    <row r="278" spans="2:6" s="2" customFormat="1" ht="26.1" customHeight="1">
      <c r="B278" s="154"/>
      <c r="E278" s="155"/>
      <c r="F278" s="155"/>
    </row>
    <row r="279" spans="2:6" s="2" customFormat="1" ht="26.1" customHeight="1">
      <c r="B279" s="154"/>
      <c r="E279" s="155"/>
      <c r="F279" s="155"/>
    </row>
    <row r="280" spans="2:6" s="2" customFormat="1" ht="26.1" customHeight="1">
      <c r="B280" s="154"/>
      <c r="E280" s="155"/>
      <c r="F280" s="155"/>
    </row>
    <row r="281" spans="2:6" s="2" customFormat="1" ht="26.1" customHeight="1">
      <c r="B281" s="154"/>
      <c r="E281" s="155"/>
      <c r="F281" s="155"/>
    </row>
    <row r="282" spans="2:6" s="2" customFormat="1" ht="26.1" customHeight="1">
      <c r="B282" s="154"/>
      <c r="E282" s="155"/>
      <c r="F282" s="155"/>
    </row>
    <row r="283" spans="2:6" s="2" customFormat="1" ht="26.1" customHeight="1">
      <c r="B283" s="154"/>
      <c r="E283" s="155"/>
      <c r="F283" s="155"/>
    </row>
    <row r="284" spans="2:6" s="2" customFormat="1" ht="26.1" customHeight="1">
      <c r="B284" s="154"/>
      <c r="E284" s="155"/>
      <c r="F284" s="155"/>
    </row>
    <row r="285" spans="2:6" s="2" customFormat="1" ht="26.1" customHeight="1">
      <c r="B285" s="156"/>
      <c r="E285" s="155"/>
      <c r="F285" s="155"/>
    </row>
    <row r="286" spans="2:6" s="2" customFormat="1" ht="26.1" customHeight="1">
      <c r="B286" s="156"/>
      <c r="E286" s="155"/>
      <c r="F286" s="155"/>
    </row>
    <row r="287" spans="2:6" s="2" customFormat="1" ht="26.1" customHeight="1">
      <c r="B287" s="156"/>
      <c r="E287" s="155"/>
      <c r="F287" s="157"/>
    </row>
    <row r="288" spans="2:6" s="2" customFormat="1" ht="26.1" customHeight="1">
      <c r="B288" s="156"/>
      <c r="E288" s="155"/>
      <c r="F288" s="157"/>
    </row>
    <row r="289" spans="2:6" s="2" customFormat="1" ht="26.1" customHeight="1">
      <c r="B289" s="156"/>
      <c r="E289" s="155"/>
      <c r="F289" s="157"/>
    </row>
    <row r="290" spans="2:6" s="2" customFormat="1" ht="26.1" customHeight="1">
      <c r="B290" s="154"/>
      <c r="E290" s="155"/>
      <c r="F290" s="157"/>
    </row>
    <row r="291" spans="2:6" s="2" customFormat="1" ht="26.1" customHeight="1">
      <c r="B291" s="154"/>
      <c r="E291" s="155"/>
      <c r="F291" s="157"/>
    </row>
    <row r="292" spans="2:6" s="2" customFormat="1" ht="26.1" customHeight="1">
      <c r="B292" s="154"/>
      <c r="E292" s="155"/>
      <c r="F292" s="157"/>
    </row>
    <row r="293" spans="2:6" s="2" customFormat="1" ht="26.1" customHeight="1">
      <c r="B293" s="154"/>
      <c r="E293" s="155"/>
      <c r="F293" s="157"/>
    </row>
    <row r="294" spans="2:6" s="2" customFormat="1" ht="26.1" customHeight="1">
      <c r="B294" s="154"/>
      <c r="E294" s="155"/>
      <c r="F294" s="157"/>
    </row>
    <row r="295" spans="2:6" s="2" customFormat="1" ht="26.1" customHeight="1">
      <c r="B295" s="154"/>
      <c r="E295" s="155"/>
      <c r="F295" s="157"/>
    </row>
    <row r="296" spans="2:6" s="2" customFormat="1" ht="26.1" customHeight="1">
      <c r="B296" s="154"/>
      <c r="E296" s="155"/>
      <c r="F296" s="157"/>
    </row>
    <row r="297" spans="2:6" s="2" customFormat="1" ht="26.1" customHeight="1">
      <c r="B297" s="154"/>
      <c r="E297" s="155"/>
      <c r="F297" s="157"/>
    </row>
    <row r="298" spans="2:6" s="2" customFormat="1" ht="26.1" customHeight="1">
      <c r="B298" s="154"/>
      <c r="E298" s="155"/>
      <c r="F298" s="157"/>
    </row>
    <row r="299" spans="2:6" s="2" customFormat="1" ht="26.1" customHeight="1">
      <c r="B299" s="154"/>
      <c r="E299" s="155"/>
      <c r="F299" s="157"/>
    </row>
    <row r="300" spans="2:6" s="2" customFormat="1" ht="26.1" customHeight="1">
      <c r="B300" s="154"/>
      <c r="E300" s="155"/>
      <c r="F300" s="157"/>
    </row>
    <row r="301" spans="2:6" s="2" customFormat="1" ht="26.1" customHeight="1">
      <c r="B301" s="154"/>
      <c r="E301" s="155"/>
      <c r="F301" s="157"/>
    </row>
    <row r="302" spans="2:6" s="2" customFormat="1" ht="26.1" customHeight="1">
      <c r="B302" s="154"/>
      <c r="E302" s="155"/>
      <c r="F302" s="157"/>
    </row>
    <row r="303" spans="2:6" s="2" customFormat="1" ht="26.1" customHeight="1">
      <c r="B303" s="154"/>
      <c r="E303" s="155"/>
      <c r="F303" s="157"/>
    </row>
    <row r="304" spans="2:6" s="2" customFormat="1" ht="26.1" customHeight="1">
      <c r="B304" s="154"/>
      <c r="E304" s="155"/>
      <c r="F304" s="157"/>
    </row>
    <row r="305" spans="2:6" s="2" customFormat="1" ht="26.1" customHeight="1">
      <c r="B305" s="154"/>
      <c r="E305" s="155"/>
      <c r="F305" s="157"/>
    </row>
    <row r="306" spans="2:6" s="2" customFormat="1" ht="26.1" customHeight="1">
      <c r="B306" s="154"/>
      <c r="E306" s="155"/>
      <c r="F306" s="157"/>
    </row>
    <row r="307" spans="2:6" s="2" customFormat="1" ht="26.1" customHeight="1">
      <c r="B307" s="154"/>
      <c r="E307" s="155"/>
      <c r="F307" s="157"/>
    </row>
    <row r="308" spans="2:6" s="2" customFormat="1" ht="26.1" customHeight="1">
      <c r="B308" s="154"/>
      <c r="E308" s="155"/>
      <c r="F308" s="157"/>
    </row>
    <row r="309" spans="2:6" s="2" customFormat="1" ht="26.1" customHeight="1">
      <c r="B309" s="154"/>
      <c r="E309" s="155"/>
      <c r="F309" s="157"/>
    </row>
    <row r="310" spans="2:6" s="2" customFormat="1" ht="26.1" customHeight="1">
      <c r="B310" s="154"/>
      <c r="E310" s="155"/>
      <c r="F310" s="157"/>
    </row>
    <row r="311" spans="2:6" s="2" customFormat="1" ht="26.1" customHeight="1">
      <c r="B311" s="154"/>
      <c r="E311" s="155"/>
      <c r="F311" s="157"/>
    </row>
    <row r="312" spans="2:6" s="2" customFormat="1" ht="26.1" customHeight="1">
      <c r="B312" s="154"/>
      <c r="E312" s="155"/>
      <c r="F312" s="157"/>
    </row>
    <row r="313" spans="2:6" s="2" customFormat="1" ht="26.1" customHeight="1">
      <c r="B313" s="154"/>
      <c r="E313" s="155"/>
      <c r="F313" s="157"/>
    </row>
    <row r="314" spans="2:6" s="2" customFormat="1" ht="26.1" customHeight="1">
      <c r="B314" s="154"/>
      <c r="E314" s="155"/>
      <c r="F314" s="157"/>
    </row>
    <row r="315" spans="2:6" s="2" customFormat="1" ht="26.1" customHeight="1">
      <c r="B315" s="154"/>
      <c r="E315" s="155"/>
      <c r="F315" s="157"/>
    </row>
    <row r="316" spans="2:6" s="2" customFormat="1" ht="26.1" customHeight="1">
      <c r="B316" s="154"/>
      <c r="E316" s="155"/>
      <c r="F316" s="157"/>
    </row>
    <row r="317" spans="2:6" s="2" customFormat="1" ht="26.1" customHeight="1">
      <c r="B317" s="154"/>
      <c r="E317" s="155"/>
      <c r="F317" s="157"/>
    </row>
    <row r="318" spans="2:6" s="2" customFormat="1" ht="26.1" customHeight="1">
      <c r="B318" s="154"/>
      <c r="E318" s="155"/>
      <c r="F318" s="157"/>
    </row>
    <row r="319" spans="2:6" s="2" customFormat="1" ht="26.1" customHeight="1">
      <c r="B319" s="154"/>
      <c r="E319" s="155"/>
      <c r="F319" s="157"/>
    </row>
    <row r="320" spans="2:6" s="2" customFormat="1" ht="26.1" customHeight="1">
      <c r="B320" s="154"/>
      <c r="E320" s="155"/>
      <c r="F320" s="157"/>
    </row>
    <row r="321" spans="2:6" s="2" customFormat="1" ht="26.1" customHeight="1">
      <c r="B321" s="154"/>
      <c r="E321" s="155"/>
      <c r="F321" s="157"/>
    </row>
    <row r="322" spans="2:6" s="2" customFormat="1" ht="26.1" customHeight="1">
      <c r="B322" s="154"/>
      <c r="E322" s="155"/>
      <c r="F322" s="157"/>
    </row>
    <row r="323" spans="2:6" s="2" customFormat="1" ht="26.1" customHeight="1">
      <c r="B323" s="154"/>
      <c r="E323" s="155"/>
      <c r="F323" s="157"/>
    </row>
    <row r="324" spans="2:6" s="2" customFormat="1" ht="26.1" customHeight="1">
      <c r="B324" s="154"/>
      <c r="E324" s="155"/>
      <c r="F324" s="157"/>
    </row>
    <row r="325" spans="2:6" s="2" customFormat="1" ht="26.1" customHeight="1">
      <c r="B325" s="154"/>
      <c r="E325" s="155"/>
      <c r="F325" s="157"/>
    </row>
    <row r="326" spans="2:6" s="2" customFormat="1" ht="26.1" customHeight="1">
      <c r="B326" s="154"/>
      <c r="E326" s="155"/>
      <c r="F326" s="157"/>
    </row>
    <row r="327" spans="2:6" s="2" customFormat="1" ht="26.1" customHeight="1">
      <c r="B327" s="154"/>
      <c r="E327" s="155"/>
      <c r="F327" s="157"/>
    </row>
    <row r="328" spans="2:6" s="2" customFormat="1" ht="26.1" customHeight="1">
      <c r="B328" s="154"/>
      <c r="E328" s="155"/>
      <c r="F328" s="157"/>
    </row>
    <row r="329" spans="2:6" s="2" customFormat="1" ht="26.1" customHeight="1">
      <c r="B329" s="154"/>
      <c r="E329" s="155"/>
      <c r="F329" s="157"/>
    </row>
    <row r="330" spans="2:6" s="2" customFormat="1" ht="26.1" customHeight="1">
      <c r="B330" s="154"/>
      <c r="E330" s="155"/>
      <c r="F330" s="157"/>
    </row>
    <row r="331" spans="2:6" s="2" customFormat="1" ht="26.1" customHeight="1">
      <c r="B331" s="154"/>
      <c r="E331" s="155"/>
      <c r="F331" s="157"/>
    </row>
    <row r="332" spans="2:6" s="2" customFormat="1" ht="26.1" customHeight="1">
      <c r="B332" s="154"/>
      <c r="E332" s="155"/>
      <c r="F332" s="157"/>
    </row>
    <row r="333" spans="2:6" s="2" customFormat="1" ht="26.1" customHeight="1">
      <c r="B333" s="154"/>
      <c r="E333" s="155"/>
      <c r="F333" s="157"/>
    </row>
    <row r="334" spans="2:6" s="2" customFormat="1" ht="26.1" customHeight="1">
      <c r="B334" s="154"/>
      <c r="E334" s="155"/>
      <c r="F334" s="157"/>
    </row>
    <row r="335" spans="2:6" s="2" customFormat="1" ht="26.1" customHeight="1">
      <c r="B335" s="154"/>
      <c r="E335" s="155"/>
      <c r="F335" s="157"/>
    </row>
    <row r="336" spans="2:6" s="2" customFormat="1" ht="26.1" customHeight="1">
      <c r="B336" s="154"/>
      <c r="E336" s="155"/>
      <c r="F336" s="157"/>
    </row>
    <row r="337" spans="2:6" s="2" customFormat="1" ht="26.1" customHeight="1">
      <c r="B337" s="154"/>
      <c r="E337" s="155"/>
      <c r="F337" s="157"/>
    </row>
    <row r="338" spans="2:6" s="2" customFormat="1" ht="26.1" customHeight="1">
      <c r="B338" s="154"/>
      <c r="E338" s="155"/>
      <c r="F338" s="157"/>
    </row>
    <row r="339" spans="2:6" s="2" customFormat="1" ht="26.1" customHeight="1">
      <c r="B339" s="154"/>
      <c r="E339" s="155"/>
      <c r="F339" s="157"/>
    </row>
    <row r="340" spans="2:6" s="2" customFormat="1" ht="26.1" customHeight="1">
      <c r="B340" s="154"/>
      <c r="E340" s="155"/>
      <c r="F340" s="157"/>
    </row>
    <row r="341" spans="2:6" s="2" customFormat="1" ht="26.1" customHeight="1">
      <c r="B341" s="154"/>
      <c r="E341" s="155"/>
      <c r="F341" s="157"/>
    </row>
    <row r="342" spans="2:6" s="2" customFormat="1" ht="26.1" customHeight="1">
      <c r="B342" s="154"/>
      <c r="E342" s="155"/>
      <c r="F342" s="157"/>
    </row>
    <row r="343" spans="2:6" s="2" customFormat="1" ht="26.1" customHeight="1">
      <c r="B343" s="154"/>
      <c r="E343" s="155"/>
      <c r="F343" s="157"/>
    </row>
    <row r="344" spans="2:6" s="2" customFormat="1" ht="26.1" customHeight="1">
      <c r="B344" s="154"/>
      <c r="E344" s="155"/>
      <c r="F344" s="157"/>
    </row>
    <row r="345" spans="2:6" s="2" customFormat="1" ht="26.1" customHeight="1">
      <c r="B345" s="154"/>
      <c r="E345" s="155"/>
      <c r="F345" s="157"/>
    </row>
    <row r="346" spans="2:6" s="2" customFormat="1" ht="26.1" customHeight="1">
      <c r="B346" s="154"/>
      <c r="E346" s="155"/>
      <c r="F346" s="155"/>
    </row>
    <row r="347" spans="2:6" s="2" customFormat="1" ht="26.1" customHeight="1">
      <c r="B347" s="154"/>
      <c r="E347" s="155"/>
      <c r="F347" s="155"/>
    </row>
    <row r="348" spans="2:6" s="2" customFormat="1" ht="26.1" customHeight="1">
      <c r="B348" s="154"/>
      <c r="E348" s="155"/>
      <c r="F348" s="155"/>
    </row>
    <row r="349" spans="2:6" s="2" customFormat="1" ht="26.1" customHeight="1">
      <c r="B349" s="154"/>
      <c r="E349" s="155"/>
      <c r="F349" s="155"/>
    </row>
    <row r="350" spans="2:6" s="2" customFormat="1" ht="26.1" customHeight="1">
      <c r="B350" s="154"/>
      <c r="E350" s="155"/>
      <c r="F350" s="155"/>
    </row>
    <row r="351" spans="2:6" s="2" customFormat="1" ht="26.1" customHeight="1">
      <c r="B351" s="154"/>
      <c r="E351" s="155"/>
      <c r="F351" s="155"/>
    </row>
    <row r="352" spans="2:6" s="2" customFormat="1" ht="26.1" customHeight="1">
      <c r="B352" s="154"/>
      <c r="E352" s="155"/>
      <c r="F352" s="155"/>
    </row>
    <row r="353" spans="2:6" s="2" customFormat="1" ht="26.1" customHeight="1">
      <c r="B353" s="154"/>
      <c r="E353" s="155"/>
      <c r="F353" s="155"/>
    </row>
    <row r="354" spans="2:6" s="2" customFormat="1" ht="26.1" customHeight="1">
      <c r="B354" s="154"/>
      <c r="E354" s="155"/>
      <c r="F354" s="155"/>
    </row>
    <row r="355" spans="2:6" s="2" customFormat="1" ht="26.1" customHeight="1">
      <c r="B355" s="154"/>
      <c r="E355" s="155"/>
      <c r="F355" s="155"/>
    </row>
    <row r="356" spans="2:6" s="2" customFormat="1" ht="26.1" customHeight="1">
      <c r="B356" s="154"/>
      <c r="E356" s="155"/>
      <c r="F356" s="155"/>
    </row>
    <row r="357" spans="2:6" s="2" customFormat="1" ht="26.1" customHeight="1">
      <c r="B357" s="154"/>
      <c r="E357" s="155"/>
      <c r="F357" s="155"/>
    </row>
    <row r="358" spans="2:6" s="2" customFormat="1" ht="26.1" customHeight="1">
      <c r="B358" s="154"/>
      <c r="E358" s="155"/>
      <c r="F358" s="155"/>
    </row>
    <row r="359" spans="2:6" s="2" customFormat="1" ht="26.1" customHeight="1">
      <c r="B359" s="154"/>
      <c r="E359" s="155"/>
      <c r="F359" s="155"/>
    </row>
    <row r="360" spans="2:6" s="2" customFormat="1" ht="26.1" customHeight="1">
      <c r="B360" s="154"/>
      <c r="E360" s="155"/>
      <c r="F360" s="155"/>
    </row>
    <row r="361" spans="2:6" s="2" customFormat="1" ht="26.1" customHeight="1">
      <c r="B361" s="154"/>
      <c r="E361" s="155"/>
      <c r="F361" s="155"/>
    </row>
    <row r="362" spans="2:6" s="2" customFormat="1" ht="26.1" customHeight="1">
      <c r="B362" s="154"/>
      <c r="E362" s="155"/>
      <c r="F362" s="155"/>
    </row>
    <row r="363" spans="2:6" s="2" customFormat="1" ht="26.1" customHeight="1">
      <c r="B363" s="154"/>
      <c r="E363" s="155"/>
      <c r="F363" s="155"/>
    </row>
    <row r="364" spans="2:6" s="2" customFormat="1" ht="26.1" customHeight="1">
      <c r="B364" s="154"/>
      <c r="E364" s="155"/>
      <c r="F364" s="155"/>
    </row>
    <row r="365" spans="2:6" s="2" customFormat="1" ht="26.1" customHeight="1">
      <c r="B365" s="154"/>
      <c r="E365" s="155"/>
      <c r="F365" s="155"/>
    </row>
    <row r="366" spans="2:6" s="2" customFormat="1" ht="26.1" customHeight="1">
      <c r="B366" s="154"/>
      <c r="E366" s="155"/>
      <c r="F366" s="155"/>
    </row>
    <row r="367" spans="2:6" s="2" customFormat="1" ht="26.1" customHeight="1">
      <c r="B367" s="154"/>
      <c r="E367" s="155"/>
      <c r="F367" s="155"/>
    </row>
    <row r="368" spans="2:6" s="2" customFormat="1" ht="26.1" customHeight="1">
      <c r="B368" s="154"/>
      <c r="E368" s="155"/>
      <c r="F368" s="155"/>
    </row>
    <row r="369" spans="2:6" s="2" customFormat="1" ht="26.1" customHeight="1">
      <c r="B369" s="154"/>
      <c r="E369" s="155"/>
      <c r="F369" s="155"/>
    </row>
    <row r="370" spans="2:6" s="2" customFormat="1" ht="26.1" customHeight="1">
      <c r="B370" s="154"/>
      <c r="E370" s="155"/>
      <c r="F370" s="155"/>
    </row>
    <row r="371" spans="2:6" s="2" customFormat="1" ht="26.1" customHeight="1">
      <c r="B371" s="154"/>
      <c r="E371" s="155"/>
      <c r="F371" s="155"/>
    </row>
    <row r="372" spans="2:6" s="2" customFormat="1" ht="26.1" customHeight="1">
      <c r="B372" s="154"/>
      <c r="E372" s="155"/>
      <c r="F372" s="155"/>
    </row>
    <row r="373" spans="2:6" s="2" customFormat="1" ht="26.1" customHeight="1">
      <c r="B373" s="154"/>
      <c r="E373" s="155"/>
      <c r="F373" s="155"/>
    </row>
    <row r="374" spans="2:6" s="2" customFormat="1" ht="26.1" customHeight="1">
      <c r="B374" s="154"/>
      <c r="E374" s="155"/>
      <c r="F374" s="155"/>
    </row>
    <row r="375" spans="2:6" s="2" customFormat="1" ht="26.1" customHeight="1">
      <c r="B375" s="154"/>
      <c r="E375" s="155"/>
      <c r="F375" s="155"/>
    </row>
    <row r="376" spans="2:6" s="2" customFormat="1" ht="26.1" customHeight="1">
      <c r="B376" s="154"/>
      <c r="E376" s="155"/>
      <c r="F376" s="155"/>
    </row>
    <row r="377" spans="2:6" s="2" customFormat="1" ht="26.1" customHeight="1">
      <c r="B377" s="154"/>
      <c r="E377" s="155"/>
      <c r="F377" s="155"/>
    </row>
    <row r="378" spans="2:6" s="2" customFormat="1" ht="26.1" customHeight="1">
      <c r="B378" s="154"/>
      <c r="E378" s="155"/>
      <c r="F378" s="155"/>
    </row>
    <row r="379" spans="2:6" s="2" customFormat="1" ht="26.1" customHeight="1">
      <c r="B379" s="154"/>
      <c r="E379" s="155"/>
      <c r="F379" s="155"/>
    </row>
    <row r="380" spans="2:6" s="2" customFormat="1" ht="26.1" customHeight="1">
      <c r="B380" s="154"/>
      <c r="E380" s="155"/>
      <c r="F380" s="155"/>
    </row>
    <row r="381" spans="2:6" s="2" customFormat="1" ht="26.1" customHeight="1">
      <c r="B381" s="156"/>
      <c r="E381" s="155"/>
      <c r="F381" s="155"/>
    </row>
    <row r="382" spans="2:6" s="2" customFormat="1" ht="26.1" customHeight="1">
      <c r="B382" s="156"/>
      <c r="E382" s="155"/>
      <c r="F382" s="155"/>
    </row>
    <row r="383" spans="2:6" s="2" customFormat="1" ht="26.1" customHeight="1">
      <c r="B383" s="156"/>
      <c r="E383" s="155"/>
      <c r="F383" s="155"/>
    </row>
    <row r="384" spans="2:6" s="2" customFormat="1" ht="26.1" customHeight="1">
      <c r="B384" s="154"/>
      <c r="E384" s="155"/>
      <c r="F384" s="157"/>
    </row>
    <row r="385" spans="2:6" s="2" customFormat="1" ht="26.1" customHeight="1">
      <c r="B385" s="154"/>
      <c r="E385" s="155"/>
      <c r="F385" s="155"/>
    </row>
    <row r="386" spans="2:6" s="2" customFormat="1" ht="26.1" customHeight="1">
      <c r="B386" s="154"/>
      <c r="E386" s="155"/>
      <c r="F386" s="155"/>
    </row>
    <row r="387" spans="2:6" s="2" customFormat="1" ht="26.1" customHeight="1">
      <c r="B387" s="154"/>
      <c r="E387" s="155"/>
      <c r="F387" s="155"/>
    </row>
    <row r="388" spans="2:6" s="2" customFormat="1" ht="26.1" customHeight="1">
      <c r="B388" s="154"/>
      <c r="E388" s="155"/>
      <c r="F388" s="155"/>
    </row>
    <row r="389" spans="2:6" s="2" customFormat="1" ht="26.1" customHeight="1">
      <c r="B389" s="154"/>
      <c r="E389" s="155"/>
      <c r="F389" s="155"/>
    </row>
    <row r="390" spans="2:6" s="2" customFormat="1" ht="26.1" customHeight="1">
      <c r="B390" s="154"/>
      <c r="E390" s="155"/>
      <c r="F390" s="155"/>
    </row>
    <row r="391" spans="2:6" s="2" customFormat="1" ht="26.1" customHeight="1">
      <c r="B391" s="154"/>
      <c r="E391" s="155"/>
      <c r="F391" s="155"/>
    </row>
    <row r="392" spans="2:6" s="2" customFormat="1" ht="26.1" customHeight="1">
      <c r="B392" s="154"/>
      <c r="E392" s="155"/>
      <c r="F392" s="155"/>
    </row>
    <row r="393" spans="2:6" s="2" customFormat="1" ht="26.1" customHeight="1">
      <c r="B393" s="154"/>
      <c r="E393" s="155"/>
      <c r="F393" s="155"/>
    </row>
    <row r="394" spans="2:6" s="2" customFormat="1" ht="26.1" customHeight="1">
      <c r="B394" s="154"/>
      <c r="E394" s="155"/>
      <c r="F394" s="155"/>
    </row>
    <row r="395" spans="2:6" s="2" customFormat="1" ht="26.1" customHeight="1">
      <c r="B395" s="154"/>
      <c r="E395" s="155"/>
      <c r="F395" s="155"/>
    </row>
    <row r="396" spans="2:6" s="2" customFormat="1" ht="26.1" customHeight="1">
      <c r="B396" s="154"/>
      <c r="E396" s="155"/>
      <c r="F396" s="155"/>
    </row>
    <row r="397" spans="2:6" s="2" customFormat="1" ht="26.1" customHeight="1">
      <c r="B397" s="154"/>
      <c r="E397" s="155"/>
      <c r="F397" s="155"/>
    </row>
    <row r="398" spans="2:6" s="2" customFormat="1" ht="26.1" customHeight="1">
      <c r="B398" s="154"/>
      <c r="E398" s="155"/>
      <c r="F398" s="155"/>
    </row>
    <row r="399" spans="2:6" s="2" customFormat="1" ht="26.1" customHeight="1">
      <c r="B399" s="154"/>
      <c r="E399" s="155"/>
      <c r="F399" s="155"/>
    </row>
    <row r="400" spans="2:6" s="2" customFormat="1" ht="26.1" customHeight="1">
      <c r="B400" s="154"/>
      <c r="E400" s="155"/>
      <c r="F400" s="155"/>
    </row>
    <row r="401" spans="2:6" s="2" customFormat="1" ht="26.1" customHeight="1">
      <c r="B401" s="154"/>
      <c r="E401" s="155"/>
      <c r="F401" s="155"/>
    </row>
    <row r="402" spans="2:6" s="2" customFormat="1" ht="26.1" customHeight="1">
      <c r="B402" s="154"/>
      <c r="E402" s="155"/>
      <c r="F402" s="155"/>
    </row>
    <row r="403" spans="2:6" s="2" customFormat="1" ht="26.1" customHeight="1">
      <c r="B403" s="154"/>
      <c r="E403" s="155"/>
      <c r="F403" s="155"/>
    </row>
    <row r="404" spans="2:6" s="2" customFormat="1" ht="26.1" customHeight="1">
      <c r="B404" s="154"/>
      <c r="E404" s="155"/>
      <c r="F404" s="155"/>
    </row>
    <row r="405" spans="2:6" s="2" customFormat="1" ht="26.1" customHeight="1">
      <c r="B405" s="154"/>
      <c r="C405" s="158"/>
      <c r="D405" s="159"/>
      <c r="E405" s="155"/>
      <c r="F405" s="155"/>
    </row>
    <row r="406" spans="2:6" s="2" customFormat="1" ht="26.1" customHeight="1">
      <c r="B406" s="154"/>
      <c r="C406" s="159"/>
      <c r="D406" s="159"/>
      <c r="E406" s="164"/>
      <c r="F406" s="155"/>
    </row>
    <row r="407" spans="2:6" s="159" customFormat="1" ht="26.1" customHeight="1">
      <c r="B407" s="160"/>
      <c r="E407" s="164"/>
      <c r="F407" s="155"/>
    </row>
    <row r="408" spans="2:6" s="159" customFormat="1" ht="26.1" customHeight="1">
      <c r="B408" s="160"/>
      <c r="E408" s="164"/>
      <c r="F408" s="155"/>
    </row>
    <row r="409" spans="2:6" s="159" customFormat="1" ht="26.1" customHeight="1">
      <c r="B409" s="160"/>
      <c r="E409" s="164"/>
      <c r="F409" s="155"/>
    </row>
    <row r="410" spans="2:6" s="159" customFormat="1" ht="26.1" customHeight="1">
      <c r="B410" s="160"/>
      <c r="E410" s="164"/>
      <c r="F410" s="155"/>
    </row>
    <row r="411" spans="2:6" s="159" customFormat="1" ht="26.1" customHeight="1">
      <c r="B411" s="160"/>
      <c r="E411" s="164"/>
      <c r="F411" s="155"/>
    </row>
    <row r="412" spans="2:6" s="159" customFormat="1" ht="26.1" customHeight="1">
      <c r="B412" s="160"/>
      <c r="E412" s="164"/>
      <c r="F412" s="155"/>
    </row>
    <row r="413" spans="2:6" s="159" customFormat="1" ht="26.1" customHeight="1">
      <c r="B413" s="160"/>
      <c r="E413" s="164"/>
      <c r="F413" s="155"/>
    </row>
    <row r="414" spans="2:6" s="159" customFormat="1" ht="26.1" customHeight="1">
      <c r="B414" s="160"/>
      <c r="E414" s="164"/>
      <c r="F414" s="155"/>
    </row>
    <row r="415" spans="2:6" s="159" customFormat="1" ht="26.1" customHeight="1">
      <c r="B415" s="160"/>
      <c r="E415" s="164"/>
      <c r="F415" s="155"/>
    </row>
    <row r="416" spans="2:6" s="2" customFormat="1" ht="26.1" customHeight="1">
      <c r="B416" s="154"/>
      <c r="C416" s="159"/>
      <c r="E416" s="164"/>
      <c r="F416" s="155"/>
    </row>
    <row r="417" spans="2:6" s="2" customFormat="1" ht="26.1" customHeight="1">
      <c r="B417" s="154"/>
      <c r="C417" s="159"/>
      <c r="E417" s="164"/>
      <c r="F417" s="155"/>
    </row>
    <row r="418" spans="2:6" s="2" customFormat="1" ht="26.1" customHeight="1">
      <c r="B418" s="154"/>
      <c r="C418" s="159"/>
      <c r="E418" s="164"/>
      <c r="F418" s="155"/>
    </row>
    <row r="419" spans="2:6" s="2" customFormat="1" ht="26.1" customHeight="1">
      <c r="B419" s="154"/>
      <c r="C419" s="159"/>
      <c r="E419" s="164"/>
      <c r="F419" s="155"/>
    </row>
  </sheetData>
  <sheetProtection sheet="1" objects="1" scenarios="1"/>
  <phoneticPr fontId="6" type="noConversion"/>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22</vt:i4>
      </vt:variant>
    </vt:vector>
  </HeadingPairs>
  <TitlesOfParts>
    <vt:vector size="29" baseType="lpstr">
      <vt:lpstr>enveloppe_életricité</vt:lpstr>
      <vt:lpstr>été_documents</vt:lpstr>
      <vt:lpstr>Uebersicht</vt:lpstr>
      <vt:lpstr>Uebersetzung</vt:lpstr>
      <vt:lpstr>MOP</vt:lpstr>
      <vt:lpstr>PVopti</vt:lpstr>
      <vt:lpstr>Log</vt:lpstr>
      <vt:lpstr>_neu1</vt:lpstr>
      <vt:lpstr>_neu2</vt:lpstr>
      <vt:lpstr>_neu3</vt:lpstr>
      <vt:lpstr>_neu4</vt:lpstr>
      <vt:lpstr>Anteil_WP</vt:lpstr>
      <vt:lpstr>C_Bat</vt:lpstr>
      <vt:lpstr>enveloppe_életricité!Druckbereich</vt:lpstr>
      <vt:lpstr>été_documents!Druckbereich</vt:lpstr>
      <vt:lpstr>Uebersicht!Druckbereich</vt:lpstr>
      <vt:lpstr>f_fr_PV</vt:lpstr>
      <vt:lpstr>JA</vt:lpstr>
      <vt:lpstr>Mieter1</vt:lpstr>
      <vt:lpstr>Mieter2</vt:lpstr>
      <vt:lpstr>Mieter3</vt:lpstr>
      <vt:lpstr>Mieter4</vt:lpstr>
      <vt:lpstr>Nein</vt:lpstr>
      <vt:lpstr>Projekt1</vt:lpstr>
      <vt:lpstr>Projekt4</vt:lpstr>
      <vt:lpstr>wohnen1</vt:lpstr>
      <vt:lpstr>wohnen2</vt:lpstr>
      <vt:lpstr>wohnen3</vt:lpstr>
      <vt:lpstr>wohnen4</vt:lpstr>
    </vt:vector>
  </TitlesOfParts>
  <Manager>Christoph Gmür / Christian Stünzi / Arthur Huber</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V1.31, de</dc:title>
  <dc:subject>Rechnerischer Nachweis EN101b / MINERGIE-Nachweis</dc:subject>
  <dc:creator>ENDK / MINERGIE</dc:creator>
  <dc:description>Entwicklungsstand MINERGIE 6. Sep 2017. Neu Schnittstelle zu PVopti und Formel für Eigenverbrauchsrate PV. Eingabe Wärmerückgewinnung Abwasser.</dc:description>
  <cp:lastModifiedBy>Christian Stünzi</cp:lastModifiedBy>
  <cp:lastPrinted>2017-12-05T10:36:01Z</cp:lastPrinted>
  <dcterms:created xsi:type="dcterms:W3CDTF">1998-04-16T12:19:12Z</dcterms:created>
  <dcterms:modified xsi:type="dcterms:W3CDTF">2018-02-26T10:09:24Z</dcterms:modified>
  <cp:category>Energienachweis MUKEN 2014 / MINERGIE-Nachweis 2017</cp:category>
</cp:coreProperties>
</file>