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827"/>
  <workbookPr codeName="DieseArbeitsmappe"/>
  <mc:AlternateContent xmlns:mc="http://schemas.openxmlformats.org/markup-compatibility/2006">
    <mc:Choice Requires="x15">
      <x15ac:absPath xmlns:x15ac="http://schemas.microsoft.com/office/spreadsheetml/2010/11/ac" url="C:\Users\christian.stuenzi\Desktop\Daten\Doks\NWF_2018.2\"/>
    </mc:Choice>
  </mc:AlternateContent>
  <bookViews>
    <workbookView xWindow="0" yWindow="0" windowWidth="23040" windowHeight="9060" tabRatio="620"/>
  </bookViews>
  <sheets>
    <sheet name="Dati" sheetId="3" r:id="rId1"/>
    <sheet name="MINERGIE" sheetId="33254" r:id="rId2"/>
    <sheet name="Estate" sheetId="33255" r:id="rId3"/>
    <sheet name="Verifica" sheetId="1027" r:id="rId4"/>
    <sheet name="Visione d'insieme" sheetId="33257" r:id="rId5"/>
    <sheet name="Standardwerte" sheetId="83" state="hidden" r:id="rId6"/>
    <sheet name="Uebersetzung" sheetId="1" state="hidden" r:id="rId7"/>
    <sheet name="MOP" sheetId="33253" state="hidden" r:id="rId8"/>
    <sheet name="PVopti" sheetId="33258" state="hidden" r:id="rId9"/>
    <sheet name="Log" sheetId="8194" state="hidden" r:id="rId10"/>
  </sheets>
  <definedNames>
    <definedName name="_a0">Standardwerte!$AH$94</definedName>
    <definedName name="_a0WP">Standardwerte!$AH$90</definedName>
    <definedName name="_a10">Standardwerte!$AH$96</definedName>
    <definedName name="_a10WP">Standardwerte!$AH$92</definedName>
    <definedName name="_a5">Standardwerte!$AH$95</definedName>
    <definedName name="_a5WP">Standardwerte!$AH$91</definedName>
    <definedName name="_b0">Standardwerte!$AI$94</definedName>
    <definedName name="_b0WP">Standardwerte!$AI$90</definedName>
    <definedName name="_b10">Standardwerte!$AI$96</definedName>
    <definedName name="_b10WP">Standardwerte!$AI$92</definedName>
    <definedName name="_b5">Standardwerte!$AI$95</definedName>
    <definedName name="_b5WP">Standardwerte!$AI$91</definedName>
    <definedName name="_EBF1">Standardwerte!$K$5</definedName>
    <definedName name="_EBF2">Standardwerte!$M$5</definedName>
    <definedName name="_EBF3">Standardwerte!$O$5</definedName>
    <definedName name="_EBF4">Standardwerte!$Q$5</definedName>
    <definedName name="_gew1">Verifica!$R$8</definedName>
    <definedName name="_gew2">Verifica!$R$12</definedName>
    <definedName name="_gew3">Verifica!$R$16</definedName>
    <definedName name="_gew4">Verifica!$R$20</definedName>
    <definedName name="_gew5">Verifica!$F$51</definedName>
    <definedName name="_LER1">Standardwerte!$BU$35</definedName>
    <definedName name="_LER2">Standardwerte!$BU$36</definedName>
    <definedName name="_LER3">Standardwerte!$BU$37</definedName>
    <definedName name="_LER4">Standardwerte!$BU$38</definedName>
    <definedName name="_neu1">MINERGIE!$O$22</definedName>
    <definedName name="_neu2">MINERGIE!$P$22</definedName>
    <definedName name="_neu3">MINERGIE!$Q$22</definedName>
    <definedName name="_neu4">MINERGIE!$R$22</definedName>
    <definedName name="_Neubau">Standardwerte!$AI$23:$AI$25</definedName>
    <definedName name="_nL1">Standardwerte!$N$23</definedName>
    <definedName name="_nL2">Standardwerte!$R$23</definedName>
    <definedName name="_nL3">Standardwerte!$N$27</definedName>
    <definedName name="_nL4">Standardwerte!$R$27</definedName>
    <definedName name="_nL50">Standardwerte!$BU$59</definedName>
    <definedName name="_Qe1">Dati!$F$83</definedName>
    <definedName name="_Qe2">Dati!$G$83</definedName>
    <definedName name="_Qe3">Dati!$H$83</definedName>
    <definedName name="_Qe4">Dati!$I$83</definedName>
    <definedName name="_Qel1">Dati!$F$82</definedName>
    <definedName name="_Qel2">Dati!$G$82</definedName>
    <definedName name="_Qel3">Dati!$H$82</definedName>
    <definedName name="_Qel4">Dati!$I$82</definedName>
    <definedName name="_qh1">Dati!$F$89</definedName>
    <definedName name="_qh2">Dati!$G$89</definedName>
    <definedName name="_qh3">Dati!$H$89</definedName>
    <definedName name="_qh4">Dati!$I$89</definedName>
    <definedName name="_qhs1">Dati!$F$90</definedName>
    <definedName name="_qhs2">Dati!$G$90</definedName>
    <definedName name="_qhs3">Dati!$H$90</definedName>
    <definedName name="_qhs4">Dati!$I$90</definedName>
    <definedName name="_qw1">Verifica!$G$35</definedName>
    <definedName name="_qw2">Verifica!$H$35</definedName>
    <definedName name="_qw3">Verifica!$I$35</definedName>
    <definedName name="_qw4">Verifica!$J$35</definedName>
    <definedName name="_typ1">Standardwerte!$V$55</definedName>
    <definedName name="_typ2">Standardwerte!$V$56</definedName>
    <definedName name="_typ3">Standardwerte!$V$57</definedName>
    <definedName name="_typ4">Standardwerte!$V$58</definedName>
    <definedName name="_vo">Standardwerte!$U$3</definedName>
    <definedName name="_Vth1">Dati!$F$45</definedName>
    <definedName name="_Vth2">Dati!$G$45</definedName>
    <definedName name="_Vth3">Dati!$H$45</definedName>
    <definedName name="_Vth4">Dati!$I$45</definedName>
    <definedName name="_WRG1">Dati!$F$93</definedName>
    <definedName name="_WRG2">Dati!$G$93</definedName>
    <definedName name="_WRG3">Dati!$H$93</definedName>
    <definedName name="_WRG4">Dati!$I$93</definedName>
    <definedName name="_WW1">Standardwerte!$J$101</definedName>
    <definedName name="_WW2">Standardwerte!$K$101</definedName>
    <definedName name="_WW3">Standardwerte!$L$101</definedName>
    <definedName name="_WW4">Standardwerte!$M$101</definedName>
    <definedName name="_x0">Standardwerte!$AG$94</definedName>
    <definedName name="_x0WP">Standardwerte!$AG$90</definedName>
    <definedName name="_x10">Standardwerte!$AG$96</definedName>
    <definedName name="_x10WP">Standardwerte!$AG$92</definedName>
    <definedName name="_x5">Standardwerte!$AG$95</definedName>
    <definedName name="_x5WP">Standardwerte!$AG$91</definedName>
    <definedName name="abgabe1">Standardwerte!$AG$23</definedName>
    <definedName name="abgabe2">Standardwerte!$AG$24</definedName>
    <definedName name="abgabe3">Standardwerte!$AG$25</definedName>
    <definedName name="abgabe4">Standardwerte!$AG$26</definedName>
    <definedName name="AbluftWP">Dati!$K$85</definedName>
    <definedName name="ACDC1">Standardwerte!$N$25</definedName>
    <definedName name="ACDC2">Standardwerte!$R$25</definedName>
    <definedName name="ACDC3">Standardwerte!$N$29</definedName>
    <definedName name="ACDC4">Standardwerte!$R$29</definedName>
    <definedName name="AEBF">Dati!$K$92</definedName>
    <definedName name="AEBF1">Dati!$F$92</definedName>
    <definedName name="AEBF2">Dati!$G$92</definedName>
    <definedName name="AEBF3">Dati!$H$92</definedName>
    <definedName name="AEBF4">Dati!$I$92</definedName>
    <definedName name="Anetto_AEBF1">Standardwerte!$BV$55</definedName>
    <definedName name="Anetto_AEBF2">Standardwerte!$BV$56</definedName>
    <definedName name="Anetto_AEBF3">Standardwerte!$BV$57</definedName>
    <definedName name="Anetto_AEBF4">Standardwerte!$BV$58</definedName>
    <definedName name="Anteil_WP">MINERGIE!$AI$62</definedName>
    <definedName name="auswahl1">Standardwerte!$AZ$6</definedName>
    <definedName name="auswahl2">Standardwerte!$AZ$7</definedName>
    <definedName name="auswahl3">Standardwerte!$AZ$8</definedName>
    <definedName name="auswahl4">Standardwerte!$AZ$9</definedName>
    <definedName name="auswahl5">Standardwerte!$AZ$10</definedName>
    <definedName name="auswahl6">Standardwerte!$AZ$11</definedName>
    <definedName name="auswahl7">Standardwerte!$AZ$12</definedName>
    <definedName name="auswahl8">Standardwerte!$AZ$13</definedName>
    <definedName name="auswahl9">Standardwerte!$AZ$14</definedName>
    <definedName name="BadMisch">Standardwerte!$S$4</definedName>
    <definedName name="behördlicher_Nachweis">Nachweistyp</definedName>
    <definedName name="beta">Standardwerte!$BT$59</definedName>
    <definedName name="beta1">Standardwerte!$BT$55</definedName>
    <definedName name="beta2">Standardwerte!$BT$56</definedName>
    <definedName name="beta3">Standardwerte!$BT$57</definedName>
    <definedName name="beta4">Standardwerte!$BT$58</definedName>
    <definedName name="BioSolar">Standardwerte!$AE$61</definedName>
    <definedName name="Bueronutzung">Standardwerte!$S$1</definedName>
    <definedName name="C_Bat">MINERGIE!$AI$68</definedName>
    <definedName name="DeckungsgradHeizung">Verifica!$J$27</definedName>
    <definedName name="DeckungsgradWW">Verifica!$L$27</definedName>
    <definedName name="_xlnm.Print_Area" localSheetId="0">Dati!$A$1:$K$62</definedName>
    <definedName name="_xlnm.Print_Area" localSheetId="2">Estate!$A$1:$M$52</definedName>
    <definedName name="_xlnm.Print_Area" localSheetId="1">MINERGIE!$A$1:$K$72</definedName>
    <definedName name="_xlnm.Print_Area" localSheetId="5">Standardwerte!$A$1:$Z$77</definedName>
    <definedName name="_xlnm.Print_Area" localSheetId="3">Verifica!$A$1:$L$84</definedName>
    <definedName name="_xlnm.Print_Area" localSheetId="4">'Visione d''insieme'!$A$1:$K$65</definedName>
    <definedName name="e_1">Standardwerte!$AV$27</definedName>
    <definedName name="e_2">Standardwerte!$AV$28</definedName>
    <definedName name="e_3">Standardwerte!$AV$29</definedName>
    <definedName name="e_4">Standardwerte!$AV$30</definedName>
    <definedName name="E_Qk">Dati!$K$84</definedName>
    <definedName name="E_Qk1">Dati!$F$84</definedName>
    <definedName name="E_Qk11">Dati!$F$79</definedName>
    <definedName name="E_Qk2">Dati!$G$84</definedName>
    <definedName name="E_Qk22">Dati!$G$79</definedName>
    <definedName name="E_Qk3">Dati!$H$84</definedName>
    <definedName name="E_Qk33">Dati!$H$79</definedName>
    <definedName name="E_Qk4">Dati!$I$84</definedName>
    <definedName name="E_Qk44">Dati!$I$79</definedName>
    <definedName name="EBF">Dati!$K$19</definedName>
    <definedName name="EBF_MUKEN">Verifica!$T$2</definedName>
    <definedName name="EBFo">Dati!$K$91</definedName>
    <definedName name="EBFo1">Standardwerte!$K$6</definedName>
    <definedName name="EBFo2">Standardwerte!$M$6</definedName>
    <definedName name="EBFo3">Standardwerte!$O$6</definedName>
    <definedName name="EBFo4">Standardwerte!$Q$6</definedName>
    <definedName name="ECAC1">Standardwerte!$T$51:$T$52</definedName>
    <definedName name="ECAC2">Standardwerte!$U$51:$U$52</definedName>
    <definedName name="ECAC3">Standardwerte!$V$51:$V$52</definedName>
    <definedName name="ECAC4">Standardwerte!$W$51:$W$52</definedName>
    <definedName name="EFH">Standardwerte!$BR$3</definedName>
    <definedName name="Einheit">Standardwerte!$Z$47:$Z$48</definedName>
    <definedName name="Einheiten">Standardwerte!$Z$49</definedName>
    <definedName name="Einwirkseiten1">Standardwerte!$AX$27</definedName>
    <definedName name="Einwirkseiten2">Standardwerte!$AX$28</definedName>
    <definedName name="Einwirkseiten3">Standardwerte!$AX$29</definedName>
    <definedName name="Einwirkseiten4">Standardwerte!$AX$30</definedName>
    <definedName name="einzel1">Standardwerte!$BG$12</definedName>
    <definedName name="Einzelanwendung">Standardwerte!$BV$5</definedName>
    <definedName name="EndenergieA">Verifica!$O$8</definedName>
    <definedName name="EndenergieB">Verifica!$O$12</definedName>
    <definedName name="EndenergieC">Verifica!$O$16</definedName>
    <definedName name="EndenergieD">Verifica!$O$20</definedName>
    <definedName name="EndenergieE">Verifica!$G$27</definedName>
    <definedName name="Erzeugung">Standardwerte!$T$108:$T$153</definedName>
    <definedName name="f_fr_PV">MINERGIE!$AI$67</definedName>
    <definedName name="F_s1">Dati!$F$25</definedName>
    <definedName name="F_s2">Dati!$G$25</definedName>
    <definedName name="F_s3">Dati!$H$25</definedName>
    <definedName name="F_s4">Dati!$I$25</definedName>
    <definedName name="Fehler_Neuzertifizierung">Standardwerte!$BH$26</definedName>
    <definedName name="Fehler1">Standardwerte!$AF$40</definedName>
    <definedName name="Fehler2">Standardwerte!$AF$41</definedName>
    <definedName name="Fehler3">Standardwerte!$AF$42</definedName>
    <definedName name="FehlerLüftung1">Standardwerte!$R$64</definedName>
    <definedName name="FehlerLüftung2">Standardwerte!$S$50</definedName>
    <definedName name="FehlerLüftung3">Standardwerte!$T$59</definedName>
    <definedName name="Gebäudekategorie">Standardwerte!$I$9:$I$21</definedName>
    <definedName name="Gebuehr">Standardwerte!$BL$6</definedName>
    <definedName name="Grau">Standardwerte!$BR$72</definedName>
    <definedName name="Grau_Grenz">Standardwerte!$BS$77</definedName>
    <definedName name="GrenzwertMINERGIE">Standardwerte!$J$78</definedName>
    <definedName name="hlicht1">Dati!$F$26</definedName>
    <definedName name="hlicht2">Dati!$G$26</definedName>
    <definedName name="hlicht3">Dati!$H$26</definedName>
    <definedName name="hlicht4">Dati!$I$26</definedName>
    <definedName name="Hoehe">Dati!$F$13</definedName>
    <definedName name="Industrienutzung">Standardwerte!$S$22</definedName>
    <definedName name="JaNein">Standardwerte!$AA$47:$AA$48</definedName>
    <definedName name="Kanton">Standardwerte!$BB$33</definedName>
    <definedName name="Kanton1">Standardwerte!$BC$4:$BC$32</definedName>
    <definedName name="Kategorie1">Standardwerte!$L$24</definedName>
    <definedName name="Kategorie2">Standardwerte!$P$24</definedName>
    <definedName name="Kategorie3">Standardwerte!$L$28</definedName>
    <definedName name="Kategorie4">Standardwerte!$P$28</definedName>
    <definedName name="Kleinanlagen1">Standardwerte!$AG$39:$AG$41</definedName>
    <definedName name="Kleinanlagen2">Standardwerte!$AI$39:$AI$41</definedName>
    <definedName name="Kleinanlagen3">Standardwerte!$AK$39:$AK$41</definedName>
    <definedName name="Kleinanlagen4">Standardwerte!$AM$39:$AM$41</definedName>
    <definedName name="Klima">Standardwerte!$B$4</definedName>
    <definedName name="klima1">Standardwerte!$J$54</definedName>
    <definedName name="klima2">Standardwerte!$J$55</definedName>
    <definedName name="klima3">Standardwerte!$J$56</definedName>
    <definedName name="klima4">Standardwerte!$J$57</definedName>
    <definedName name="Klimastation">Standardwerte!$A$7:$A$47</definedName>
    <definedName name="Komfort1">Standardwerte!$T$92</definedName>
    <definedName name="Komfort2">Standardwerte!$T$93</definedName>
    <definedName name="Komfort3">Standardwerte!$T$94</definedName>
    <definedName name="Komfort4">Standardwerte!$T$95</definedName>
    <definedName name="Kompensation_PV">Standardwerte!$BR$76</definedName>
    <definedName name="LER_Reduktion1">Standardwerte!$BZ$40</definedName>
    <definedName name="LER_Reduktion2">Standardwerte!$CA$40</definedName>
    <definedName name="LER_Reduktion3">Standardwerte!$CB$40</definedName>
    <definedName name="LER_Reduktion4">Standardwerte!$CC$40</definedName>
    <definedName name="LER_Text0">Standardwerte!$BW$44</definedName>
    <definedName name="LER_Text1">Standardwerte!$BW$45</definedName>
    <definedName name="LER_Text2">Standardwerte!$BW$46</definedName>
    <definedName name="LER_Text3">Standardwerte!$BW$47</definedName>
    <definedName name="LER_Text4">Standardwerte!$BW$48</definedName>
    <definedName name="LER_Text5">Standardwerte!$BW$49</definedName>
    <definedName name="LER_Text6">Standardwerte!$BW$50</definedName>
    <definedName name="LER_Text7">Standardwerte!$BW$50</definedName>
    <definedName name="Luftheizung">Standardwerte!$BW$28</definedName>
    <definedName name="Lüftung1">Standardwerte!$Q$35</definedName>
    <definedName name="Lüftung2">Standardwerte!$Q$36</definedName>
    <definedName name="Lüftung3">Standardwerte!$Q$37</definedName>
    <definedName name="Lüftung4">Standardwerte!$Q$38</definedName>
    <definedName name="Lüftungstyp">Standardwerte!$O$35:$O$43</definedName>
    <definedName name="mehr1">Standardwerte!$BH$12</definedName>
    <definedName name="Mehrfachanwendung">Standardwerte!$BV$6</definedName>
    <definedName name="Mieter1">MINERGIE!$O$53</definedName>
    <definedName name="Mieter2">MINERGIE!$P$53</definedName>
    <definedName name="Mieter3">MINERGIE!$Q$53</definedName>
    <definedName name="Mieter4">MINERGIE!$R$53</definedName>
    <definedName name="mineco">Standardwerte!$BF$33</definedName>
    <definedName name="MINERGIE_Wert">Verifica!$I$58</definedName>
    <definedName name="minergiea">Standardwerte!$BM$33</definedName>
    <definedName name="minergiep">Standardwerte!$BM$28</definedName>
    <definedName name="MUKEN">Verifica!$Q$2</definedName>
    <definedName name="Nachweistyp">Standardwerte!$Y$47:$Y$50</definedName>
    <definedName name="Nachzertifizierung">Standardwerte!$BH$24</definedName>
    <definedName name="Neubau">Standardwerte!$Q$39</definedName>
    <definedName name="Neubau1">Standardwerte!$Q$43</definedName>
    <definedName name="Neubau2">Standardwerte!$Q$44</definedName>
    <definedName name="Neubau3">Standardwerte!$Q$45</definedName>
    <definedName name="Neubau4">Standardwerte!$Q$46</definedName>
    <definedName name="nL50_1">Standardwerte!$BU$55</definedName>
    <definedName name="nL50_2">Standardwerte!$BU$56</definedName>
    <definedName name="nL50_3">Standardwerte!$BU$57</definedName>
    <definedName name="nL50_4">Standardwerte!$BU$58</definedName>
    <definedName name="nurBadnutzung">Standardwerte!$Q$1</definedName>
    <definedName name="Nutzung1">Standardwerte!$L$24</definedName>
    <definedName name="Oekostrom">Standardwerte!$BG$33</definedName>
    <definedName name="Primaer1">Standardwerte!$Q$97</definedName>
    <definedName name="Primaer2">Standardwerte!$Q$98</definedName>
    <definedName name="Primaer3">Standardwerte!$Q$99</definedName>
    <definedName name="Primaer4">Standardwerte!$Q$100</definedName>
    <definedName name="Primaeranf">Standardwerte!$O$101</definedName>
    <definedName name="Primaeranf1">Standardwerte!$O$97</definedName>
    <definedName name="Primaeranf2">Standardwerte!$O$98</definedName>
    <definedName name="Primaeranf3">Standardwerte!$O$99</definedName>
    <definedName name="Primaeranf4">Standardwerte!$O$100</definedName>
    <definedName name="Primaeranforderung">Standardwerte!$J$64</definedName>
    <definedName name="Projekt1">Dati!$C$7</definedName>
    <definedName name="Projekt2">Dati!$H$7</definedName>
    <definedName name="Projekt3">Dati!$J$7</definedName>
    <definedName name="Projekt4">Dati!$C$8</definedName>
    <definedName name="Qe">Dati!$K$83</definedName>
    <definedName name="Qe_vollständig">Dati!$J$83</definedName>
    <definedName name="qh">Verifica!$W$2</definedName>
    <definedName name="qh_vollständig">Dati!$J$89</definedName>
    <definedName name="qhmax">Standardwerte!$BS$59</definedName>
    <definedName name="qhmax1">Standardwerte!$BS$55</definedName>
    <definedName name="qhmax2">Standardwerte!$BS$56</definedName>
    <definedName name="qhmax3">Standardwerte!$BS$57</definedName>
    <definedName name="qhmax4">Standardwerte!$BS$58</definedName>
    <definedName name="qhs">Standardwerte!$N$2</definedName>
    <definedName name="qhs_vollständig">Dati!$J$90</definedName>
    <definedName name="qw">Verifica!$L$35</definedName>
    <definedName name="Raum1">Dati!$F$32</definedName>
    <definedName name="Raum2">Dati!$G$32</definedName>
    <definedName name="Raum3">Dati!$H$32</definedName>
    <definedName name="Raum4">Dati!$I$32</definedName>
    <definedName name="Reduktion">Standardwerte!$BV$4</definedName>
    <definedName name="REFH">Standardwerte!$BV$3</definedName>
    <definedName name="Schulnutzung">Standardwerte!$S$2</definedName>
    <definedName name="Standardlüftung">Standardwerte!$I$6</definedName>
    <definedName name="Standardlüftung1">Standardwerte!$J$27</definedName>
    <definedName name="Standardlüftung2">Standardwerte!$J$28</definedName>
    <definedName name="Standardlüftung3">Standardwerte!$J$29</definedName>
    <definedName name="Standardlüftung4">Standardwerte!$J$30</definedName>
    <definedName name="StrombedarfE">Verifica!$G$25</definedName>
    <definedName name="Thetaea">Standardwerte!$F$4</definedName>
    <definedName name="THG_andere">Standardwerte!$AP$105</definedName>
    <definedName name="THG_PV">Standardwerte!$AP$141</definedName>
    <definedName name="THG_Strom">Standardwerte!$AP$104</definedName>
    <definedName name="VEBFo1">Standardwerte!$S$35</definedName>
    <definedName name="VEBFo2">Standardwerte!$S$36</definedName>
    <definedName name="VEBFo3">Standardwerte!$S$37</definedName>
    <definedName name="VEBFo4">Standardwerte!$S$38</definedName>
    <definedName name="Verkaufsnutzung">Standardwerte!$S$3</definedName>
    <definedName name="vo">Standardwerte!$P$51</definedName>
    <definedName name="VSup1">Standardwerte!$R$35</definedName>
    <definedName name="VSup2">Standardwerte!$R$36</definedName>
    <definedName name="VSup3">Standardwerte!$R$37</definedName>
    <definedName name="VSup4">Standardwerte!$R$38</definedName>
    <definedName name="Vth">Dati!$K$45</definedName>
    <definedName name="vx">Standardwerte!$P$50</definedName>
    <definedName name="WaermebedarfA">Verifica!$N$8</definedName>
    <definedName name="WaermebedarfB">Verifica!$N$12</definedName>
    <definedName name="WaermebedarfC">Verifica!$N$16</definedName>
    <definedName name="WaermebedarfD">Verifica!$N$20</definedName>
    <definedName name="WaermebedarfE">Verifica!$N$24</definedName>
    <definedName name="Waermepumpe">Dati!$K$75</definedName>
    <definedName name="Warmwasser">Standardwerte!$N$103</definedName>
    <definedName name="WirkungsgradA">Verifica!$I$8</definedName>
    <definedName name="WirkungsgradB">Verifica!$I$12</definedName>
    <definedName name="WirkungsgradC">Verifica!$I$16</definedName>
    <definedName name="WirkungsgradD">Verifica!$I$20</definedName>
    <definedName name="wkk">Verifica!$Q$29</definedName>
    <definedName name="wohnen1">MINERGIE!$O$31</definedName>
    <definedName name="wohnen2">MINERGIE!$P$31</definedName>
    <definedName name="wohnen3">MINERGIE!$Q$31</definedName>
    <definedName name="wohnen4">MINERGIE!$R$31</definedName>
    <definedName name="wohnnutzung">Standardwerte!$BT$3</definedName>
    <definedName name="wohnstrom">MINERGIE!$Z$76</definedName>
    <definedName name="Wohnstrommodell">MINERGIE!$Z$81</definedName>
    <definedName name="WRG">Dati!$K$93</definedName>
    <definedName name="WRG_1">Standardwerte!$T$46:$T$49</definedName>
    <definedName name="WRG_2">Standardwerte!$U$46:$U$49</definedName>
    <definedName name="WRG_3">Standardwerte!$V$46:$V$49</definedName>
    <definedName name="WRG_4">Standardwerte!$W$46:$W$49</definedName>
    <definedName name="WRG0">Dati!$K$74</definedName>
    <definedName name="WRGtyp1">Standardwerte!$T$55</definedName>
    <definedName name="WRGtyp2">Standardwerte!$T$56</definedName>
    <definedName name="WRGtyp3">Standardwerte!$T$57</definedName>
    <definedName name="WRGtyp4">Standardwerte!$T$58</definedName>
    <definedName name="ww_1">Standardwerte!$J$99:$J$100</definedName>
    <definedName name="ww_2">Standardwerte!$K$99:$K$100</definedName>
    <definedName name="ww_3">Standardwerte!$L$99:$L$100</definedName>
    <definedName name="ww_4">Standardwerte!$M$99:$M$100</definedName>
    <definedName name="ww_erneuerbar">Verifica!$AC$2</definedName>
    <definedName name="WWBonus">Standardwerte!$R$6</definedName>
    <definedName name="WWBonus1">Standardwerte!$L$26</definedName>
    <definedName name="WWBonus2">Standardwerte!$P$26</definedName>
    <definedName name="WWBonus3">Standardwerte!$L$30</definedName>
    <definedName name="WWBonus4">Standardwerte!$P$30</definedName>
    <definedName name="WWMIN1">Standardwerte!$N$26</definedName>
    <definedName name="WWMIN2">Standardwerte!$R$26</definedName>
    <definedName name="WWMIN3">Standardwerte!$N$30</definedName>
    <definedName name="WWMIN4">Standardwerte!$R$30</definedName>
    <definedName name="WWSoll">Standardwerte!$S$5</definedName>
    <definedName name="Zertifikat1">Standardwerte!$BO$35</definedName>
    <definedName name="Zertifikat2">Standardwerte!$BO$36</definedName>
    <definedName name="Zertifikat3">Standardwerte!$BO$37</definedName>
    <definedName name="Zertifikat4">Standardwerte!$BO$38</definedName>
    <definedName name="Zone1">Standardwerte!$J$113:$J$117</definedName>
    <definedName name="Zone2">Standardwerte!$K$113:$K$117</definedName>
    <definedName name="Zone3">Standardwerte!$L$113:$L$117</definedName>
    <definedName name="Zone4">Standardwerte!$M$113:$M$117</definedName>
    <definedName name="Zonen">Dati!$K$64</definedName>
    <definedName name="Zonen_vollständig">Standardwerte!$N$3</definedName>
    <definedName name="Zweckbau">MINERGIE!#REF!</definedName>
    <definedName name="Zweckumbau">MINERGIE!#REF!</definedName>
    <definedName name="Zweckumbau1">MINERGIE!#REF!</definedName>
    <definedName name="Zweckumbau2">MINERGIE!#REF!</definedName>
    <definedName name="Zweckumbau3">MINERGIE!#REF!</definedName>
    <definedName name="Zweckumbau4">MINERGIE!#REF!</definedName>
  </definedNames>
  <calcPr calcId="162913"/>
</workbook>
</file>

<file path=xl/calcChain.xml><?xml version="1.0" encoding="utf-8"?>
<calcChain xmlns="http://schemas.openxmlformats.org/spreadsheetml/2006/main">
  <c r="G5" i="1" l="1"/>
  <c r="F5" i="1"/>
  <c r="E5" i="1"/>
  <c r="T108" i="83" l="1"/>
  <c r="AK155" i="83"/>
  <c r="AK154" i="83"/>
  <c r="K25" i="33254" l="1"/>
  <c r="A2" i="33253" l="1"/>
  <c r="AJ24" i="1027" l="1"/>
  <c r="AI68" i="33254" l="1"/>
  <c r="AH62" i="33254"/>
  <c r="F18" i="33258" l="1"/>
  <c r="E18" i="33258"/>
  <c r="D18" i="33258"/>
  <c r="C18" i="33258"/>
  <c r="C14" i="33258" l="1"/>
  <c r="D12" i="33258"/>
  <c r="E12" i="33258"/>
  <c r="E11" i="33258"/>
  <c r="D11" i="33258"/>
  <c r="D10" i="33258"/>
  <c r="E10" i="33258"/>
  <c r="E9" i="33258"/>
  <c r="D9" i="33258"/>
  <c r="E13" i="33258" l="1"/>
  <c r="D13" i="33258"/>
  <c r="G5" i="33258" l="1"/>
  <c r="D5" i="33258"/>
  <c r="C5" i="33258"/>
  <c r="D4" i="33258"/>
  <c r="C4" i="33258"/>
  <c r="C13" i="33258"/>
  <c r="N39" i="33257" l="1"/>
  <c r="A602" i="33253" l="1"/>
  <c r="A601" i="33253"/>
  <c r="A549" i="33253"/>
  <c r="A547" i="33253"/>
  <c r="A548" i="33253" s="1"/>
  <c r="A545" i="33253"/>
  <c r="A543" i="33253"/>
  <c r="W141" i="83" l="1"/>
  <c r="T151" i="83" s="1"/>
  <c r="Y145" i="83"/>
  <c r="Y146" i="83"/>
  <c r="Y147" i="83"/>
  <c r="Y148" i="83"/>
  <c r="Y149" i="83"/>
  <c r="Y144" i="83"/>
  <c r="AT9" i="83" l="1"/>
  <c r="AR9" i="83"/>
  <c r="AQ9" i="83"/>
  <c r="AP9" i="83"/>
  <c r="AO9" i="83"/>
  <c r="AN9" i="83"/>
  <c r="AM9" i="83"/>
  <c r="AL9" i="83"/>
  <c r="AK9" i="83"/>
  <c r="AJ9" i="83"/>
  <c r="AI9" i="83"/>
  <c r="AH9" i="83"/>
  <c r="AF9" i="83"/>
  <c r="BA9" i="83"/>
  <c r="AH22" i="33254"/>
  <c r="AH23" i="33254"/>
  <c r="AH24" i="33254"/>
  <c r="AJ9" i="1027"/>
  <c r="AJ10" i="1027"/>
  <c r="AJ13" i="1027"/>
  <c r="AJ14" i="1027"/>
  <c r="AJ17" i="1027"/>
  <c r="AJ18" i="1027"/>
  <c r="AJ21" i="1027"/>
  <c r="AJ22" i="1027"/>
  <c r="AJ25" i="1027"/>
  <c r="AJ27" i="1027"/>
  <c r="K21" i="83" l="1"/>
  <c r="K20" i="83"/>
  <c r="K19" i="83"/>
  <c r="K18" i="83"/>
  <c r="K17" i="83"/>
  <c r="K16" i="83"/>
  <c r="K15" i="83"/>
  <c r="K14" i="83"/>
  <c r="K13" i="83"/>
  <c r="K12" i="83"/>
  <c r="K11" i="83"/>
  <c r="K10" i="83"/>
  <c r="J21" i="83"/>
  <c r="J20" i="83"/>
  <c r="J19" i="83"/>
  <c r="J18" i="83"/>
  <c r="J17" i="83"/>
  <c r="J16" i="83"/>
  <c r="J15" i="83"/>
  <c r="J14" i="83"/>
  <c r="J13" i="83"/>
  <c r="J12" i="83"/>
  <c r="J11" i="83"/>
  <c r="J10" i="83"/>
  <c r="U40" i="83" l="1"/>
  <c r="X40" i="83"/>
  <c r="W40" i="83"/>
  <c r="V40" i="83"/>
  <c r="X39" i="83" l="1"/>
  <c r="W39" i="83"/>
  <c r="A506" i="33253" l="1"/>
  <c r="A504" i="33253"/>
  <c r="A505" i="33253" s="1"/>
  <c r="A502" i="33253"/>
  <c r="A500" i="33253"/>
  <c r="A501" i="33253" s="1"/>
  <c r="A498" i="33253"/>
  <c r="F4" i="1" l="1"/>
  <c r="H40" i="33257" l="1"/>
  <c r="AG43" i="1027" l="1"/>
  <c r="AP105" i="83" l="1"/>
  <c r="AG27" i="1027"/>
  <c r="AH27" i="1027" s="1"/>
  <c r="AP104" i="83" l="1"/>
  <c r="AG39" i="1027" l="1"/>
  <c r="AG34" i="1027"/>
  <c r="AG44" i="1027"/>
  <c r="AG40" i="1027"/>
  <c r="AG25" i="1027"/>
  <c r="AH25" i="1027" s="1"/>
  <c r="AZ160" i="83"/>
  <c r="BA160" i="83"/>
  <c r="BB160" i="83"/>
  <c r="AZ161" i="83"/>
  <c r="BA161" i="83"/>
  <c r="BB161" i="83"/>
  <c r="AZ162" i="83"/>
  <c r="BA162" i="83"/>
  <c r="BB162" i="83"/>
  <c r="AZ163" i="83"/>
  <c r="BA163" i="83"/>
  <c r="BB163" i="83"/>
  <c r="AZ164" i="83"/>
  <c r="BA164" i="83"/>
  <c r="BB164" i="83"/>
  <c r="BC160" i="83"/>
  <c r="BC161" i="83"/>
  <c r="BC162" i="83"/>
  <c r="BC163" i="83"/>
  <c r="BC164" i="83"/>
  <c r="A1" i="33253" l="1"/>
  <c r="A3" i="33253" l="1"/>
  <c r="B1" i="33257" s="1"/>
  <c r="A496" i="33253"/>
  <c r="A494" i="33253"/>
  <c r="A495" i="33253" s="1"/>
  <c r="A493" i="33253"/>
  <c r="A490" i="33253"/>
  <c r="A492" i="33253"/>
  <c r="A489" i="33253"/>
  <c r="A491" i="33253"/>
  <c r="A488" i="33253"/>
  <c r="A460" i="33253" l="1"/>
  <c r="A461" i="33253" s="1"/>
  <c r="A458" i="33253"/>
  <c r="A459" i="33253" s="1"/>
  <c r="A456" i="33253"/>
  <c r="A457" i="33253" s="1"/>
  <c r="A454" i="33253"/>
  <c r="A455" i="33253" s="1"/>
  <c r="A452" i="33253"/>
  <c r="A453" i="33253" s="1"/>
  <c r="A450" i="33253"/>
  <c r="A451" i="33253" s="1"/>
  <c r="A448" i="33253"/>
  <c r="A445" i="33253"/>
  <c r="A446" i="33253" s="1"/>
  <c r="A447" i="33253" s="1"/>
  <c r="A443" i="33253"/>
  <c r="A444" i="33253" s="1"/>
  <c r="A441" i="33253"/>
  <c r="A442" i="33253" s="1"/>
  <c r="A439" i="33253"/>
  <c r="A440" i="33253" s="1"/>
  <c r="A437" i="33253"/>
  <c r="A435" i="33253"/>
  <c r="A436" i="33253" s="1"/>
  <c r="A433" i="33253"/>
  <c r="A434" i="33253" s="1"/>
  <c r="A431" i="33253"/>
  <c r="A432" i="33253" s="1"/>
  <c r="A429" i="33253"/>
  <c r="A430" i="33253" s="1"/>
  <c r="A427" i="33253"/>
  <c r="A428" i="33253" s="1"/>
  <c r="A425" i="33253"/>
  <c r="A426" i="33253" s="1"/>
  <c r="A423" i="33253"/>
  <c r="A424" i="33253" s="1"/>
  <c r="A421" i="33253"/>
  <c r="A422" i="33253" s="1"/>
  <c r="A419" i="33253"/>
  <c r="A420" i="33253" s="1"/>
  <c r="A417" i="33253"/>
  <c r="A418" i="33253" s="1"/>
  <c r="A415" i="33253"/>
  <c r="A416" i="33253" s="1"/>
  <c r="A413" i="33253"/>
  <c r="A414" i="33253" s="1"/>
  <c r="A411" i="33253"/>
  <c r="A412" i="33253" s="1"/>
  <c r="A409" i="33253"/>
  <c r="A410" i="33253" s="1"/>
  <c r="A407" i="33253"/>
  <c r="A408" i="33253" s="1"/>
  <c r="A405" i="33253"/>
  <c r="A406" i="33253" s="1"/>
  <c r="A403" i="33253"/>
  <c r="A404" i="33253" s="1"/>
  <c r="A401" i="33253"/>
  <c r="A402" i="33253" s="1"/>
  <c r="A399" i="33253"/>
  <c r="A400" i="33253" s="1"/>
  <c r="A397" i="33253"/>
  <c r="A398" i="33253" s="1"/>
  <c r="A395" i="33253"/>
  <c r="A396" i="33253" s="1"/>
  <c r="A393" i="33253"/>
  <c r="A394" i="33253" s="1"/>
  <c r="A391" i="33253"/>
  <c r="A392" i="33253" s="1"/>
  <c r="A389" i="33253"/>
  <c r="A390" i="33253" s="1"/>
  <c r="A388" i="33253"/>
  <c r="A386" i="33253"/>
  <c r="A387" i="33253" s="1"/>
  <c r="A384" i="33253"/>
  <c r="A385" i="33253" s="1"/>
  <c r="A382" i="33253"/>
  <c r="A383" i="33253" s="1"/>
  <c r="A380" i="33253"/>
  <c r="A381" i="33253" s="1"/>
  <c r="A376" i="33253"/>
  <c r="A374" i="33253"/>
  <c r="A370" i="33253"/>
  <c r="A371" i="33253" s="1"/>
  <c r="A368" i="33253"/>
  <c r="A366" i="33253"/>
  <c r="A362" i="33253"/>
  <c r="A358" i="33253"/>
  <c r="A354" i="33253"/>
  <c r="A355" i="33253" s="1"/>
  <c r="A357" i="33253"/>
  <c r="A353" i="33253"/>
  <c r="A350" i="33253"/>
  <c r="A344" i="33253"/>
  <c r="A342" i="33253"/>
  <c r="A341" i="33253"/>
  <c r="A329" i="33253"/>
  <c r="A327" i="33253"/>
  <c r="A328" i="33253" s="1"/>
  <c r="A325" i="33253"/>
  <c r="A323" i="33253"/>
  <c r="A321" i="33253"/>
  <c r="A319" i="33253"/>
  <c r="A317" i="33253"/>
  <c r="A315" i="33253"/>
  <c r="A313" i="33253"/>
  <c r="A311" i="33253"/>
  <c r="A309" i="33253"/>
  <c r="A307" i="33253"/>
  <c r="A305" i="33253"/>
  <c r="A306" i="33253" s="1"/>
  <c r="A303" i="33253"/>
  <c r="A301" i="33253"/>
  <c r="A299" i="33253"/>
  <c r="A297" i="33253"/>
  <c r="A298" i="33253" s="1"/>
  <c r="A295" i="33253"/>
  <c r="A293" i="33253"/>
  <c r="A291" i="33253"/>
  <c r="A289" i="33253"/>
  <c r="A290" i="33253" s="1"/>
  <c r="A287" i="33253"/>
  <c r="A285" i="33253"/>
  <c r="A283" i="33253"/>
  <c r="A275" i="33253"/>
  <c r="A281" i="33253"/>
  <c r="A282" i="33253" s="1"/>
  <c r="A279" i="33253"/>
  <c r="A277" i="33253"/>
  <c r="A273" i="33253"/>
  <c r="A274" i="33253" s="1"/>
  <c r="A271" i="33253"/>
  <c r="A269" i="33253"/>
  <c r="A267" i="33253"/>
  <c r="A265" i="33253"/>
  <c r="A263" i="33253"/>
  <c r="A261" i="33253"/>
  <c r="A259" i="33253"/>
  <c r="A257" i="33253"/>
  <c r="A258" i="33253" s="1"/>
  <c r="A255" i="33253"/>
  <c r="A253" i="33253"/>
  <c r="A251" i="33253"/>
  <c r="A249" i="33253"/>
  <c r="A247" i="33253"/>
  <c r="A245" i="33253"/>
  <c r="A243" i="33253"/>
  <c r="A235" i="33253"/>
  <c r="A233" i="33253"/>
  <c r="A231" i="33253"/>
  <c r="A229" i="33253"/>
  <c r="A227" i="33253"/>
  <c r="A225" i="33253"/>
  <c r="A223" i="33253"/>
  <c r="A137" i="33253"/>
  <c r="A138" i="33253"/>
  <c r="A139" i="33253"/>
  <c r="A140" i="33253"/>
  <c r="A141" i="33253"/>
  <c r="A142" i="33253"/>
  <c r="A143" i="33253"/>
  <c r="A144" i="33253"/>
  <c r="A77" i="33253"/>
  <c r="K64" i="33254" l="1"/>
  <c r="A356" i="33253" s="1"/>
  <c r="F15" i="33254"/>
  <c r="K21" i="33257" l="1"/>
  <c r="H21" i="33257"/>
  <c r="B65" i="33257" l="1"/>
  <c r="C21" i="33257"/>
  <c r="B51" i="83" l="1"/>
  <c r="A18" i="33253" s="1"/>
  <c r="Y45" i="83"/>
  <c r="G55" i="33254" l="1"/>
  <c r="A343" i="33253" l="1"/>
  <c r="H23" i="33254"/>
  <c r="E24" i="3" l="1"/>
  <c r="B47" i="3"/>
  <c r="B4" i="33255" l="1"/>
  <c r="F23" i="33254" l="1"/>
  <c r="G23" i="33254"/>
  <c r="I23" i="33254"/>
  <c r="F24" i="33254"/>
  <c r="G24" i="33254"/>
  <c r="H24" i="33254"/>
  <c r="I24" i="33254"/>
  <c r="G15" i="33254"/>
  <c r="H15" i="33254"/>
  <c r="I15" i="33254"/>
  <c r="M137" i="83"/>
  <c r="I92" i="3"/>
  <c r="A120" i="33253" s="1"/>
  <c r="H92" i="3"/>
  <c r="A119" i="33253" s="1"/>
  <c r="G92" i="3"/>
  <c r="A118" i="33253" s="1"/>
  <c r="F92" i="3"/>
  <c r="V14" i="33254" l="1"/>
  <c r="AD13" i="33254"/>
  <c r="A117" i="33253"/>
  <c r="I13" i="33254"/>
  <c r="I12" i="33254"/>
  <c r="F12" i="33254"/>
  <c r="F13" i="33254"/>
  <c r="I20" i="33257" s="1"/>
  <c r="J8" i="33254"/>
  <c r="J7" i="33254"/>
  <c r="H7" i="33254"/>
  <c r="C7" i="33254"/>
  <c r="B72" i="33254"/>
  <c r="B161" i="83" l="1"/>
  <c r="C161" i="83"/>
  <c r="D161" i="83"/>
  <c r="E161" i="83"/>
  <c r="F161" i="83"/>
  <c r="G161" i="83"/>
  <c r="B162" i="83"/>
  <c r="C162" i="83"/>
  <c r="D162" i="83"/>
  <c r="E162" i="83"/>
  <c r="F162" i="83"/>
  <c r="G162" i="83"/>
  <c r="B163" i="83"/>
  <c r="C163" i="83"/>
  <c r="D163" i="83"/>
  <c r="E163" i="83"/>
  <c r="F163" i="83"/>
  <c r="G163" i="83"/>
  <c r="B164" i="83"/>
  <c r="C164" i="83"/>
  <c r="D164" i="83"/>
  <c r="E164" i="83"/>
  <c r="F164" i="83"/>
  <c r="G164" i="83"/>
  <c r="B165" i="83"/>
  <c r="C165" i="83"/>
  <c r="D165" i="83"/>
  <c r="E165" i="83"/>
  <c r="F165" i="83"/>
  <c r="G165" i="83"/>
  <c r="B166" i="83"/>
  <c r="C166" i="83"/>
  <c r="D166" i="83"/>
  <c r="E166" i="83"/>
  <c r="F166" i="83"/>
  <c r="G166" i="83"/>
  <c r="B167" i="83"/>
  <c r="C167" i="83"/>
  <c r="D167" i="83"/>
  <c r="E167" i="83"/>
  <c r="F167" i="83"/>
  <c r="G167" i="83"/>
  <c r="B168" i="83"/>
  <c r="C168" i="83"/>
  <c r="D168" i="83"/>
  <c r="E168" i="83"/>
  <c r="F168" i="83"/>
  <c r="G168" i="83"/>
  <c r="B169" i="83"/>
  <c r="C169" i="83"/>
  <c r="D169" i="83"/>
  <c r="E169" i="83"/>
  <c r="F169" i="83"/>
  <c r="G169" i="83"/>
  <c r="B170" i="83"/>
  <c r="C170" i="83"/>
  <c r="D170" i="83"/>
  <c r="E170" i="83"/>
  <c r="F170" i="83"/>
  <c r="G170" i="83"/>
  <c r="B171" i="83"/>
  <c r="C171" i="83"/>
  <c r="D171" i="83"/>
  <c r="E171" i="83"/>
  <c r="F171" i="83"/>
  <c r="G171" i="83"/>
  <c r="B172" i="83"/>
  <c r="C172" i="83"/>
  <c r="D172" i="83"/>
  <c r="E172" i="83"/>
  <c r="F172" i="83"/>
  <c r="G172" i="83"/>
  <c r="B173" i="83"/>
  <c r="C173" i="83"/>
  <c r="D173" i="83"/>
  <c r="E173" i="83"/>
  <c r="F173" i="83"/>
  <c r="G173" i="83"/>
  <c r="B174" i="83"/>
  <c r="C174" i="83"/>
  <c r="D174" i="83"/>
  <c r="E174" i="83"/>
  <c r="F174" i="83"/>
  <c r="G174" i="83"/>
  <c r="B175" i="83"/>
  <c r="C175" i="83"/>
  <c r="D175" i="83"/>
  <c r="E175" i="83"/>
  <c r="F175" i="83"/>
  <c r="G175" i="83"/>
  <c r="B176" i="83"/>
  <c r="C176" i="83"/>
  <c r="D176" i="83"/>
  <c r="E176" i="83"/>
  <c r="F176" i="83"/>
  <c r="G176" i="83"/>
  <c r="B177" i="83"/>
  <c r="C177" i="83"/>
  <c r="D177" i="83"/>
  <c r="E177" i="83"/>
  <c r="F177" i="83"/>
  <c r="G177" i="83"/>
  <c r="B178" i="83"/>
  <c r="C178" i="83"/>
  <c r="D178" i="83"/>
  <c r="E178" i="83"/>
  <c r="F178" i="83"/>
  <c r="G178" i="83"/>
  <c r="B179" i="83"/>
  <c r="C179" i="83"/>
  <c r="D179" i="83"/>
  <c r="E179" i="83"/>
  <c r="F179" i="83"/>
  <c r="G179" i="83"/>
  <c r="B180" i="83"/>
  <c r="C180" i="83"/>
  <c r="D180" i="83"/>
  <c r="E180" i="83"/>
  <c r="F180" i="83"/>
  <c r="G180" i="83"/>
  <c r="B181" i="83"/>
  <c r="C181" i="83"/>
  <c r="D181" i="83"/>
  <c r="E181" i="83"/>
  <c r="F181" i="83"/>
  <c r="G181" i="83"/>
  <c r="B182" i="83"/>
  <c r="C182" i="83"/>
  <c r="D182" i="83"/>
  <c r="E182" i="83"/>
  <c r="F182" i="83"/>
  <c r="G182" i="83"/>
  <c r="B183" i="83"/>
  <c r="C183" i="83"/>
  <c r="D183" i="83"/>
  <c r="E183" i="83"/>
  <c r="F183" i="83"/>
  <c r="G183" i="83"/>
  <c r="B184" i="83"/>
  <c r="C184" i="83"/>
  <c r="D184" i="83"/>
  <c r="E184" i="83"/>
  <c r="F184" i="83"/>
  <c r="G184" i="83"/>
  <c r="B185" i="83"/>
  <c r="C185" i="83"/>
  <c r="D185" i="83"/>
  <c r="E185" i="83"/>
  <c r="F185" i="83"/>
  <c r="G185" i="83"/>
  <c r="B186" i="83"/>
  <c r="C186" i="83"/>
  <c r="D186" i="83"/>
  <c r="E186" i="83"/>
  <c r="F186" i="83"/>
  <c r="G186" i="83"/>
  <c r="C160" i="83"/>
  <c r="D160" i="83"/>
  <c r="E160" i="83"/>
  <c r="F160" i="83"/>
  <c r="G160" i="83"/>
  <c r="J161" i="83"/>
  <c r="K161" i="83"/>
  <c r="L161" i="83"/>
  <c r="M161" i="83"/>
  <c r="N161" i="83"/>
  <c r="O161" i="83"/>
  <c r="J162" i="83"/>
  <c r="K162" i="83"/>
  <c r="L162" i="83"/>
  <c r="M162" i="83"/>
  <c r="N162" i="83"/>
  <c r="O162" i="83"/>
  <c r="J163" i="83"/>
  <c r="K163" i="83"/>
  <c r="L163" i="83"/>
  <c r="M163" i="83"/>
  <c r="N163" i="83"/>
  <c r="O163" i="83"/>
  <c r="J164" i="83"/>
  <c r="K164" i="83"/>
  <c r="L164" i="83"/>
  <c r="M164" i="83"/>
  <c r="N164" i="83"/>
  <c r="O164" i="83"/>
  <c r="J165" i="83"/>
  <c r="K165" i="83"/>
  <c r="L165" i="83"/>
  <c r="M165" i="83"/>
  <c r="N165" i="83"/>
  <c r="O165" i="83"/>
  <c r="J166" i="83"/>
  <c r="K166" i="83"/>
  <c r="L166" i="83"/>
  <c r="M166" i="83"/>
  <c r="N166" i="83"/>
  <c r="O166" i="83"/>
  <c r="J167" i="83"/>
  <c r="K167" i="83"/>
  <c r="L167" i="83"/>
  <c r="M167" i="83"/>
  <c r="N167" i="83"/>
  <c r="O167" i="83"/>
  <c r="J168" i="83"/>
  <c r="K168" i="83"/>
  <c r="L168" i="83"/>
  <c r="M168" i="83"/>
  <c r="N168" i="83"/>
  <c r="O168" i="83"/>
  <c r="J169" i="83"/>
  <c r="K169" i="83"/>
  <c r="L169" i="83"/>
  <c r="M169" i="83"/>
  <c r="N169" i="83"/>
  <c r="O169" i="83"/>
  <c r="J170" i="83"/>
  <c r="K170" i="83"/>
  <c r="L170" i="83"/>
  <c r="M170" i="83"/>
  <c r="N170" i="83"/>
  <c r="O170" i="83"/>
  <c r="J171" i="83"/>
  <c r="K171" i="83"/>
  <c r="L171" i="83"/>
  <c r="M171" i="83"/>
  <c r="N171" i="83"/>
  <c r="O171" i="83"/>
  <c r="J172" i="83"/>
  <c r="K172" i="83"/>
  <c r="L172" i="83"/>
  <c r="M172" i="83"/>
  <c r="N172" i="83"/>
  <c r="O172" i="83"/>
  <c r="J173" i="83"/>
  <c r="K173" i="83"/>
  <c r="L173" i="83"/>
  <c r="M173" i="83"/>
  <c r="N173" i="83"/>
  <c r="O173" i="83"/>
  <c r="J174" i="83"/>
  <c r="K174" i="83"/>
  <c r="L174" i="83"/>
  <c r="M174" i="83"/>
  <c r="N174" i="83"/>
  <c r="O174" i="83"/>
  <c r="J175" i="83"/>
  <c r="K175" i="83"/>
  <c r="L175" i="83"/>
  <c r="M175" i="83"/>
  <c r="N175" i="83"/>
  <c r="O175" i="83"/>
  <c r="J176" i="83"/>
  <c r="K176" i="83"/>
  <c r="L176" i="83"/>
  <c r="M176" i="83"/>
  <c r="N176" i="83"/>
  <c r="O176" i="83"/>
  <c r="J177" i="83"/>
  <c r="K177" i="83"/>
  <c r="L177" i="83"/>
  <c r="M177" i="83"/>
  <c r="N177" i="83"/>
  <c r="O177" i="83"/>
  <c r="J178" i="83"/>
  <c r="K178" i="83"/>
  <c r="L178" i="83"/>
  <c r="M178" i="83"/>
  <c r="N178" i="83"/>
  <c r="O178" i="83"/>
  <c r="J179" i="83"/>
  <c r="K179" i="83"/>
  <c r="L179" i="83"/>
  <c r="M179" i="83"/>
  <c r="N179" i="83"/>
  <c r="O179" i="83"/>
  <c r="J180" i="83"/>
  <c r="K180" i="83"/>
  <c r="L180" i="83"/>
  <c r="M180" i="83"/>
  <c r="N180" i="83"/>
  <c r="O180" i="83"/>
  <c r="J181" i="83"/>
  <c r="K181" i="83"/>
  <c r="L181" i="83"/>
  <c r="M181" i="83"/>
  <c r="N181" i="83"/>
  <c r="O181" i="83"/>
  <c r="J182" i="83"/>
  <c r="K182" i="83"/>
  <c r="L182" i="83"/>
  <c r="M182" i="83"/>
  <c r="N182" i="83"/>
  <c r="O182" i="83"/>
  <c r="J183" i="83"/>
  <c r="K183" i="83"/>
  <c r="L183" i="83"/>
  <c r="M183" i="83"/>
  <c r="N183" i="83"/>
  <c r="O183" i="83"/>
  <c r="J184" i="83"/>
  <c r="K184" i="83"/>
  <c r="L184" i="83"/>
  <c r="M184" i="83"/>
  <c r="N184" i="83"/>
  <c r="O184" i="83"/>
  <c r="J185" i="83"/>
  <c r="K185" i="83"/>
  <c r="L185" i="83"/>
  <c r="M185" i="83"/>
  <c r="N185" i="83"/>
  <c r="O185" i="83"/>
  <c r="J186" i="83"/>
  <c r="K186" i="83"/>
  <c r="L186" i="83"/>
  <c r="M186" i="83"/>
  <c r="N186" i="83"/>
  <c r="O186" i="83"/>
  <c r="K160" i="83"/>
  <c r="L160" i="83"/>
  <c r="M160" i="83"/>
  <c r="N160" i="83"/>
  <c r="O160" i="83"/>
  <c r="R161" i="83"/>
  <c r="S161" i="83"/>
  <c r="T161" i="83"/>
  <c r="U161" i="83"/>
  <c r="V161" i="83"/>
  <c r="W161" i="83"/>
  <c r="R162" i="83"/>
  <c r="S162" i="83"/>
  <c r="T162" i="83"/>
  <c r="U162" i="83"/>
  <c r="V162" i="83"/>
  <c r="W162" i="83"/>
  <c r="R163" i="83"/>
  <c r="S163" i="83"/>
  <c r="T163" i="83"/>
  <c r="U163" i="83"/>
  <c r="V163" i="83"/>
  <c r="W163" i="83"/>
  <c r="R164" i="83"/>
  <c r="S164" i="83"/>
  <c r="T164" i="83"/>
  <c r="U164" i="83"/>
  <c r="V164" i="83"/>
  <c r="W164" i="83"/>
  <c r="R165" i="83"/>
  <c r="S165" i="83"/>
  <c r="T165" i="83"/>
  <c r="U165" i="83"/>
  <c r="V165" i="83"/>
  <c r="W165" i="83"/>
  <c r="R166" i="83"/>
  <c r="S166" i="83"/>
  <c r="T166" i="83"/>
  <c r="U166" i="83"/>
  <c r="V166" i="83"/>
  <c r="W166" i="83"/>
  <c r="R167" i="83"/>
  <c r="S167" i="83"/>
  <c r="T167" i="83"/>
  <c r="U167" i="83"/>
  <c r="V167" i="83"/>
  <c r="W167" i="83"/>
  <c r="R168" i="83"/>
  <c r="S168" i="83"/>
  <c r="T168" i="83"/>
  <c r="U168" i="83"/>
  <c r="V168" i="83"/>
  <c r="W168" i="83"/>
  <c r="R169" i="83"/>
  <c r="S169" i="83"/>
  <c r="T169" i="83"/>
  <c r="U169" i="83"/>
  <c r="V169" i="83"/>
  <c r="W169" i="83"/>
  <c r="R170" i="83"/>
  <c r="S170" i="83"/>
  <c r="T170" i="83"/>
  <c r="U170" i="83"/>
  <c r="V170" i="83"/>
  <c r="W170" i="83"/>
  <c r="R171" i="83"/>
  <c r="S171" i="83"/>
  <c r="T171" i="83"/>
  <c r="U171" i="83"/>
  <c r="V171" i="83"/>
  <c r="W171" i="83"/>
  <c r="R172" i="83"/>
  <c r="S172" i="83"/>
  <c r="T172" i="83"/>
  <c r="U172" i="83"/>
  <c r="V172" i="83"/>
  <c r="W172" i="83"/>
  <c r="R173" i="83"/>
  <c r="S173" i="83"/>
  <c r="T173" i="83"/>
  <c r="U173" i="83"/>
  <c r="V173" i="83"/>
  <c r="W173" i="83"/>
  <c r="R174" i="83"/>
  <c r="S174" i="83"/>
  <c r="T174" i="83"/>
  <c r="U174" i="83"/>
  <c r="V174" i="83"/>
  <c r="W174" i="83"/>
  <c r="R175" i="83"/>
  <c r="S175" i="83"/>
  <c r="T175" i="83"/>
  <c r="U175" i="83"/>
  <c r="V175" i="83"/>
  <c r="W175" i="83"/>
  <c r="R176" i="83"/>
  <c r="S176" i="83"/>
  <c r="T176" i="83"/>
  <c r="U176" i="83"/>
  <c r="V176" i="83"/>
  <c r="W176" i="83"/>
  <c r="R177" i="83"/>
  <c r="S177" i="83"/>
  <c r="T177" i="83"/>
  <c r="U177" i="83"/>
  <c r="V177" i="83"/>
  <c r="W177" i="83"/>
  <c r="R178" i="83"/>
  <c r="S178" i="83"/>
  <c r="T178" i="83"/>
  <c r="U178" i="83"/>
  <c r="V178" i="83"/>
  <c r="W178" i="83"/>
  <c r="R179" i="83"/>
  <c r="S179" i="83"/>
  <c r="T179" i="83"/>
  <c r="U179" i="83"/>
  <c r="V179" i="83"/>
  <c r="W179" i="83"/>
  <c r="R180" i="83"/>
  <c r="S180" i="83"/>
  <c r="T180" i="83"/>
  <c r="U180" i="83"/>
  <c r="V180" i="83"/>
  <c r="W180" i="83"/>
  <c r="R181" i="83"/>
  <c r="S181" i="83"/>
  <c r="T181" i="83"/>
  <c r="U181" i="83"/>
  <c r="V181" i="83"/>
  <c r="W181" i="83"/>
  <c r="R182" i="83"/>
  <c r="S182" i="83"/>
  <c r="T182" i="83"/>
  <c r="U182" i="83"/>
  <c r="V182" i="83"/>
  <c r="W182" i="83"/>
  <c r="R183" i="83"/>
  <c r="S183" i="83"/>
  <c r="T183" i="83"/>
  <c r="U183" i="83"/>
  <c r="V183" i="83"/>
  <c r="W183" i="83"/>
  <c r="R184" i="83"/>
  <c r="S184" i="83"/>
  <c r="T184" i="83"/>
  <c r="U184" i="83"/>
  <c r="V184" i="83"/>
  <c r="W184" i="83"/>
  <c r="R185" i="83"/>
  <c r="S185" i="83"/>
  <c r="T185" i="83"/>
  <c r="U185" i="83"/>
  <c r="V185" i="83"/>
  <c r="W185" i="83"/>
  <c r="R186" i="83"/>
  <c r="S186" i="83"/>
  <c r="T186" i="83"/>
  <c r="U186" i="83"/>
  <c r="V186" i="83"/>
  <c r="W186" i="83"/>
  <c r="S160" i="83"/>
  <c r="T160" i="83"/>
  <c r="U160" i="83"/>
  <c r="V160" i="83"/>
  <c r="W160" i="83"/>
  <c r="Z161" i="83"/>
  <c r="AA161" i="83"/>
  <c r="AB161" i="83"/>
  <c r="AC161" i="83"/>
  <c r="AD161" i="83"/>
  <c r="AE161" i="83"/>
  <c r="Z162" i="83"/>
  <c r="AA162" i="83"/>
  <c r="AB162" i="83"/>
  <c r="AC162" i="83"/>
  <c r="AD162" i="83"/>
  <c r="AE162" i="83"/>
  <c r="Z163" i="83"/>
  <c r="AA163" i="83"/>
  <c r="AB163" i="83"/>
  <c r="AC163" i="83"/>
  <c r="AD163" i="83"/>
  <c r="AE163" i="83"/>
  <c r="Z164" i="83"/>
  <c r="AA164" i="83"/>
  <c r="AB164" i="83"/>
  <c r="AC164" i="83"/>
  <c r="AD164" i="83"/>
  <c r="AE164" i="83"/>
  <c r="Z165" i="83"/>
  <c r="AA165" i="83"/>
  <c r="AB165" i="83"/>
  <c r="AC165" i="83"/>
  <c r="AD165" i="83"/>
  <c r="AE165" i="83"/>
  <c r="Z166" i="83"/>
  <c r="AA166" i="83"/>
  <c r="AB166" i="83"/>
  <c r="AC166" i="83"/>
  <c r="AD166" i="83"/>
  <c r="AE166" i="83"/>
  <c r="Z167" i="83"/>
  <c r="AA167" i="83"/>
  <c r="AB167" i="83"/>
  <c r="AC167" i="83"/>
  <c r="AD167" i="83"/>
  <c r="AE167" i="83"/>
  <c r="Z168" i="83"/>
  <c r="AA168" i="83"/>
  <c r="AB168" i="83"/>
  <c r="AC168" i="83"/>
  <c r="AD168" i="83"/>
  <c r="AE168" i="83"/>
  <c r="Z169" i="83"/>
  <c r="AA169" i="83"/>
  <c r="AB169" i="83"/>
  <c r="AC169" i="83"/>
  <c r="AD169" i="83"/>
  <c r="AE169" i="83"/>
  <c r="Z170" i="83"/>
  <c r="AA170" i="83"/>
  <c r="AB170" i="83"/>
  <c r="AC170" i="83"/>
  <c r="AD170" i="83"/>
  <c r="AE170" i="83"/>
  <c r="Z171" i="83"/>
  <c r="AA171" i="83"/>
  <c r="AB171" i="83"/>
  <c r="AC171" i="83"/>
  <c r="AD171" i="83"/>
  <c r="AE171" i="83"/>
  <c r="Z172" i="83"/>
  <c r="AA172" i="83"/>
  <c r="AB172" i="83"/>
  <c r="AC172" i="83"/>
  <c r="AD172" i="83"/>
  <c r="AE172" i="83"/>
  <c r="Z173" i="83"/>
  <c r="AA173" i="83"/>
  <c r="AB173" i="83"/>
  <c r="AC173" i="83"/>
  <c r="AD173" i="83"/>
  <c r="AE173" i="83"/>
  <c r="Z174" i="83"/>
  <c r="AA174" i="83"/>
  <c r="AB174" i="83"/>
  <c r="AC174" i="83"/>
  <c r="AD174" i="83"/>
  <c r="AE174" i="83"/>
  <c r="Z175" i="83"/>
  <c r="AA175" i="83"/>
  <c r="AB175" i="83"/>
  <c r="AC175" i="83"/>
  <c r="AD175" i="83"/>
  <c r="AE175" i="83"/>
  <c r="Z176" i="83"/>
  <c r="AA176" i="83"/>
  <c r="AB176" i="83"/>
  <c r="AC176" i="83"/>
  <c r="AD176" i="83"/>
  <c r="AE176" i="83"/>
  <c r="Z177" i="83"/>
  <c r="AA177" i="83"/>
  <c r="AB177" i="83"/>
  <c r="AC177" i="83"/>
  <c r="AD177" i="83"/>
  <c r="AE177" i="83"/>
  <c r="Z178" i="83"/>
  <c r="AA178" i="83"/>
  <c r="AB178" i="83"/>
  <c r="AC178" i="83"/>
  <c r="AD178" i="83"/>
  <c r="AE178" i="83"/>
  <c r="Z179" i="83"/>
  <c r="AA179" i="83"/>
  <c r="AB179" i="83"/>
  <c r="AC179" i="83"/>
  <c r="AD179" i="83"/>
  <c r="AE179" i="83"/>
  <c r="Z180" i="83"/>
  <c r="AA180" i="83"/>
  <c r="AB180" i="83"/>
  <c r="AC180" i="83"/>
  <c r="AD180" i="83"/>
  <c r="AE180" i="83"/>
  <c r="Z181" i="83"/>
  <c r="AA181" i="83"/>
  <c r="AB181" i="83"/>
  <c r="AC181" i="83"/>
  <c r="AD181" i="83"/>
  <c r="AE181" i="83"/>
  <c r="Z182" i="83"/>
  <c r="AA182" i="83"/>
  <c r="AB182" i="83"/>
  <c r="AC182" i="83"/>
  <c r="AD182" i="83"/>
  <c r="AE182" i="83"/>
  <c r="Z183" i="83"/>
  <c r="AA183" i="83"/>
  <c r="AB183" i="83"/>
  <c r="AC183" i="83"/>
  <c r="AD183" i="83"/>
  <c r="AE183" i="83"/>
  <c r="Z184" i="83"/>
  <c r="AA184" i="83"/>
  <c r="AB184" i="83"/>
  <c r="AC184" i="83"/>
  <c r="AD184" i="83"/>
  <c r="AE184" i="83"/>
  <c r="Z185" i="83"/>
  <c r="AA185" i="83"/>
  <c r="AB185" i="83"/>
  <c r="AC185" i="83"/>
  <c r="AD185" i="83"/>
  <c r="AE185" i="83"/>
  <c r="Z186" i="83"/>
  <c r="AA186" i="83"/>
  <c r="AB186" i="83"/>
  <c r="AC186" i="83"/>
  <c r="AD186" i="83"/>
  <c r="AE186" i="83"/>
  <c r="AA160" i="83"/>
  <c r="AB160" i="83"/>
  <c r="AC160" i="83"/>
  <c r="AD160" i="83"/>
  <c r="AE160" i="83"/>
  <c r="AH161" i="83"/>
  <c r="AI161" i="83"/>
  <c r="AJ161" i="83"/>
  <c r="AK161" i="83"/>
  <c r="AL161" i="83"/>
  <c r="AM161" i="83"/>
  <c r="AH162" i="83"/>
  <c r="AI162" i="83"/>
  <c r="AJ162" i="83"/>
  <c r="AK162" i="83"/>
  <c r="AL162" i="83"/>
  <c r="AM162" i="83"/>
  <c r="AH163" i="83"/>
  <c r="AI163" i="83"/>
  <c r="AJ163" i="83"/>
  <c r="AK163" i="83"/>
  <c r="AL163" i="83"/>
  <c r="AM163" i="83"/>
  <c r="AH164" i="83"/>
  <c r="AI164" i="83"/>
  <c r="AJ164" i="83"/>
  <c r="AK164" i="83"/>
  <c r="AL164" i="83"/>
  <c r="AM164" i="83"/>
  <c r="AH165" i="83"/>
  <c r="AI165" i="83"/>
  <c r="AJ165" i="83"/>
  <c r="AK165" i="83"/>
  <c r="AL165" i="83"/>
  <c r="AM165" i="83"/>
  <c r="AH166" i="83"/>
  <c r="AI166" i="83"/>
  <c r="AJ166" i="83"/>
  <c r="AK166" i="83"/>
  <c r="AL166" i="83"/>
  <c r="AM166" i="83"/>
  <c r="AH167" i="83"/>
  <c r="AI167" i="83"/>
  <c r="AJ167" i="83"/>
  <c r="AK167" i="83"/>
  <c r="AL167" i="83"/>
  <c r="AM167" i="83"/>
  <c r="AH168" i="83"/>
  <c r="AI168" i="83"/>
  <c r="AJ168" i="83"/>
  <c r="AK168" i="83"/>
  <c r="AL168" i="83"/>
  <c r="AM168" i="83"/>
  <c r="AH169" i="83"/>
  <c r="AI169" i="83"/>
  <c r="AJ169" i="83"/>
  <c r="AK169" i="83"/>
  <c r="AL169" i="83"/>
  <c r="AM169" i="83"/>
  <c r="AH170" i="83"/>
  <c r="AI170" i="83"/>
  <c r="AJ170" i="83"/>
  <c r="AK170" i="83"/>
  <c r="AL170" i="83"/>
  <c r="AM170" i="83"/>
  <c r="AH171" i="83"/>
  <c r="AI171" i="83"/>
  <c r="AJ171" i="83"/>
  <c r="AK171" i="83"/>
  <c r="AL171" i="83"/>
  <c r="AM171" i="83"/>
  <c r="AH172" i="83"/>
  <c r="AI172" i="83"/>
  <c r="AJ172" i="83"/>
  <c r="AK172" i="83"/>
  <c r="AL172" i="83"/>
  <c r="AM172" i="83"/>
  <c r="AH173" i="83"/>
  <c r="AI173" i="83"/>
  <c r="AJ173" i="83"/>
  <c r="AK173" i="83"/>
  <c r="AL173" i="83"/>
  <c r="AM173" i="83"/>
  <c r="AH174" i="83"/>
  <c r="AI174" i="83"/>
  <c r="AJ174" i="83"/>
  <c r="AK174" i="83"/>
  <c r="AL174" i="83"/>
  <c r="AM174" i="83"/>
  <c r="AH175" i="83"/>
  <c r="AI175" i="83"/>
  <c r="AJ175" i="83"/>
  <c r="AK175" i="83"/>
  <c r="AL175" i="83"/>
  <c r="AM175" i="83"/>
  <c r="AH176" i="83"/>
  <c r="AI176" i="83"/>
  <c r="AJ176" i="83"/>
  <c r="AK176" i="83"/>
  <c r="AL176" i="83"/>
  <c r="AM176" i="83"/>
  <c r="AH177" i="83"/>
  <c r="AI177" i="83"/>
  <c r="AJ177" i="83"/>
  <c r="AK177" i="83"/>
  <c r="AL177" i="83"/>
  <c r="AM177" i="83"/>
  <c r="AH178" i="83"/>
  <c r="AI178" i="83"/>
  <c r="AJ178" i="83"/>
  <c r="AK178" i="83"/>
  <c r="AL178" i="83"/>
  <c r="AM178" i="83"/>
  <c r="AH179" i="83"/>
  <c r="AI179" i="83"/>
  <c r="AJ179" i="83"/>
  <c r="AK179" i="83"/>
  <c r="AL179" i="83"/>
  <c r="AM179" i="83"/>
  <c r="AH180" i="83"/>
  <c r="AI180" i="83"/>
  <c r="AJ180" i="83"/>
  <c r="AK180" i="83"/>
  <c r="AL180" i="83"/>
  <c r="AM180" i="83"/>
  <c r="AH181" i="83"/>
  <c r="AI181" i="83"/>
  <c r="AJ181" i="83"/>
  <c r="AK181" i="83"/>
  <c r="AL181" i="83"/>
  <c r="AM181" i="83"/>
  <c r="AH182" i="83"/>
  <c r="AI182" i="83"/>
  <c r="AJ182" i="83"/>
  <c r="AK182" i="83"/>
  <c r="AL182" i="83"/>
  <c r="AM182" i="83"/>
  <c r="AH183" i="83"/>
  <c r="AI183" i="83"/>
  <c r="AJ183" i="83"/>
  <c r="AK183" i="83"/>
  <c r="AL183" i="83"/>
  <c r="AM183" i="83"/>
  <c r="AH184" i="83"/>
  <c r="AI184" i="83"/>
  <c r="AJ184" i="83"/>
  <c r="AK184" i="83"/>
  <c r="AL184" i="83"/>
  <c r="AM184" i="83"/>
  <c r="AH185" i="83"/>
  <c r="AI185" i="83"/>
  <c r="AJ185" i="83"/>
  <c r="AK185" i="83"/>
  <c r="AL185" i="83"/>
  <c r="AM185" i="83"/>
  <c r="AH186" i="83"/>
  <c r="AI186" i="83"/>
  <c r="AJ186" i="83"/>
  <c r="AK186" i="83"/>
  <c r="AL186" i="83"/>
  <c r="AM186" i="83"/>
  <c r="AI160" i="83"/>
  <c r="AJ160" i="83"/>
  <c r="AK160" i="83"/>
  <c r="AL160" i="83"/>
  <c r="AM160" i="83"/>
  <c r="AP161" i="83"/>
  <c r="AQ161" i="83"/>
  <c r="AR161" i="83"/>
  <c r="AS161" i="83"/>
  <c r="AT161" i="83"/>
  <c r="AU161" i="83"/>
  <c r="AP162" i="83"/>
  <c r="AQ162" i="83"/>
  <c r="AR162" i="83"/>
  <c r="AS162" i="83"/>
  <c r="AT162" i="83"/>
  <c r="AU162" i="83"/>
  <c r="AP163" i="83"/>
  <c r="AQ163" i="83"/>
  <c r="AR163" i="83"/>
  <c r="AS163" i="83"/>
  <c r="AT163" i="83"/>
  <c r="AU163" i="83"/>
  <c r="AP164" i="83"/>
  <c r="AQ164" i="83"/>
  <c r="AR164" i="83"/>
  <c r="AS164" i="83"/>
  <c r="AT164" i="83"/>
  <c r="AU164" i="83"/>
  <c r="AP165" i="83"/>
  <c r="AQ165" i="83"/>
  <c r="AR165" i="83"/>
  <c r="AS165" i="83"/>
  <c r="AT165" i="83"/>
  <c r="AU165" i="83"/>
  <c r="AP166" i="83"/>
  <c r="AQ166" i="83"/>
  <c r="AR166" i="83"/>
  <c r="AS166" i="83"/>
  <c r="AT166" i="83"/>
  <c r="AU166" i="83"/>
  <c r="AP167" i="83"/>
  <c r="AQ167" i="83"/>
  <c r="AR167" i="83"/>
  <c r="AS167" i="83"/>
  <c r="AT167" i="83"/>
  <c r="AU167" i="83"/>
  <c r="AP168" i="83"/>
  <c r="AQ168" i="83"/>
  <c r="AR168" i="83"/>
  <c r="AS168" i="83"/>
  <c r="AT168" i="83"/>
  <c r="AU168" i="83"/>
  <c r="AP169" i="83"/>
  <c r="AQ169" i="83"/>
  <c r="AR169" i="83"/>
  <c r="AS169" i="83"/>
  <c r="AT169" i="83"/>
  <c r="AU169" i="83"/>
  <c r="AP170" i="83"/>
  <c r="AQ170" i="83"/>
  <c r="AR170" i="83"/>
  <c r="AS170" i="83"/>
  <c r="AT170" i="83"/>
  <c r="AU170" i="83"/>
  <c r="AP171" i="83"/>
  <c r="AQ171" i="83"/>
  <c r="AR171" i="83"/>
  <c r="AS171" i="83"/>
  <c r="AT171" i="83"/>
  <c r="AU171" i="83"/>
  <c r="AP172" i="83"/>
  <c r="AQ172" i="83"/>
  <c r="AR172" i="83"/>
  <c r="AS172" i="83"/>
  <c r="AT172" i="83"/>
  <c r="AU172" i="83"/>
  <c r="AP173" i="83"/>
  <c r="AQ173" i="83"/>
  <c r="AR173" i="83"/>
  <c r="AS173" i="83"/>
  <c r="AT173" i="83"/>
  <c r="AU173" i="83"/>
  <c r="AP174" i="83"/>
  <c r="AQ174" i="83"/>
  <c r="AR174" i="83"/>
  <c r="AS174" i="83"/>
  <c r="AT174" i="83"/>
  <c r="AU174" i="83"/>
  <c r="AP175" i="83"/>
  <c r="AQ175" i="83"/>
  <c r="AR175" i="83"/>
  <c r="AS175" i="83"/>
  <c r="AT175" i="83"/>
  <c r="AU175" i="83"/>
  <c r="AP176" i="83"/>
  <c r="AQ176" i="83"/>
  <c r="AR176" i="83"/>
  <c r="AS176" i="83"/>
  <c r="AT176" i="83"/>
  <c r="AU176" i="83"/>
  <c r="AP177" i="83"/>
  <c r="AQ177" i="83"/>
  <c r="AR177" i="83"/>
  <c r="AS177" i="83"/>
  <c r="AT177" i="83"/>
  <c r="AU177" i="83"/>
  <c r="AP178" i="83"/>
  <c r="AQ178" i="83"/>
  <c r="AR178" i="83"/>
  <c r="AS178" i="83"/>
  <c r="AT178" i="83"/>
  <c r="AU178" i="83"/>
  <c r="AP179" i="83"/>
  <c r="AQ179" i="83"/>
  <c r="AR179" i="83"/>
  <c r="AS179" i="83"/>
  <c r="AT179" i="83"/>
  <c r="AU179" i="83"/>
  <c r="AP180" i="83"/>
  <c r="AQ180" i="83"/>
  <c r="AR180" i="83"/>
  <c r="AS180" i="83"/>
  <c r="AT180" i="83"/>
  <c r="AU180" i="83"/>
  <c r="AP181" i="83"/>
  <c r="AQ181" i="83"/>
  <c r="AR181" i="83"/>
  <c r="AS181" i="83"/>
  <c r="AT181" i="83"/>
  <c r="AU181" i="83"/>
  <c r="AP182" i="83"/>
  <c r="AQ182" i="83"/>
  <c r="AR182" i="83"/>
  <c r="AS182" i="83"/>
  <c r="AT182" i="83"/>
  <c r="AU182" i="83"/>
  <c r="AP183" i="83"/>
  <c r="AQ183" i="83"/>
  <c r="AR183" i="83"/>
  <c r="AS183" i="83"/>
  <c r="AT183" i="83"/>
  <c r="AU183" i="83"/>
  <c r="AP184" i="83"/>
  <c r="AQ184" i="83"/>
  <c r="AR184" i="83"/>
  <c r="AS184" i="83"/>
  <c r="AT184" i="83"/>
  <c r="AU184" i="83"/>
  <c r="AP185" i="83"/>
  <c r="AQ185" i="83"/>
  <c r="AR185" i="83"/>
  <c r="AS185" i="83"/>
  <c r="AT185" i="83"/>
  <c r="AU185" i="83"/>
  <c r="AP186" i="83"/>
  <c r="AQ186" i="83"/>
  <c r="AR186" i="83"/>
  <c r="AS186" i="83"/>
  <c r="AT186" i="83"/>
  <c r="AU186" i="83"/>
  <c r="AQ160" i="83"/>
  <c r="AR160" i="83"/>
  <c r="AS160" i="83"/>
  <c r="AT160" i="83"/>
  <c r="AU160" i="83"/>
  <c r="AX161" i="83"/>
  <c r="AY161" i="83"/>
  <c r="AX162" i="83"/>
  <c r="AY162" i="83"/>
  <c r="AX163" i="83"/>
  <c r="AY163" i="83"/>
  <c r="AX164" i="83"/>
  <c r="AY164" i="83"/>
  <c r="AX165" i="83"/>
  <c r="AY165" i="83"/>
  <c r="AZ165" i="83"/>
  <c r="BA165" i="83"/>
  <c r="BB165" i="83"/>
  <c r="BC165" i="83"/>
  <c r="AX166" i="83"/>
  <c r="AY166" i="83"/>
  <c r="AZ166" i="83"/>
  <c r="BA166" i="83"/>
  <c r="BB166" i="83"/>
  <c r="BC166" i="83"/>
  <c r="AX167" i="83"/>
  <c r="AY167" i="83"/>
  <c r="AZ167" i="83"/>
  <c r="BA167" i="83"/>
  <c r="BB167" i="83"/>
  <c r="BC167" i="83"/>
  <c r="AX168" i="83"/>
  <c r="AY168" i="83"/>
  <c r="AZ168" i="83"/>
  <c r="BA168" i="83"/>
  <c r="BB168" i="83"/>
  <c r="BC168" i="83"/>
  <c r="AX169" i="83"/>
  <c r="AY169" i="83"/>
  <c r="AZ169" i="83"/>
  <c r="BA169" i="83"/>
  <c r="BB169" i="83"/>
  <c r="BC169" i="83"/>
  <c r="AX170" i="83"/>
  <c r="AY170" i="83"/>
  <c r="AZ170" i="83"/>
  <c r="BA170" i="83"/>
  <c r="BB170" i="83"/>
  <c r="BC170" i="83"/>
  <c r="AX171" i="83"/>
  <c r="AY171" i="83"/>
  <c r="AZ171" i="83"/>
  <c r="BA171" i="83"/>
  <c r="BB171" i="83"/>
  <c r="BC171" i="83"/>
  <c r="AX172" i="83"/>
  <c r="AY172" i="83"/>
  <c r="AZ172" i="83"/>
  <c r="BA172" i="83"/>
  <c r="BB172" i="83"/>
  <c r="BC172" i="83"/>
  <c r="AX173" i="83"/>
  <c r="AY173" i="83"/>
  <c r="AZ173" i="83"/>
  <c r="BA173" i="83"/>
  <c r="BB173" i="83"/>
  <c r="BC173" i="83"/>
  <c r="AX174" i="83"/>
  <c r="AY174" i="83"/>
  <c r="AZ174" i="83"/>
  <c r="BA174" i="83"/>
  <c r="BB174" i="83"/>
  <c r="BC174" i="83"/>
  <c r="AX175" i="83"/>
  <c r="AY175" i="83"/>
  <c r="AZ175" i="83"/>
  <c r="BA175" i="83"/>
  <c r="BB175" i="83"/>
  <c r="BC175" i="83"/>
  <c r="AX176" i="83"/>
  <c r="AY176" i="83"/>
  <c r="AZ176" i="83"/>
  <c r="BA176" i="83"/>
  <c r="BB176" i="83"/>
  <c r="BC176" i="83"/>
  <c r="AX177" i="83"/>
  <c r="AY177" i="83"/>
  <c r="AZ177" i="83"/>
  <c r="BA177" i="83"/>
  <c r="BB177" i="83"/>
  <c r="BC177" i="83"/>
  <c r="AX178" i="83"/>
  <c r="AY178" i="83"/>
  <c r="AZ178" i="83"/>
  <c r="BA178" i="83"/>
  <c r="BB178" i="83"/>
  <c r="BC178" i="83"/>
  <c r="AX179" i="83"/>
  <c r="AY179" i="83"/>
  <c r="AZ179" i="83"/>
  <c r="BA179" i="83"/>
  <c r="BB179" i="83"/>
  <c r="BC179" i="83"/>
  <c r="AX180" i="83"/>
  <c r="AY180" i="83"/>
  <c r="AZ180" i="83"/>
  <c r="BA180" i="83"/>
  <c r="BB180" i="83"/>
  <c r="BC180" i="83"/>
  <c r="AX181" i="83"/>
  <c r="AY181" i="83"/>
  <c r="AZ181" i="83"/>
  <c r="BA181" i="83"/>
  <c r="BB181" i="83"/>
  <c r="BC181" i="83"/>
  <c r="AX182" i="83"/>
  <c r="AY182" i="83"/>
  <c r="AZ182" i="83"/>
  <c r="BA182" i="83"/>
  <c r="BB182" i="83"/>
  <c r="BC182" i="83"/>
  <c r="AX183" i="83"/>
  <c r="AY183" i="83"/>
  <c r="AZ183" i="83"/>
  <c r="BA183" i="83"/>
  <c r="BB183" i="83"/>
  <c r="BC183" i="83"/>
  <c r="AX184" i="83"/>
  <c r="AY184" i="83"/>
  <c r="AZ184" i="83"/>
  <c r="BA184" i="83"/>
  <c r="BB184" i="83"/>
  <c r="BC184" i="83"/>
  <c r="AX185" i="83"/>
  <c r="AY185" i="83"/>
  <c r="AZ185" i="83"/>
  <c r="BA185" i="83"/>
  <c r="BB185" i="83"/>
  <c r="BC185" i="83"/>
  <c r="AX186" i="83"/>
  <c r="AY186" i="83"/>
  <c r="AZ186" i="83"/>
  <c r="BA186" i="83"/>
  <c r="BB186" i="83"/>
  <c r="BC186" i="83"/>
  <c r="AY160" i="83"/>
  <c r="BF161" i="83"/>
  <c r="BG161" i="83"/>
  <c r="BH161" i="83"/>
  <c r="BI161" i="83"/>
  <c r="BJ161" i="83"/>
  <c r="BK161" i="83"/>
  <c r="BF162" i="83"/>
  <c r="BG162" i="83"/>
  <c r="BH162" i="83"/>
  <c r="BI162" i="83"/>
  <c r="BJ162" i="83"/>
  <c r="BK162" i="83"/>
  <c r="BF163" i="83"/>
  <c r="BG163" i="83"/>
  <c r="BH163" i="83"/>
  <c r="BI163" i="83"/>
  <c r="BJ163" i="83"/>
  <c r="BK163" i="83"/>
  <c r="BF164" i="83"/>
  <c r="BG164" i="83"/>
  <c r="BH164" i="83"/>
  <c r="BI164" i="83"/>
  <c r="BJ164" i="83"/>
  <c r="BK164" i="83"/>
  <c r="BF165" i="83"/>
  <c r="BG165" i="83"/>
  <c r="BH165" i="83"/>
  <c r="BI165" i="83"/>
  <c r="BJ165" i="83"/>
  <c r="BK165" i="83"/>
  <c r="BF166" i="83"/>
  <c r="BG166" i="83"/>
  <c r="BH166" i="83"/>
  <c r="BI166" i="83"/>
  <c r="BJ166" i="83"/>
  <c r="BK166" i="83"/>
  <c r="BF167" i="83"/>
  <c r="BG167" i="83"/>
  <c r="BH167" i="83"/>
  <c r="BI167" i="83"/>
  <c r="BJ167" i="83"/>
  <c r="BK167" i="83"/>
  <c r="BF168" i="83"/>
  <c r="BG168" i="83"/>
  <c r="BH168" i="83"/>
  <c r="BI168" i="83"/>
  <c r="BJ168" i="83"/>
  <c r="BK168" i="83"/>
  <c r="BF169" i="83"/>
  <c r="BG169" i="83"/>
  <c r="BH169" i="83"/>
  <c r="BI169" i="83"/>
  <c r="BJ169" i="83"/>
  <c r="BK169" i="83"/>
  <c r="BF170" i="83"/>
  <c r="BG170" i="83"/>
  <c r="BH170" i="83"/>
  <c r="BI170" i="83"/>
  <c r="BJ170" i="83"/>
  <c r="BK170" i="83"/>
  <c r="BF171" i="83"/>
  <c r="BG171" i="83"/>
  <c r="BH171" i="83"/>
  <c r="BI171" i="83"/>
  <c r="BJ171" i="83"/>
  <c r="BK171" i="83"/>
  <c r="BF172" i="83"/>
  <c r="BG172" i="83"/>
  <c r="BH172" i="83"/>
  <c r="BI172" i="83"/>
  <c r="BJ172" i="83"/>
  <c r="BK172" i="83"/>
  <c r="BF173" i="83"/>
  <c r="BG173" i="83"/>
  <c r="BH173" i="83"/>
  <c r="BI173" i="83"/>
  <c r="BJ173" i="83"/>
  <c r="BK173" i="83"/>
  <c r="BF174" i="83"/>
  <c r="BG174" i="83"/>
  <c r="BH174" i="83"/>
  <c r="BI174" i="83"/>
  <c r="BJ174" i="83"/>
  <c r="BK174" i="83"/>
  <c r="BF175" i="83"/>
  <c r="BG175" i="83"/>
  <c r="BH175" i="83"/>
  <c r="BI175" i="83"/>
  <c r="BJ175" i="83"/>
  <c r="BK175" i="83"/>
  <c r="BF176" i="83"/>
  <c r="BG176" i="83"/>
  <c r="BH176" i="83"/>
  <c r="BI176" i="83"/>
  <c r="BJ176" i="83"/>
  <c r="BK176" i="83"/>
  <c r="BF177" i="83"/>
  <c r="BG177" i="83"/>
  <c r="BH177" i="83"/>
  <c r="BI177" i="83"/>
  <c r="BJ177" i="83"/>
  <c r="BK177" i="83"/>
  <c r="BF178" i="83"/>
  <c r="BG178" i="83"/>
  <c r="BH178" i="83"/>
  <c r="BI178" i="83"/>
  <c r="BJ178" i="83"/>
  <c r="BK178" i="83"/>
  <c r="BF179" i="83"/>
  <c r="BG179" i="83"/>
  <c r="BH179" i="83"/>
  <c r="BI179" i="83"/>
  <c r="BJ179" i="83"/>
  <c r="BK179" i="83"/>
  <c r="BF180" i="83"/>
  <c r="BG180" i="83"/>
  <c r="BH180" i="83"/>
  <c r="BI180" i="83"/>
  <c r="BJ180" i="83"/>
  <c r="BK180" i="83"/>
  <c r="BF181" i="83"/>
  <c r="BG181" i="83"/>
  <c r="BH181" i="83"/>
  <c r="BI181" i="83"/>
  <c r="BJ181" i="83"/>
  <c r="BK181" i="83"/>
  <c r="BF182" i="83"/>
  <c r="BG182" i="83"/>
  <c r="BH182" i="83"/>
  <c r="BI182" i="83"/>
  <c r="BJ182" i="83"/>
  <c r="BK182" i="83"/>
  <c r="BF183" i="83"/>
  <c r="BG183" i="83"/>
  <c r="BH183" i="83"/>
  <c r="BI183" i="83"/>
  <c r="BJ183" i="83"/>
  <c r="BK183" i="83"/>
  <c r="BF184" i="83"/>
  <c r="BG184" i="83"/>
  <c r="BH184" i="83"/>
  <c r="BI184" i="83"/>
  <c r="BJ184" i="83"/>
  <c r="BK184" i="83"/>
  <c r="BF185" i="83"/>
  <c r="BG185" i="83"/>
  <c r="BH185" i="83"/>
  <c r="BI185" i="83"/>
  <c r="BJ185" i="83"/>
  <c r="BK185" i="83"/>
  <c r="BF186" i="83"/>
  <c r="BG186" i="83"/>
  <c r="BH186" i="83"/>
  <c r="BI186" i="83"/>
  <c r="BJ186" i="83"/>
  <c r="BK186" i="83"/>
  <c r="BG160" i="83"/>
  <c r="BH160" i="83"/>
  <c r="BI160" i="83"/>
  <c r="BJ160" i="83"/>
  <c r="BK160" i="83"/>
  <c r="BN161" i="83"/>
  <c r="BO161" i="83"/>
  <c r="BP161" i="83"/>
  <c r="BQ161" i="83"/>
  <c r="BR161" i="83"/>
  <c r="BS161" i="83"/>
  <c r="BN162" i="83"/>
  <c r="BO162" i="83"/>
  <c r="BP162" i="83"/>
  <c r="BQ162" i="83"/>
  <c r="BR162" i="83"/>
  <c r="BS162" i="83"/>
  <c r="BN163" i="83"/>
  <c r="BO163" i="83"/>
  <c r="BP163" i="83"/>
  <c r="BQ163" i="83"/>
  <c r="BR163" i="83"/>
  <c r="BS163" i="83"/>
  <c r="BN164" i="83"/>
  <c r="BO164" i="83"/>
  <c r="BP164" i="83"/>
  <c r="BQ164" i="83"/>
  <c r="BR164" i="83"/>
  <c r="BS164" i="83"/>
  <c r="BN165" i="83"/>
  <c r="BO165" i="83"/>
  <c r="BP165" i="83"/>
  <c r="BQ165" i="83"/>
  <c r="BR165" i="83"/>
  <c r="BS165" i="83"/>
  <c r="BN166" i="83"/>
  <c r="BO166" i="83"/>
  <c r="BP166" i="83"/>
  <c r="BQ166" i="83"/>
  <c r="BR166" i="83"/>
  <c r="BS166" i="83"/>
  <c r="BN167" i="83"/>
  <c r="BO167" i="83"/>
  <c r="BP167" i="83"/>
  <c r="BQ167" i="83"/>
  <c r="BR167" i="83"/>
  <c r="BS167" i="83"/>
  <c r="BN168" i="83"/>
  <c r="BO168" i="83"/>
  <c r="BP168" i="83"/>
  <c r="BQ168" i="83"/>
  <c r="BR168" i="83"/>
  <c r="BS168" i="83"/>
  <c r="BN169" i="83"/>
  <c r="BO169" i="83"/>
  <c r="BP169" i="83"/>
  <c r="BQ169" i="83"/>
  <c r="BR169" i="83"/>
  <c r="BS169" i="83"/>
  <c r="BN170" i="83"/>
  <c r="BO170" i="83"/>
  <c r="BP170" i="83"/>
  <c r="BQ170" i="83"/>
  <c r="BR170" i="83"/>
  <c r="BS170" i="83"/>
  <c r="BN171" i="83"/>
  <c r="BO171" i="83"/>
  <c r="BP171" i="83"/>
  <c r="BQ171" i="83"/>
  <c r="BR171" i="83"/>
  <c r="BS171" i="83"/>
  <c r="BN172" i="83"/>
  <c r="BO172" i="83"/>
  <c r="BP172" i="83"/>
  <c r="BQ172" i="83"/>
  <c r="BR172" i="83"/>
  <c r="BS172" i="83"/>
  <c r="BN173" i="83"/>
  <c r="BO173" i="83"/>
  <c r="BP173" i="83"/>
  <c r="BQ173" i="83"/>
  <c r="BR173" i="83"/>
  <c r="BS173" i="83"/>
  <c r="BN174" i="83"/>
  <c r="BO174" i="83"/>
  <c r="BP174" i="83"/>
  <c r="BQ174" i="83"/>
  <c r="BR174" i="83"/>
  <c r="BS174" i="83"/>
  <c r="BN175" i="83"/>
  <c r="BO175" i="83"/>
  <c r="BP175" i="83"/>
  <c r="BQ175" i="83"/>
  <c r="BR175" i="83"/>
  <c r="BS175" i="83"/>
  <c r="BN176" i="83"/>
  <c r="BO176" i="83"/>
  <c r="BP176" i="83"/>
  <c r="BQ176" i="83"/>
  <c r="BR176" i="83"/>
  <c r="BS176" i="83"/>
  <c r="BN177" i="83"/>
  <c r="BO177" i="83"/>
  <c r="BP177" i="83"/>
  <c r="BQ177" i="83"/>
  <c r="BR177" i="83"/>
  <c r="BS177" i="83"/>
  <c r="BN178" i="83"/>
  <c r="BO178" i="83"/>
  <c r="BP178" i="83"/>
  <c r="BQ178" i="83"/>
  <c r="BR178" i="83"/>
  <c r="BS178" i="83"/>
  <c r="BN179" i="83"/>
  <c r="BO179" i="83"/>
  <c r="BP179" i="83"/>
  <c r="BQ179" i="83"/>
  <c r="BR179" i="83"/>
  <c r="BS179" i="83"/>
  <c r="BN180" i="83"/>
  <c r="BO180" i="83"/>
  <c r="BP180" i="83"/>
  <c r="BQ180" i="83"/>
  <c r="BR180" i="83"/>
  <c r="BS180" i="83"/>
  <c r="BN181" i="83"/>
  <c r="BO181" i="83"/>
  <c r="BP181" i="83"/>
  <c r="BQ181" i="83"/>
  <c r="BR181" i="83"/>
  <c r="BS181" i="83"/>
  <c r="BN182" i="83"/>
  <c r="BO182" i="83"/>
  <c r="BP182" i="83"/>
  <c r="BQ182" i="83"/>
  <c r="BR182" i="83"/>
  <c r="BS182" i="83"/>
  <c r="BN183" i="83"/>
  <c r="BO183" i="83"/>
  <c r="BP183" i="83"/>
  <c r="BQ183" i="83"/>
  <c r="BR183" i="83"/>
  <c r="BS183" i="83"/>
  <c r="BN184" i="83"/>
  <c r="BO184" i="83"/>
  <c r="BP184" i="83"/>
  <c r="BQ184" i="83"/>
  <c r="BR184" i="83"/>
  <c r="BS184" i="83"/>
  <c r="BN185" i="83"/>
  <c r="BO185" i="83"/>
  <c r="BP185" i="83"/>
  <c r="BQ185" i="83"/>
  <c r="BR185" i="83"/>
  <c r="BS185" i="83"/>
  <c r="BN186" i="83"/>
  <c r="BO186" i="83"/>
  <c r="BP186" i="83"/>
  <c r="BQ186" i="83"/>
  <c r="BR186" i="83"/>
  <c r="BS186" i="83"/>
  <c r="BO160" i="83"/>
  <c r="BP160" i="83"/>
  <c r="BQ160" i="83"/>
  <c r="BR160" i="83"/>
  <c r="BS160" i="83"/>
  <c r="BV161" i="83"/>
  <c r="BW161" i="83"/>
  <c r="BX161" i="83"/>
  <c r="BY161" i="83"/>
  <c r="BZ161" i="83"/>
  <c r="CA161" i="83"/>
  <c r="BV162" i="83"/>
  <c r="BW162" i="83"/>
  <c r="BX162" i="83"/>
  <c r="BY162" i="83"/>
  <c r="BZ162" i="83"/>
  <c r="CA162" i="83"/>
  <c r="BV163" i="83"/>
  <c r="BW163" i="83"/>
  <c r="BX163" i="83"/>
  <c r="BY163" i="83"/>
  <c r="BZ163" i="83"/>
  <c r="CA163" i="83"/>
  <c r="BV164" i="83"/>
  <c r="BW164" i="83"/>
  <c r="BX164" i="83"/>
  <c r="BY164" i="83"/>
  <c r="BZ164" i="83"/>
  <c r="CA164" i="83"/>
  <c r="BV165" i="83"/>
  <c r="BW165" i="83"/>
  <c r="BX165" i="83"/>
  <c r="BY165" i="83"/>
  <c r="BZ165" i="83"/>
  <c r="CA165" i="83"/>
  <c r="BV166" i="83"/>
  <c r="BW166" i="83"/>
  <c r="BX166" i="83"/>
  <c r="BY166" i="83"/>
  <c r="BZ166" i="83"/>
  <c r="CA166" i="83"/>
  <c r="BV167" i="83"/>
  <c r="BW167" i="83"/>
  <c r="BX167" i="83"/>
  <c r="BY167" i="83"/>
  <c r="BZ167" i="83"/>
  <c r="CA167" i="83"/>
  <c r="BV168" i="83"/>
  <c r="BW168" i="83"/>
  <c r="BX168" i="83"/>
  <c r="BY168" i="83"/>
  <c r="BZ168" i="83"/>
  <c r="CA168" i="83"/>
  <c r="BV169" i="83"/>
  <c r="BW169" i="83"/>
  <c r="BX169" i="83"/>
  <c r="BY169" i="83"/>
  <c r="BZ169" i="83"/>
  <c r="CA169" i="83"/>
  <c r="BV170" i="83"/>
  <c r="BW170" i="83"/>
  <c r="BX170" i="83"/>
  <c r="BY170" i="83"/>
  <c r="BZ170" i="83"/>
  <c r="CA170" i="83"/>
  <c r="BV171" i="83"/>
  <c r="BW171" i="83"/>
  <c r="BX171" i="83"/>
  <c r="BY171" i="83"/>
  <c r="BZ171" i="83"/>
  <c r="CA171" i="83"/>
  <c r="BV172" i="83"/>
  <c r="BW172" i="83"/>
  <c r="BX172" i="83"/>
  <c r="BY172" i="83"/>
  <c r="BZ172" i="83"/>
  <c r="CA172" i="83"/>
  <c r="BV173" i="83"/>
  <c r="BW173" i="83"/>
  <c r="BX173" i="83"/>
  <c r="BY173" i="83"/>
  <c r="BZ173" i="83"/>
  <c r="CA173" i="83"/>
  <c r="BV174" i="83"/>
  <c r="BW174" i="83"/>
  <c r="BX174" i="83"/>
  <c r="BY174" i="83"/>
  <c r="BZ174" i="83"/>
  <c r="CA174" i="83"/>
  <c r="BV175" i="83"/>
  <c r="BW175" i="83"/>
  <c r="BX175" i="83"/>
  <c r="BY175" i="83"/>
  <c r="BZ175" i="83"/>
  <c r="CA175" i="83"/>
  <c r="BV176" i="83"/>
  <c r="BW176" i="83"/>
  <c r="BX176" i="83"/>
  <c r="BY176" i="83"/>
  <c r="BZ176" i="83"/>
  <c r="CA176" i="83"/>
  <c r="BV177" i="83"/>
  <c r="BW177" i="83"/>
  <c r="BX177" i="83"/>
  <c r="BY177" i="83"/>
  <c r="BZ177" i="83"/>
  <c r="CA177" i="83"/>
  <c r="BV178" i="83"/>
  <c r="BW178" i="83"/>
  <c r="BX178" i="83"/>
  <c r="BY178" i="83"/>
  <c r="BZ178" i="83"/>
  <c r="CA178" i="83"/>
  <c r="BV179" i="83"/>
  <c r="BW179" i="83"/>
  <c r="BX179" i="83"/>
  <c r="BY179" i="83"/>
  <c r="BZ179" i="83"/>
  <c r="CA179" i="83"/>
  <c r="BV180" i="83"/>
  <c r="BW180" i="83"/>
  <c r="BX180" i="83"/>
  <c r="BY180" i="83"/>
  <c r="BZ180" i="83"/>
  <c r="CA180" i="83"/>
  <c r="BV181" i="83"/>
  <c r="BW181" i="83"/>
  <c r="BX181" i="83"/>
  <c r="BY181" i="83"/>
  <c r="BZ181" i="83"/>
  <c r="CA181" i="83"/>
  <c r="BV182" i="83"/>
  <c r="BW182" i="83"/>
  <c r="BX182" i="83"/>
  <c r="BY182" i="83"/>
  <c r="BZ182" i="83"/>
  <c r="CA182" i="83"/>
  <c r="BV183" i="83"/>
  <c r="BW183" i="83"/>
  <c r="BX183" i="83"/>
  <c r="BY183" i="83"/>
  <c r="BZ183" i="83"/>
  <c r="CA183" i="83"/>
  <c r="BV184" i="83"/>
  <c r="BW184" i="83"/>
  <c r="BX184" i="83"/>
  <c r="BY184" i="83"/>
  <c r="BZ184" i="83"/>
  <c r="CA184" i="83"/>
  <c r="BV185" i="83"/>
  <c r="BW185" i="83"/>
  <c r="BX185" i="83"/>
  <c r="BY185" i="83"/>
  <c r="BZ185" i="83"/>
  <c r="CA185" i="83"/>
  <c r="BV186" i="83"/>
  <c r="BW186" i="83"/>
  <c r="BX186" i="83"/>
  <c r="BY186" i="83"/>
  <c r="BZ186" i="83"/>
  <c r="CA186" i="83"/>
  <c r="BW160" i="83"/>
  <c r="BX160" i="83"/>
  <c r="BY160" i="83"/>
  <c r="BZ160" i="83"/>
  <c r="CA160" i="83"/>
  <c r="CD161" i="83"/>
  <c r="CE161" i="83"/>
  <c r="CF161" i="83"/>
  <c r="CG161" i="83"/>
  <c r="CH161" i="83"/>
  <c r="CI161" i="83"/>
  <c r="CD162" i="83"/>
  <c r="CE162" i="83"/>
  <c r="CF162" i="83"/>
  <c r="CG162" i="83"/>
  <c r="CH162" i="83"/>
  <c r="CI162" i="83"/>
  <c r="CD163" i="83"/>
  <c r="CE163" i="83"/>
  <c r="CF163" i="83"/>
  <c r="CG163" i="83"/>
  <c r="CH163" i="83"/>
  <c r="CI163" i="83"/>
  <c r="CD164" i="83"/>
  <c r="CE164" i="83"/>
  <c r="CF164" i="83"/>
  <c r="CG164" i="83"/>
  <c r="CH164" i="83"/>
  <c r="CI164" i="83"/>
  <c r="CD165" i="83"/>
  <c r="CE165" i="83"/>
  <c r="CF165" i="83"/>
  <c r="CG165" i="83"/>
  <c r="CH165" i="83"/>
  <c r="CI165" i="83"/>
  <c r="CD166" i="83"/>
  <c r="CE166" i="83"/>
  <c r="CF166" i="83"/>
  <c r="CG166" i="83"/>
  <c r="CH166" i="83"/>
  <c r="CI166" i="83"/>
  <c r="CD167" i="83"/>
  <c r="CE167" i="83"/>
  <c r="CF167" i="83"/>
  <c r="CG167" i="83"/>
  <c r="CH167" i="83"/>
  <c r="CI167" i="83"/>
  <c r="CD168" i="83"/>
  <c r="CE168" i="83"/>
  <c r="CF168" i="83"/>
  <c r="CG168" i="83"/>
  <c r="CH168" i="83"/>
  <c r="CI168" i="83"/>
  <c r="CD169" i="83"/>
  <c r="CE169" i="83"/>
  <c r="CF169" i="83"/>
  <c r="CG169" i="83"/>
  <c r="CH169" i="83"/>
  <c r="CI169" i="83"/>
  <c r="CD170" i="83"/>
  <c r="CE170" i="83"/>
  <c r="CF170" i="83"/>
  <c r="CG170" i="83"/>
  <c r="CH170" i="83"/>
  <c r="CI170" i="83"/>
  <c r="CD171" i="83"/>
  <c r="CE171" i="83"/>
  <c r="CF171" i="83"/>
  <c r="CG171" i="83"/>
  <c r="CH171" i="83"/>
  <c r="CI171" i="83"/>
  <c r="CD172" i="83"/>
  <c r="CE172" i="83"/>
  <c r="CF172" i="83"/>
  <c r="CG172" i="83"/>
  <c r="CH172" i="83"/>
  <c r="CI172" i="83"/>
  <c r="CD173" i="83"/>
  <c r="CE173" i="83"/>
  <c r="CF173" i="83"/>
  <c r="CG173" i="83"/>
  <c r="CH173" i="83"/>
  <c r="CI173" i="83"/>
  <c r="CD174" i="83"/>
  <c r="CE174" i="83"/>
  <c r="CF174" i="83"/>
  <c r="CG174" i="83"/>
  <c r="CH174" i="83"/>
  <c r="CI174" i="83"/>
  <c r="CD175" i="83"/>
  <c r="CE175" i="83"/>
  <c r="CF175" i="83"/>
  <c r="CG175" i="83"/>
  <c r="CH175" i="83"/>
  <c r="CI175" i="83"/>
  <c r="CD176" i="83"/>
  <c r="CE176" i="83"/>
  <c r="CF176" i="83"/>
  <c r="CG176" i="83"/>
  <c r="CH176" i="83"/>
  <c r="CI176" i="83"/>
  <c r="CD177" i="83"/>
  <c r="CE177" i="83"/>
  <c r="CF177" i="83"/>
  <c r="CG177" i="83"/>
  <c r="CH177" i="83"/>
  <c r="CI177" i="83"/>
  <c r="CD178" i="83"/>
  <c r="CE178" i="83"/>
  <c r="CF178" i="83"/>
  <c r="CG178" i="83"/>
  <c r="CH178" i="83"/>
  <c r="CI178" i="83"/>
  <c r="CD179" i="83"/>
  <c r="CE179" i="83"/>
  <c r="CF179" i="83"/>
  <c r="CG179" i="83"/>
  <c r="CH179" i="83"/>
  <c r="CI179" i="83"/>
  <c r="CD180" i="83"/>
  <c r="CE180" i="83"/>
  <c r="CF180" i="83"/>
  <c r="CG180" i="83"/>
  <c r="CH180" i="83"/>
  <c r="CI180" i="83"/>
  <c r="CD181" i="83"/>
  <c r="CE181" i="83"/>
  <c r="CF181" i="83"/>
  <c r="CG181" i="83"/>
  <c r="CH181" i="83"/>
  <c r="CI181" i="83"/>
  <c r="CD182" i="83"/>
  <c r="CE182" i="83"/>
  <c r="CF182" i="83"/>
  <c r="CG182" i="83"/>
  <c r="CH182" i="83"/>
  <c r="CI182" i="83"/>
  <c r="CD183" i="83"/>
  <c r="CE183" i="83"/>
  <c r="CF183" i="83"/>
  <c r="CG183" i="83"/>
  <c r="CH183" i="83"/>
  <c r="CI183" i="83"/>
  <c r="CD184" i="83"/>
  <c r="CE184" i="83"/>
  <c r="CF184" i="83"/>
  <c r="CG184" i="83"/>
  <c r="CH184" i="83"/>
  <c r="CI184" i="83"/>
  <c r="CD185" i="83"/>
  <c r="CE185" i="83"/>
  <c r="CF185" i="83"/>
  <c r="CG185" i="83"/>
  <c r="CH185" i="83"/>
  <c r="CI185" i="83"/>
  <c r="CD186" i="83"/>
  <c r="CE186" i="83"/>
  <c r="CF186" i="83"/>
  <c r="CG186" i="83"/>
  <c r="CH186" i="83"/>
  <c r="CI186" i="83"/>
  <c r="CE160" i="83"/>
  <c r="CF160" i="83"/>
  <c r="CG160" i="83"/>
  <c r="CH160" i="83"/>
  <c r="CI160" i="83"/>
  <c r="CL161" i="83"/>
  <c r="CM161" i="83"/>
  <c r="CN161" i="83"/>
  <c r="CO161" i="83"/>
  <c r="CP161" i="83"/>
  <c r="CQ161" i="83"/>
  <c r="CL162" i="83"/>
  <c r="CM162" i="83"/>
  <c r="CN162" i="83"/>
  <c r="CO162" i="83"/>
  <c r="CP162" i="83"/>
  <c r="CQ162" i="83"/>
  <c r="CL163" i="83"/>
  <c r="CM163" i="83"/>
  <c r="CN163" i="83"/>
  <c r="CO163" i="83"/>
  <c r="CP163" i="83"/>
  <c r="CQ163" i="83"/>
  <c r="CL164" i="83"/>
  <c r="CM164" i="83"/>
  <c r="CN164" i="83"/>
  <c r="CO164" i="83"/>
  <c r="CP164" i="83"/>
  <c r="CQ164" i="83"/>
  <c r="CL165" i="83"/>
  <c r="CM165" i="83"/>
  <c r="CN165" i="83"/>
  <c r="CO165" i="83"/>
  <c r="CP165" i="83"/>
  <c r="CQ165" i="83"/>
  <c r="CL166" i="83"/>
  <c r="CM166" i="83"/>
  <c r="CN166" i="83"/>
  <c r="CO166" i="83"/>
  <c r="CP166" i="83"/>
  <c r="CQ166" i="83"/>
  <c r="CL167" i="83"/>
  <c r="CM167" i="83"/>
  <c r="CN167" i="83"/>
  <c r="CO167" i="83"/>
  <c r="CP167" i="83"/>
  <c r="CQ167" i="83"/>
  <c r="CL168" i="83"/>
  <c r="CM168" i="83"/>
  <c r="CN168" i="83"/>
  <c r="CO168" i="83"/>
  <c r="CP168" i="83"/>
  <c r="CQ168" i="83"/>
  <c r="CL169" i="83"/>
  <c r="CM169" i="83"/>
  <c r="CN169" i="83"/>
  <c r="CO169" i="83"/>
  <c r="CP169" i="83"/>
  <c r="CQ169" i="83"/>
  <c r="CL170" i="83"/>
  <c r="CM170" i="83"/>
  <c r="CN170" i="83"/>
  <c r="CO170" i="83"/>
  <c r="CP170" i="83"/>
  <c r="CQ170" i="83"/>
  <c r="CL171" i="83"/>
  <c r="CM171" i="83"/>
  <c r="CN171" i="83"/>
  <c r="CO171" i="83"/>
  <c r="CP171" i="83"/>
  <c r="CQ171" i="83"/>
  <c r="CL172" i="83"/>
  <c r="CM172" i="83"/>
  <c r="CN172" i="83"/>
  <c r="CO172" i="83"/>
  <c r="CP172" i="83"/>
  <c r="CQ172" i="83"/>
  <c r="CL173" i="83"/>
  <c r="CM173" i="83"/>
  <c r="CN173" i="83"/>
  <c r="CO173" i="83"/>
  <c r="CP173" i="83"/>
  <c r="CQ173" i="83"/>
  <c r="CL174" i="83"/>
  <c r="CM174" i="83"/>
  <c r="CN174" i="83"/>
  <c r="CO174" i="83"/>
  <c r="CP174" i="83"/>
  <c r="CQ174" i="83"/>
  <c r="CL175" i="83"/>
  <c r="CM175" i="83"/>
  <c r="CN175" i="83"/>
  <c r="CO175" i="83"/>
  <c r="CP175" i="83"/>
  <c r="CQ175" i="83"/>
  <c r="CL176" i="83"/>
  <c r="CM176" i="83"/>
  <c r="CN176" i="83"/>
  <c r="CO176" i="83"/>
  <c r="CP176" i="83"/>
  <c r="CQ176" i="83"/>
  <c r="CL177" i="83"/>
  <c r="CM177" i="83"/>
  <c r="CN177" i="83"/>
  <c r="CO177" i="83"/>
  <c r="CP177" i="83"/>
  <c r="CQ177" i="83"/>
  <c r="CL178" i="83"/>
  <c r="CM178" i="83"/>
  <c r="CN178" i="83"/>
  <c r="CO178" i="83"/>
  <c r="CP178" i="83"/>
  <c r="CQ178" i="83"/>
  <c r="CL179" i="83"/>
  <c r="CM179" i="83"/>
  <c r="CN179" i="83"/>
  <c r="CO179" i="83"/>
  <c r="CP179" i="83"/>
  <c r="CQ179" i="83"/>
  <c r="CL180" i="83"/>
  <c r="CM180" i="83"/>
  <c r="CN180" i="83"/>
  <c r="CO180" i="83"/>
  <c r="CP180" i="83"/>
  <c r="CQ180" i="83"/>
  <c r="CL181" i="83"/>
  <c r="CM181" i="83"/>
  <c r="CN181" i="83"/>
  <c r="CO181" i="83"/>
  <c r="CP181" i="83"/>
  <c r="CQ181" i="83"/>
  <c r="CL182" i="83"/>
  <c r="CM182" i="83"/>
  <c r="CN182" i="83"/>
  <c r="CO182" i="83"/>
  <c r="CP182" i="83"/>
  <c r="CQ182" i="83"/>
  <c r="CL183" i="83"/>
  <c r="CM183" i="83"/>
  <c r="CN183" i="83"/>
  <c r="CO183" i="83"/>
  <c r="CP183" i="83"/>
  <c r="CQ183" i="83"/>
  <c r="CL184" i="83"/>
  <c r="CM184" i="83"/>
  <c r="CN184" i="83"/>
  <c r="CO184" i="83"/>
  <c r="CP184" i="83"/>
  <c r="CQ184" i="83"/>
  <c r="CL185" i="83"/>
  <c r="CM185" i="83"/>
  <c r="CN185" i="83"/>
  <c r="CO185" i="83"/>
  <c r="CP185" i="83"/>
  <c r="CQ185" i="83"/>
  <c r="CL186" i="83"/>
  <c r="CM186" i="83"/>
  <c r="CN186" i="83"/>
  <c r="CO186" i="83"/>
  <c r="CP186" i="83"/>
  <c r="CQ186" i="83"/>
  <c r="CM160" i="83"/>
  <c r="CN160" i="83"/>
  <c r="CO160" i="83"/>
  <c r="CP160" i="83"/>
  <c r="CQ160" i="83"/>
  <c r="CL160" i="83"/>
  <c r="CD160" i="83"/>
  <c r="BV160" i="83"/>
  <c r="BN160" i="83"/>
  <c r="BF160" i="83"/>
  <c r="AX160" i="83"/>
  <c r="AP160" i="83"/>
  <c r="AH160" i="83"/>
  <c r="Z160" i="83"/>
  <c r="R160" i="83"/>
  <c r="J160" i="83"/>
  <c r="B160" i="83"/>
  <c r="A12" i="33253" l="1"/>
  <c r="G4" i="1" l="1"/>
  <c r="A213" i="33253" l="1"/>
  <c r="A163" i="33253"/>
  <c r="A162" i="33253"/>
  <c r="A161" i="33253"/>
  <c r="A160" i="33253"/>
  <c r="A159" i="33253"/>
  <c r="A158" i="33253"/>
  <c r="A157" i="33253"/>
  <c r="A156" i="33253"/>
  <c r="A155" i="33253"/>
  <c r="A154" i="33253"/>
  <c r="A153" i="33253"/>
  <c r="A152" i="33253"/>
  <c r="A151" i="33253"/>
  <c r="A150" i="33253"/>
  <c r="A149" i="33253"/>
  <c r="A148" i="33253"/>
  <c r="A147" i="33253"/>
  <c r="A146" i="33253"/>
  <c r="A145" i="33253"/>
  <c r="A136" i="33253"/>
  <c r="A135" i="33253"/>
  <c r="A134" i="33253"/>
  <c r="A133" i="33253"/>
  <c r="A131" i="33253"/>
  <c r="A129" i="33253"/>
  <c r="A127" i="33253"/>
  <c r="A125" i="33253"/>
  <c r="D24" i="3"/>
  <c r="A107" i="33253"/>
  <c r="A106" i="33253"/>
  <c r="A105" i="33253"/>
  <c r="A104" i="33253"/>
  <c r="A103" i="33253"/>
  <c r="A102" i="33253"/>
  <c r="A101" i="33253"/>
  <c r="A100" i="33253"/>
  <c r="A99" i="33253"/>
  <c r="A98" i="33253"/>
  <c r="A97" i="33253"/>
  <c r="A96" i="33253"/>
  <c r="A95" i="33253"/>
  <c r="A94" i="33253"/>
  <c r="A93" i="33253"/>
  <c r="A92" i="33253"/>
  <c r="A91" i="33253"/>
  <c r="A85" i="33253"/>
  <c r="A87" i="33253"/>
  <c r="A89" i="33253"/>
  <c r="A83" i="33253"/>
  <c r="A81" i="33253"/>
  <c r="A79" i="33253"/>
  <c r="A75" i="33253"/>
  <c r="A73" i="33253"/>
  <c r="A71" i="33253"/>
  <c r="A69" i="33253"/>
  <c r="A67" i="33253"/>
  <c r="A66" i="33253"/>
  <c r="A65" i="33253"/>
  <c r="A64" i="33253"/>
  <c r="A63" i="33253"/>
  <c r="A61" i="33253"/>
  <c r="A59" i="33253"/>
  <c r="A57" i="33253"/>
  <c r="A55" i="33253"/>
  <c r="A53" i="33253"/>
  <c r="A51" i="33253"/>
  <c r="A49" i="33253"/>
  <c r="A47" i="33253"/>
  <c r="A45" i="33253"/>
  <c r="A43" i="33253"/>
  <c r="A41" i="33253"/>
  <c r="A39" i="33253"/>
  <c r="A33" i="33253"/>
  <c r="A31" i="33253"/>
  <c r="A29" i="33253"/>
  <c r="A27" i="33253"/>
  <c r="A25" i="33253"/>
  <c r="A23" i="33253"/>
  <c r="A21" i="33253"/>
  <c r="A19" i="33253"/>
  <c r="A5" i="33253"/>
  <c r="A17" i="33253"/>
  <c r="A7" i="33253"/>
  <c r="A15" i="33253"/>
  <c r="A14" i="33253"/>
  <c r="A11" i="33253"/>
  <c r="A10" i="33253"/>
  <c r="A9" i="33253"/>
  <c r="H3" i="1"/>
  <c r="H2" i="1"/>
  <c r="A1" i="1" s="1"/>
  <c r="H1" i="1"/>
  <c r="AK109" i="83"/>
  <c r="AK110" i="83"/>
  <c r="AK111" i="83"/>
  <c r="AK112" i="83"/>
  <c r="AK113" i="83"/>
  <c r="AK114" i="83"/>
  <c r="AK115" i="83"/>
  <c r="AK116" i="83"/>
  <c r="AK117" i="83"/>
  <c r="AK118" i="83"/>
  <c r="AK119" i="83"/>
  <c r="AK120" i="83"/>
  <c r="AK121" i="83"/>
  <c r="AK122" i="83"/>
  <c r="AK123" i="83"/>
  <c r="AK124" i="83"/>
  <c r="AK125" i="83"/>
  <c r="AK126" i="83"/>
  <c r="AK127" i="83"/>
  <c r="AK128" i="83"/>
  <c r="AK129" i="83"/>
  <c r="AK130" i="83"/>
  <c r="AK131" i="83"/>
  <c r="AK132" i="83"/>
  <c r="AK133" i="83"/>
  <c r="AK134" i="83"/>
  <c r="AK135" i="83"/>
  <c r="AK136" i="83"/>
  <c r="AK137" i="83"/>
  <c r="AK138" i="83"/>
  <c r="AK139" i="83"/>
  <c r="AK140" i="83"/>
  <c r="AK141" i="83"/>
  <c r="AK142" i="83"/>
  <c r="AK143" i="83"/>
  <c r="AK144" i="83"/>
  <c r="AK145" i="83"/>
  <c r="AK146" i="83"/>
  <c r="AK147" i="83"/>
  <c r="AK148" i="83"/>
  <c r="AK149" i="83"/>
  <c r="AK150" i="83"/>
  <c r="AK151" i="83"/>
  <c r="AK152" i="83"/>
  <c r="AK153" i="83"/>
  <c r="AK108" i="83"/>
  <c r="AA9" i="1027"/>
  <c r="AA13" i="1027"/>
  <c r="AA17" i="1027"/>
  <c r="AA21" i="1027"/>
  <c r="P24" i="1027"/>
  <c r="Q24" i="1027"/>
  <c r="W32" i="83"/>
  <c r="X32" i="83"/>
  <c r="V32" i="83"/>
  <c r="U32" i="83"/>
  <c r="X31" i="83"/>
  <c r="W31" i="83"/>
  <c r="V31" i="83"/>
  <c r="U31" i="83"/>
  <c r="X30" i="83"/>
  <c r="W30" i="83"/>
  <c r="V30" i="83"/>
  <c r="U30" i="83"/>
  <c r="X26" i="83"/>
  <c r="W26" i="83"/>
  <c r="V26" i="83"/>
  <c r="U26" i="83"/>
  <c r="W27" i="83"/>
  <c r="X27" i="83"/>
  <c r="X28" i="83"/>
  <c r="W28" i="83"/>
  <c r="X29" i="83"/>
  <c r="W29" i="83"/>
  <c r="V29" i="83"/>
  <c r="U29" i="83"/>
  <c r="U28" i="83"/>
  <c r="V28" i="83"/>
  <c r="V27" i="83"/>
  <c r="U27" i="83"/>
  <c r="T24" i="83"/>
  <c r="G91" i="3"/>
  <c r="H91" i="3"/>
  <c r="I91" i="3"/>
  <c r="F91" i="3"/>
  <c r="U37" i="83"/>
  <c r="X37" i="83"/>
  <c r="W37" i="83"/>
  <c r="V37" i="83"/>
  <c r="X42" i="83"/>
  <c r="X41" i="83"/>
  <c r="X38" i="83"/>
  <c r="U42" i="83"/>
  <c r="U41" i="83"/>
  <c r="U39" i="83"/>
  <c r="U38" i="83"/>
  <c r="W42" i="83"/>
  <c r="W41" i="83"/>
  <c r="W38" i="83"/>
  <c r="V42" i="83"/>
  <c r="V41" i="83"/>
  <c r="V39" i="83"/>
  <c r="V38" i="83"/>
  <c r="D529" i="1" l="1"/>
  <c r="D528" i="1"/>
  <c r="D527" i="1"/>
  <c r="D525" i="1"/>
  <c r="W154" i="83" s="1"/>
  <c r="T152" i="83" s="1"/>
  <c r="M49" i="33258" s="1"/>
  <c r="D526" i="1"/>
  <c r="W155" i="83" s="1"/>
  <c r="T153" i="83" s="1"/>
  <c r="M50" i="33258" s="1"/>
  <c r="D522" i="1"/>
  <c r="B26" i="33254" s="1"/>
  <c r="D523" i="1"/>
  <c r="V154" i="83" s="1"/>
  <c r="D524" i="1"/>
  <c r="V155" i="83" s="1"/>
  <c r="A8" i="33253"/>
  <c r="D521" i="1"/>
  <c r="B21" i="33254" s="1"/>
  <c r="D505" i="1"/>
  <c r="A22" i="33258" s="1"/>
  <c r="D507" i="1"/>
  <c r="A24" i="33258" s="1"/>
  <c r="D509" i="1"/>
  <c r="A26" i="33258" s="1"/>
  <c r="D511" i="1"/>
  <c r="A28" i="33258" s="1"/>
  <c r="D513" i="1"/>
  <c r="A30" i="33258" s="1"/>
  <c r="D515" i="1"/>
  <c r="A32" i="33258" s="1"/>
  <c r="D517" i="1"/>
  <c r="A34" i="33258" s="1"/>
  <c r="D519" i="1"/>
  <c r="A36" i="33258" s="1"/>
  <c r="D504" i="1"/>
  <c r="A21" i="33258" s="1"/>
  <c r="D506" i="1"/>
  <c r="A23" i="33258" s="1"/>
  <c r="D508" i="1"/>
  <c r="A25" i="33258" s="1"/>
  <c r="D510" i="1"/>
  <c r="A27" i="33258" s="1"/>
  <c r="D512" i="1"/>
  <c r="A29" i="33258" s="1"/>
  <c r="D514" i="1"/>
  <c r="A31" i="33258" s="1"/>
  <c r="D516" i="1"/>
  <c r="A33" i="33258" s="1"/>
  <c r="D518" i="1"/>
  <c r="A35" i="33258" s="1"/>
  <c r="D520" i="1"/>
  <c r="A37" i="33258" s="1"/>
  <c r="D503" i="1"/>
  <c r="A20" i="33258" s="1"/>
  <c r="D241" i="1"/>
  <c r="V148" i="83" s="1"/>
  <c r="D249" i="1"/>
  <c r="AD122" i="83" s="1"/>
  <c r="AD123" i="83" s="1"/>
  <c r="D190" i="1"/>
  <c r="W142" i="83" s="1"/>
  <c r="T154" i="83" s="1"/>
  <c r="D160" i="1"/>
  <c r="W112" i="83" s="1"/>
  <c r="T112" i="83" s="1"/>
  <c r="D242" i="1"/>
  <c r="V149" i="83" s="1"/>
  <c r="D250" i="1"/>
  <c r="AD138" i="83" s="1"/>
  <c r="AD140" i="83" s="1"/>
  <c r="D191" i="1"/>
  <c r="W143" i="83" s="1"/>
  <c r="T155" i="83" s="1"/>
  <c r="D161" i="1"/>
  <c r="W113" i="83" s="1"/>
  <c r="T113" i="83" s="1"/>
  <c r="D243" i="1"/>
  <c r="V150" i="83" s="1"/>
  <c r="D251" i="1"/>
  <c r="D192" i="1"/>
  <c r="W144" i="83" s="1"/>
  <c r="T141" i="83" s="1"/>
  <c r="D244" i="1"/>
  <c r="V151" i="83" s="1"/>
  <c r="D193" i="1"/>
  <c r="W145" i="83" s="1"/>
  <c r="T142" i="83" s="1"/>
  <c r="D239" i="1"/>
  <c r="V146" i="83" s="1"/>
  <c r="D188" i="1"/>
  <c r="W140" i="83" s="1"/>
  <c r="T149" i="83" s="1"/>
  <c r="D237" i="1"/>
  <c r="V144" i="83" s="1"/>
  <c r="D245" i="1"/>
  <c r="V152" i="83" s="1"/>
  <c r="D220" i="1"/>
  <c r="V127" i="83" s="1"/>
  <c r="D194" i="1"/>
  <c r="W146" i="83" s="1"/>
  <c r="T143" i="83" s="1"/>
  <c r="D238" i="1"/>
  <c r="V145" i="83" s="1"/>
  <c r="D246" i="1"/>
  <c r="V153" i="83" s="1"/>
  <c r="D187" i="1"/>
  <c r="W139" i="83" s="1"/>
  <c r="T148" i="83" s="1"/>
  <c r="D157" i="1"/>
  <c r="W109" i="83" s="1"/>
  <c r="T109" i="83" s="1"/>
  <c r="D240" i="1"/>
  <c r="V147" i="83" s="1"/>
  <c r="D248" i="1"/>
  <c r="D189" i="1"/>
  <c r="D159" i="1"/>
  <c r="W111" i="83" s="1"/>
  <c r="T111" i="83" s="1"/>
  <c r="D247" i="1"/>
  <c r="D158" i="1"/>
  <c r="W110" i="83" s="1"/>
  <c r="T110" i="83" s="1"/>
  <c r="D22" i="1"/>
  <c r="Y50" i="83" s="1"/>
  <c r="AA45" i="83" s="1"/>
  <c r="D313" i="1"/>
  <c r="D21" i="1"/>
  <c r="Y49" i="83" s="1"/>
  <c r="D377" i="1"/>
  <c r="B46" i="33254" s="1"/>
  <c r="D28" i="1"/>
  <c r="D18" i="1"/>
  <c r="D441" i="1"/>
  <c r="M51" i="33257" s="1"/>
  <c r="D27" i="1"/>
  <c r="N11" i="33255" s="1"/>
  <c r="D17" i="1"/>
  <c r="D26" i="1"/>
  <c r="K26" i="33257" s="1"/>
  <c r="D16" i="1"/>
  <c r="D184" i="1"/>
  <c r="W136" i="83" s="1"/>
  <c r="T139" i="83" s="1"/>
  <c r="D25" i="1"/>
  <c r="O53" i="33254" s="1"/>
  <c r="D15" i="1"/>
  <c r="D89" i="1"/>
  <c r="BC44" i="83" s="1"/>
  <c r="D176" i="1"/>
  <c r="W128" i="83" s="1"/>
  <c r="T131" i="83" s="1"/>
  <c r="D24" i="1"/>
  <c r="R12" i="33254" s="1"/>
  <c r="Q13" i="33254" s="1"/>
  <c r="D153" i="1"/>
  <c r="D168" i="1"/>
  <c r="W120" i="83" s="1"/>
  <c r="T123" i="83" s="1"/>
  <c r="D23" i="1"/>
  <c r="Q12" i="33254" s="1"/>
  <c r="D9" i="1"/>
  <c r="D73" i="1"/>
  <c r="AF41" i="83" s="1"/>
  <c r="D137" i="1"/>
  <c r="A117" i="83" s="1"/>
  <c r="D233" i="1"/>
  <c r="V140" i="83" s="1"/>
  <c r="D297" i="1"/>
  <c r="D361" i="1"/>
  <c r="B44" i="1027" s="1"/>
  <c r="D425" i="1"/>
  <c r="B18" i="33257" s="1"/>
  <c r="D186" i="1"/>
  <c r="W138" i="83" s="1"/>
  <c r="T147" i="83" s="1"/>
  <c r="D178" i="1"/>
  <c r="W130" i="83" s="1"/>
  <c r="T133" i="83" s="1"/>
  <c r="D170" i="1"/>
  <c r="W122" i="83" s="1"/>
  <c r="T125" i="83" s="1"/>
  <c r="D81" i="1"/>
  <c r="J117" i="83" s="1"/>
  <c r="D145" i="1"/>
  <c r="A125" i="83" s="1"/>
  <c r="D305" i="1"/>
  <c r="D369" i="1"/>
  <c r="B36" i="33254" s="1"/>
  <c r="W89" i="83" s="1"/>
  <c r="D433" i="1"/>
  <c r="B38" i="33257" s="1"/>
  <c r="D185" i="1"/>
  <c r="W137" i="83" s="1"/>
  <c r="T140" i="83" s="1"/>
  <c r="D177" i="1"/>
  <c r="W129" i="83" s="1"/>
  <c r="T132" i="83" s="1"/>
  <c r="D169" i="1"/>
  <c r="W121" i="83" s="1"/>
  <c r="T124" i="83" s="1"/>
  <c r="D33" i="1"/>
  <c r="D97" i="1"/>
  <c r="O39" i="83" s="1"/>
  <c r="T28" i="83" s="1"/>
  <c r="D257" i="1"/>
  <c r="H6" i="1027" s="1"/>
  <c r="D321" i="1"/>
  <c r="B8" i="33255" s="1"/>
  <c r="D385" i="1"/>
  <c r="D62" i="33254" s="1"/>
  <c r="D449" i="1"/>
  <c r="M62" i="33257" s="1"/>
  <c r="D183" i="1"/>
  <c r="W135" i="83" s="1"/>
  <c r="T138" i="83" s="1"/>
  <c r="D175" i="1"/>
  <c r="W127" i="83" s="1"/>
  <c r="T130" i="83" s="1"/>
  <c r="D167" i="1"/>
  <c r="W119" i="83" s="1"/>
  <c r="T122" i="83" s="1"/>
  <c r="D41" i="1"/>
  <c r="D105" i="1"/>
  <c r="N58" i="83" s="1"/>
  <c r="L58" i="83" s="1"/>
  <c r="D201" i="1"/>
  <c r="W153" i="83" s="1"/>
  <c r="T118" i="83" s="1"/>
  <c r="D265" i="1"/>
  <c r="J7" i="1027" s="1"/>
  <c r="G46" i="1027" s="1"/>
  <c r="D329" i="1"/>
  <c r="B18" i="33255" s="1"/>
  <c r="D393" i="1"/>
  <c r="D457" i="1"/>
  <c r="H58" i="33254" s="1"/>
  <c r="D182" i="1"/>
  <c r="W134" i="83" s="1"/>
  <c r="T137" i="83" s="1"/>
  <c r="D174" i="1"/>
  <c r="W126" i="83" s="1"/>
  <c r="T129" i="83" s="1"/>
  <c r="D166" i="1"/>
  <c r="W118" i="83" s="1"/>
  <c r="T119" i="83" s="1"/>
  <c r="D49" i="1"/>
  <c r="D113" i="1"/>
  <c r="D209" i="1"/>
  <c r="V116" i="83" s="1"/>
  <c r="D273" i="1"/>
  <c r="D337" i="1"/>
  <c r="B26" i="33255" s="1"/>
  <c r="D401" i="1"/>
  <c r="D489" i="1"/>
  <c r="A1" i="33258" s="1"/>
  <c r="D181" i="1"/>
  <c r="W133" i="83" s="1"/>
  <c r="T136" i="83" s="1"/>
  <c r="D173" i="1"/>
  <c r="W125" i="83" s="1"/>
  <c r="T128" i="83" s="1"/>
  <c r="D165" i="1"/>
  <c r="W117" i="83" s="1"/>
  <c r="T117" i="83" s="1"/>
  <c r="D57" i="1"/>
  <c r="D121" i="1"/>
  <c r="A101" i="83" s="1"/>
  <c r="D217" i="1"/>
  <c r="V124" i="83" s="1"/>
  <c r="D281" i="1"/>
  <c r="B46" i="1027" s="1"/>
  <c r="D345" i="1"/>
  <c r="B42" i="33255" s="1"/>
  <c r="D409" i="1"/>
  <c r="B50" i="33254" s="1"/>
  <c r="D196" i="1"/>
  <c r="W148" i="83" s="1"/>
  <c r="T145" i="83" s="1"/>
  <c r="D180" i="1"/>
  <c r="W132" i="83" s="1"/>
  <c r="T135" i="83" s="1"/>
  <c r="D172" i="1"/>
  <c r="W124" i="83" s="1"/>
  <c r="T127" i="83" s="1"/>
  <c r="D164" i="1"/>
  <c r="W116" i="83" s="1"/>
  <c r="T116" i="83" s="1"/>
  <c r="D65" i="1"/>
  <c r="D129" i="1"/>
  <c r="A109" i="83" s="1"/>
  <c r="D225" i="1"/>
  <c r="V132" i="83" s="1"/>
  <c r="D289" i="1"/>
  <c r="B52" i="1027" s="1"/>
  <c r="D353" i="1"/>
  <c r="P14" i="33255" s="1"/>
  <c r="D417" i="1"/>
  <c r="D195" i="1"/>
  <c r="W147" i="83" s="1"/>
  <c r="T144" i="83" s="1"/>
  <c r="D179" i="1"/>
  <c r="W131" i="83" s="1"/>
  <c r="T134" i="83" s="1"/>
  <c r="D171" i="1"/>
  <c r="W123" i="83" s="1"/>
  <c r="T126" i="83" s="1"/>
  <c r="D163" i="1"/>
  <c r="D30" i="1"/>
  <c r="D8" i="1"/>
  <c r="D32" i="1"/>
  <c r="D40" i="1"/>
  <c r="D48" i="1"/>
  <c r="D56" i="1"/>
  <c r="B43" i="3" s="1"/>
  <c r="D64" i="1"/>
  <c r="D72" i="1"/>
  <c r="AF40" i="83" s="1"/>
  <c r="D80" i="1"/>
  <c r="J116" i="83" s="1"/>
  <c r="D88" i="1"/>
  <c r="BC43" i="83" s="1"/>
  <c r="D96" i="1"/>
  <c r="O38" i="83" s="1"/>
  <c r="T27" i="83" s="1"/>
  <c r="D104" i="1"/>
  <c r="N57" i="83" s="1"/>
  <c r="L57" i="83" s="1"/>
  <c r="D112" i="1"/>
  <c r="D120" i="1"/>
  <c r="A100" i="83" s="1"/>
  <c r="D128" i="1"/>
  <c r="A108" i="83" s="1"/>
  <c r="D136" i="1"/>
  <c r="A116" i="83" s="1"/>
  <c r="D144" i="1"/>
  <c r="A124" i="83" s="1"/>
  <c r="D152" i="1"/>
  <c r="D200" i="1"/>
  <c r="W152" i="83" s="1"/>
  <c r="T120" i="83" s="1"/>
  <c r="D208" i="1"/>
  <c r="V115" i="83" s="1"/>
  <c r="D216" i="1"/>
  <c r="V123" i="83" s="1"/>
  <c r="D224" i="1"/>
  <c r="V131" i="83" s="1"/>
  <c r="D232" i="1"/>
  <c r="V139" i="83" s="1"/>
  <c r="D256" i="1"/>
  <c r="B6" i="1027" s="1"/>
  <c r="D264" i="1"/>
  <c r="I7" i="1027" s="1"/>
  <c r="G54" i="33254" s="1"/>
  <c r="I54" i="33254" s="1"/>
  <c r="K50" i="33254" s="1"/>
  <c r="D272" i="1"/>
  <c r="L29" i="1027" s="1"/>
  <c r="D280" i="1"/>
  <c r="B45" i="1027" s="1"/>
  <c r="D288" i="1"/>
  <c r="L45" i="1027" s="1"/>
  <c r="D296" i="1"/>
  <c r="D304" i="1"/>
  <c r="C64" i="1027" s="1"/>
  <c r="D312" i="1"/>
  <c r="D320" i="1"/>
  <c r="B2" i="33255" s="1"/>
  <c r="B41" i="33257" s="1"/>
  <c r="D328" i="1"/>
  <c r="B17" i="33255" s="1"/>
  <c r="D336" i="1"/>
  <c r="B25" i="33255" s="1"/>
  <c r="D344" i="1"/>
  <c r="C35" i="33255" s="1"/>
  <c r="D352" i="1"/>
  <c r="P13" i="33255" s="1"/>
  <c r="D360" i="1"/>
  <c r="D368" i="1"/>
  <c r="B35" i="33254" s="1"/>
  <c r="W88" i="83" s="1"/>
  <c r="D376" i="1"/>
  <c r="G3" i="33257" s="1"/>
  <c r="D384" i="1"/>
  <c r="B62" i="33254" s="1"/>
  <c r="D392" i="1"/>
  <c r="AF8" i="83" s="1"/>
  <c r="D400" i="1"/>
  <c r="D408" i="1"/>
  <c r="D416" i="1"/>
  <c r="D424" i="1"/>
  <c r="B14" i="33257" s="1"/>
  <c r="D432" i="1"/>
  <c r="B37" i="33257" s="1"/>
  <c r="D440" i="1"/>
  <c r="M49" i="33257" s="1"/>
  <c r="P47" i="33257" s="1"/>
  <c r="D448" i="1"/>
  <c r="D456" i="1"/>
  <c r="G58" i="33254" s="1"/>
  <c r="D464" i="1"/>
  <c r="B42" i="33257" s="1"/>
  <c r="D472" i="1"/>
  <c r="M65" i="33257" s="1"/>
  <c r="E45" i="33257" s="1"/>
  <c r="D480" i="1"/>
  <c r="D488" i="1"/>
  <c r="K61" i="33257" s="1"/>
  <c r="D496" i="1"/>
  <c r="A11" i="33258" s="1"/>
  <c r="D465" i="1"/>
  <c r="D473" i="1"/>
  <c r="M56" i="33257" s="1"/>
  <c r="D481" i="1"/>
  <c r="D497" i="1"/>
  <c r="A12" i="33258" s="1"/>
  <c r="D10" i="1"/>
  <c r="G21" i="33257" s="1"/>
  <c r="D34" i="1"/>
  <c r="D42" i="1"/>
  <c r="D50" i="1"/>
  <c r="D66" i="1"/>
  <c r="D74" i="1"/>
  <c r="D82" i="1"/>
  <c r="BC37" i="83" s="1"/>
  <c r="D90" i="1"/>
  <c r="BC45" i="83" s="1"/>
  <c r="BD45" i="83" s="1"/>
  <c r="BE45" i="83" s="1"/>
  <c r="D98" i="1"/>
  <c r="O40" i="83" s="1"/>
  <c r="T29" i="83" s="1"/>
  <c r="D106" i="1"/>
  <c r="N59" i="83" s="1"/>
  <c r="L59" i="83" s="1"/>
  <c r="D114" i="1"/>
  <c r="D122" i="1"/>
  <c r="A102" i="83" s="1"/>
  <c r="D130" i="1"/>
  <c r="A110" i="83" s="1"/>
  <c r="D138" i="1"/>
  <c r="A118" i="83" s="1"/>
  <c r="D146" i="1"/>
  <c r="D154" i="1"/>
  <c r="D162" i="1"/>
  <c r="W114" i="83" s="1"/>
  <c r="T114" i="83" s="1"/>
  <c r="D202" i="1"/>
  <c r="D210" i="1"/>
  <c r="V117" i="83" s="1"/>
  <c r="D218" i="1"/>
  <c r="V125" i="83" s="1"/>
  <c r="D226" i="1"/>
  <c r="V133" i="83" s="1"/>
  <c r="D234" i="1"/>
  <c r="D258" i="1"/>
  <c r="J6" i="1027" s="1"/>
  <c r="D266" i="1"/>
  <c r="L7" i="1027" s="1"/>
  <c r="H46" i="1027" s="1"/>
  <c r="D274" i="1"/>
  <c r="D282" i="1"/>
  <c r="E46" i="1027" s="1"/>
  <c r="D290" i="1"/>
  <c r="D298" i="1"/>
  <c r="D306" i="1"/>
  <c r="D314" i="1"/>
  <c r="D322" i="1"/>
  <c r="B10" i="33255" s="1"/>
  <c r="D330" i="1"/>
  <c r="D338" i="1"/>
  <c r="B30" i="33255" s="1"/>
  <c r="D346" i="1"/>
  <c r="B45" i="33255" s="1"/>
  <c r="D354" i="1"/>
  <c r="D362" i="1"/>
  <c r="B19" i="33254" s="1"/>
  <c r="D370" i="1"/>
  <c r="B37" i="33254" s="1"/>
  <c r="W90" i="83" s="1"/>
  <c r="D378" i="1"/>
  <c r="B47" i="33254" s="1"/>
  <c r="D386" i="1"/>
  <c r="D394" i="1"/>
  <c r="AF10" i="83" s="1"/>
  <c r="D402" i="1"/>
  <c r="D410" i="1"/>
  <c r="B25" i="33254" s="1"/>
  <c r="D418" i="1"/>
  <c r="B20" i="33257" s="1"/>
  <c r="D426" i="1"/>
  <c r="D18" i="33257" s="1"/>
  <c r="D434" i="1"/>
  <c r="B39" i="33257" s="1"/>
  <c r="D442" i="1"/>
  <c r="M52" i="33257" s="1"/>
  <c r="M60" i="33257" s="1"/>
  <c r="D450" i="1"/>
  <c r="M61" i="33257" s="1"/>
  <c r="D458" i="1"/>
  <c r="D466" i="1"/>
  <c r="V141" i="83" s="1"/>
  <c r="D474" i="1"/>
  <c r="D482" i="1"/>
  <c r="D490" i="1"/>
  <c r="C3" i="33258" s="1"/>
  <c r="D498" i="1"/>
  <c r="A14" i="33258" s="1"/>
  <c r="D11" i="1"/>
  <c r="D19" i="1"/>
  <c r="Y47" i="83" s="1"/>
  <c r="D35" i="1"/>
  <c r="D43" i="1"/>
  <c r="D51" i="1"/>
  <c r="D59" i="1"/>
  <c r="D67" i="1"/>
  <c r="D75" i="1"/>
  <c r="D83" i="1"/>
  <c r="BC38" i="83" s="1"/>
  <c r="D91" i="1"/>
  <c r="BC46" i="83" s="1"/>
  <c r="BD46" i="83" s="1"/>
  <c r="BE46" i="83" s="1"/>
  <c r="D99" i="1"/>
  <c r="O41" i="83" s="1"/>
  <c r="T30" i="83" s="1"/>
  <c r="D107" i="1"/>
  <c r="D115" i="1"/>
  <c r="D123" i="1"/>
  <c r="A103" i="83" s="1"/>
  <c r="D131" i="1"/>
  <c r="D139" i="1"/>
  <c r="A119" i="83" s="1"/>
  <c r="D147" i="1"/>
  <c r="D155" i="1"/>
  <c r="D203" i="1"/>
  <c r="D211" i="1"/>
  <c r="V118" i="83" s="1"/>
  <c r="D219" i="1"/>
  <c r="V126" i="83" s="1"/>
  <c r="D227" i="1"/>
  <c r="V134" i="83" s="1"/>
  <c r="D235" i="1"/>
  <c r="V142" i="83" s="1"/>
  <c r="D259" i="1"/>
  <c r="B7" i="1027" s="1"/>
  <c r="D267" i="1"/>
  <c r="B23" i="1027" s="1"/>
  <c r="D275" i="1"/>
  <c r="B35" i="1027" s="1"/>
  <c r="D283" i="1"/>
  <c r="F45" i="1027" s="1"/>
  <c r="D291" i="1"/>
  <c r="D299" i="1"/>
  <c r="D307" i="1"/>
  <c r="B60" i="1027" s="1"/>
  <c r="D315" i="1"/>
  <c r="D323" i="1"/>
  <c r="B11" i="33255" s="1"/>
  <c r="D331" i="1"/>
  <c r="B20" i="33255" s="1"/>
  <c r="D339" i="1"/>
  <c r="D347" i="1"/>
  <c r="B47" i="33255" s="1"/>
  <c r="D355" i="1"/>
  <c r="D363" i="1"/>
  <c r="B20" i="33254" s="1"/>
  <c r="D371" i="1"/>
  <c r="B38" i="33254" s="1"/>
  <c r="W91" i="83" s="1"/>
  <c r="D379" i="1"/>
  <c r="D387" i="1"/>
  <c r="D395" i="1"/>
  <c r="D403" i="1"/>
  <c r="BA12" i="83" s="1"/>
  <c r="D411" i="1"/>
  <c r="D419" i="1"/>
  <c r="B9" i="33257" s="1"/>
  <c r="D427" i="1"/>
  <c r="H18" i="33257" s="1"/>
  <c r="D435" i="1"/>
  <c r="B44" i="33257" s="1"/>
  <c r="D443" i="1"/>
  <c r="M46" i="33257" s="1"/>
  <c r="P44" i="33257" s="1"/>
  <c r="D451" i="1"/>
  <c r="D459" i="1"/>
  <c r="D467" i="1"/>
  <c r="B17" i="33254" s="1"/>
  <c r="D475" i="1"/>
  <c r="G56" i="33254" s="1"/>
  <c r="D483" i="1"/>
  <c r="D491" i="1"/>
  <c r="A4" i="33258" s="1"/>
  <c r="D499" i="1"/>
  <c r="A16" i="33258" s="1"/>
  <c r="D4" i="1"/>
  <c r="D12" i="1"/>
  <c r="D20" i="1"/>
  <c r="Y48" i="83" s="1"/>
  <c r="D36" i="1"/>
  <c r="D44" i="1"/>
  <c r="D52" i="1"/>
  <c r="D60" i="1"/>
  <c r="D68" i="1"/>
  <c r="D76" i="1"/>
  <c r="D84" i="1"/>
  <c r="BC39" i="83" s="1"/>
  <c r="D92" i="1"/>
  <c r="BC47" i="83" s="1"/>
  <c r="D100" i="1"/>
  <c r="O42" i="83" s="1"/>
  <c r="T31" i="83" s="1"/>
  <c r="D108" i="1"/>
  <c r="D116" i="1"/>
  <c r="D124" i="1"/>
  <c r="A104" i="83" s="1"/>
  <c r="D132" i="1"/>
  <c r="A112" i="83" s="1"/>
  <c r="D140" i="1"/>
  <c r="A120" i="83" s="1"/>
  <c r="D148" i="1"/>
  <c r="D156" i="1"/>
  <c r="D204" i="1"/>
  <c r="V111" i="83" s="1"/>
  <c r="D212" i="1"/>
  <c r="V119" i="83" s="1"/>
  <c r="D228" i="1"/>
  <c r="V135" i="83" s="1"/>
  <c r="D236" i="1"/>
  <c r="V143" i="83" s="1"/>
  <c r="D252" i="1"/>
  <c r="AE138" i="83" s="1"/>
  <c r="D260" i="1"/>
  <c r="B11" i="1027" s="1"/>
  <c r="D268" i="1"/>
  <c r="B25" i="1027" s="1"/>
  <c r="D276" i="1"/>
  <c r="B39" i="1027" s="1"/>
  <c r="D284" i="1"/>
  <c r="G45" i="1027" s="1"/>
  <c r="D292" i="1"/>
  <c r="B54" i="1027" s="1"/>
  <c r="D300" i="1"/>
  <c r="B51" i="1027" s="1"/>
  <c r="D308" i="1"/>
  <c r="AF42" i="83" s="1"/>
  <c r="D316" i="1"/>
  <c r="D324" i="1"/>
  <c r="B12" i="33255" s="1"/>
  <c r="D332" i="1"/>
  <c r="B21" i="33255" s="1"/>
  <c r="D340" i="1"/>
  <c r="D348" i="1"/>
  <c r="B48" i="33255" s="1"/>
  <c r="D356" i="1"/>
  <c r="D364" i="1"/>
  <c r="B30" i="33254" s="1"/>
  <c r="D372" i="1"/>
  <c r="B39" i="33254" s="1"/>
  <c r="W92" i="83" s="1"/>
  <c r="D380" i="1"/>
  <c r="D388" i="1"/>
  <c r="D396" i="1"/>
  <c r="AF12" i="83" s="1"/>
  <c r="D404" i="1"/>
  <c r="D412" i="1"/>
  <c r="B44" i="33254" s="1"/>
  <c r="D420" i="1"/>
  <c r="B10" i="33257" s="1"/>
  <c r="D428" i="1"/>
  <c r="B28" i="33257" s="1"/>
  <c r="D436" i="1"/>
  <c r="M43" i="33257" s="1"/>
  <c r="P41" i="33257" s="1"/>
  <c r="D444" i="1"/>
  <c r="M53" i="33257" s="1"/>
  <c r="D452" i="1"/>
  <c r="B57" i="33254" s="1"/>
  <c r="B40" i="33257" s="1"/>
  <c r="D460" i="1"/>
  <c r="D468" i="1"/>
  <c r="B18" i="33254" s="1"/>
  <c r="D476" i="1"/>
  <c r="I56" i="33254" s="1"/>
  <c r="D484" i="1"/>
  <c r="D492" i="1"/>
  <c r="A5" i="33258" s="1"/>
  <c r="D500" i="1"/>
  <c r="A17" i="33258" s="1"/>
  <c r="D5" i="1"/>
  <c r="D13" i="1"/>
  <c r="D29" i="1"/>
  <c r="D37" i="1"/>
  <c r="D45" i="1"/>
  <c r="D53" i="1"/>
  <c r="D61" i="1"/>
  <c r="D69" i="1"/>
  <c r="D77" i="1"/>
  <c r="D85" i="1"/>
  <c r="BC40" i="83" s="1"/>
  <c r="D93" i="1"/>
  <c r="BC48" i="83" s="1"/>
  <c r="D101" i="1"/>
  <c r="O43" i="83" s="1"/>
  <c r="T32" i="83" s="1"/>
  <c r="D109" i="1"/>
  <c r="D117" i="1"/>
  <c r="D125" i="1"/>
  <c r="A105" i="83" s="1"/>
  <c r="D133" i="1"/>
  <c r="A113" i="83" s="1"/>
  <c r="D141" i="1"/>
  <c r="A121" i="83" s="1"/>
  <c r="D149" i="1"/>
  <c r="D197" i="1"/>
  <c r="W149" i="83" s="1"/>
  <c r="T146" i="83" s="1"/>
  <c r="D205" i="1"/>
  <c r="V112" i="83" s="1"/>
  <c r="D213" i="1"/>
  <c r="V120" i="83" s="1"/>
  <c r="D221" i="1"/>
  <c r="V128" i="83" s="1"/>
  <c r="D229" i="1"/>
  <c r="V136" i="83" s="1"/>
  <c r="D253" i="1"/>
  <c r="D261" i="1"/>
  <c r="B15" i="1027" s="1"/>
  <c r="D269" i="1"/>
  <c r="B27" i="1027" s="1"/>
  <c r="D277" i="1"/>
  <c r="D285" i="1"/>
  <c r="I45" i="1027" s="1"/>
  <c r="D293" i="1"/>
  <c r="B56" i="1027" s="1"/>
  <c r="D301" i="1"/>
  <c r="B61" i="1027" s="1"/>
  <c r="D309" i="1"/>
  <c r="D317" i="1"/>
  <c r="D325" i="1"/>
  <c r="B13" i="33255" s="1"/>
  <c r="D333" i="1"/>
  <c r="B22" i="33255" s="1"/>
  <c r="D341" i="1"/>
  <c r="B32" i="33255" s="1"/>
  <c r="D349" i="1"/>
  <c r="B52" i="33255" s="1"/>
  <c r="D357" i="1"/>
  <c r="B23" i="3" s="1"/>
  <c r="D365" i="1"/>
  <c r="B32" i="33254" s="1"/>
  <c r="D373" i="1"/>
  <c r="B40" i="33254" s="1"/>
  <c r="W93" i="83" s="1"/>
  <c r="D381" i="1"/>
  <c r="D389" i="1"/>
  <c r="AF6" i="83" s="1"/>
  <c r="D397" i="1"/>
  <c r="D405" i="1"/>
  <c r="D413" i="1"/>
  <c r="G53" i="33254" s="1"/>
  <c r="D421" i="1"/>
  <c r="B11" i="33257" s="1"/>
  <c r="D429" i="1"/>
  <c r="B35" i="33257" s="1"/>
  <c r="D437" i="1"/>
  <c r="M44" i="33257" s="1"/>
  <c r="P42" i="33257" s="1"/>
  <c r="D445" i="1"/>
  <c r="M54" i="33257" s="1"/>
  <c r="D453" i="1"/>
  <c r="D461" i="1"/>
  <c r="D469" i="1"/>
  <c r="D477" i="1"/>
  <c r="M67" i="33257" s="1"/>
  <c r="B45" i="33257" s="1"/>
  <c r="D485" i="1"/>
  <c r="D493" i="1"/>
  <c r="A8" i="33258" s="1"/>
  <c r="D501" i="1"/>
  <c r="A18" i="33258" s="1"/>
  <c r="D6" i="1"/>
  <c r="G2" i="3" s="1"/>
  <c r="H2" i="1027" s="1"/>
  <c r="D14" i="1"/>
  <c r="D38" i="1"/>
  <c r="D46" i="1"/>
  <c r="D54" i="1"/>
  <c r="D62" i="1"/>
  <c r="D70" i="1"/>
  <c r="D78" i="1"/>
  <c r="J114" i="83" s="1"/>
  <c r="D86" i="1"/>
  <c r="BC41" i="83" s="1"/>
  <c r="D94" i="1"/>
  <c r="O36" i="83" s="1"/>
  <c r="D102" i="1"/>
  <c r="N55" i="83" s="1"/>
  <c r="D110" i="1"/>
  <c r="D118" i="1"/>
  <c r="A98" i="83" s="1"/>
  <c r="D126" i="1"/>
  <c r="A106" i="83" s="1"/>
  <c r="D134" i="1"/>
  <c r="A114" i="83" s="1"/>
  <c r="D142" i="1"/>
  <c r="A122" i="83" s="1"/>
  <c r="D150" i="1"/>
  <c r="D198" i="1"/>
  <c r="W150" i="83" s="1"/>
  <c r="T150" i="83" s="1"/>
  <c r="D206" i="1"/>
  <c r="V113" i="83" s="1"/>
  <c r="D214" i="1"/>
  <c r="V121" i="83" s="1"/>
  <c r="D222" i="1"/>
  <c r="V129" i="83" s="1"/>
  <c r="D230" i="1"/>
  <c r="V137" i="83" s="1"/>
  <c r="D254" i="1"/>
  <c r="AB47" i="83" s="1"/>
  <c r="D262" i="1"/>
  <c r="B19" i="1027" s="1"/>
  <c r="D270" i="1"/>
  <c r="I27" i="1027" s="1"/>
  <c r="D278" i="1"/>
  <c r="D286" i="1"/>
  <c r="I46" i="1027" s="1"/>
  <c r="D294" i="1"/>
  <c r="F29" i="33257" s="1"/>
  <c r="D302" i="1"/>
  <c r="I61" i="1027" s="1"/>
  <c r="D310" i="1"/>
  <c r="D318" i="1"/>
  <c r="G2" i="33257" s="1"/>
  <c r="D326" i="1"/>
  <c r="B14" i="33255" s="1"/>
  <c r="D334" i="1"/>
  <c r="B23" i="33255" s="1"/>
  <c r="D342" i="1"/>
  <c r="B33" i="33255" s="1"/>
  <c r="D350" i="1"/>
  <c r="P11" i="33255" s="1"/>
  <c r="D358" i="1"/>
  <c r="D366" i="1"/>
  <c r="B33" i="33254" s="1"/>
  <c r="W86" i="83" s="1"/>
  <c r="D374" i="1"/>
  <c r="B43" i="33254" s="1"/>
  <c r="D382" i="1"/>
  <c r="B55" i="33254" s="1"/>
  <c r="D390" i="1"/>
  <c r="AF7" i="83" s="1"/>
  <c r="D398" i="1"/>
  <c r="D406" i="1"/>
  <c r="D414" i="1"/>
  <c r="B56" i="33254" s="1"/>
  <c r="D422" i="1"/>
  <c r="B12" i="33257" s="1"/>
  <c r="D430" i="1"/>
  <c r="B30" i="33257" s="1"/>
  <c r="D438" i="1"/>
  <c r="M47" i="33257" s="1"/>
  <c r="P45" i="33257" s="1"/>
  <c r="D446" i="1"/>
  <c r="M42" i="33257" s="1"/>
  <c r="D454" i="1"/>
  <c r="D462" i="1"/>
  <c r="F31" i="33257" s="1"/>
  <c r="D470" i="1"/>
  <c r="M45" i="33257" s="1"/>
  <c r="P43" i="33257" s="1"/>
  <c r="D478" i="1"/>
  <c r="B59" i="1027" s="1"/>
  <c r="D486" i="1"/>
  <c r="D494" i="1"/>
  <c r="A9" i="33258" s="1"/>
  <c r="D502" i="1"/>
  <c r="A19" i="33258" s="1"/>
  <c r="D7" i="1"/>
  <c r="G3" i="3" s="1"/>
  <c r="H3" i="1027" s="1"/>
  <c r="D31" i="1"/>
  <c r="D39" i="1"/>
  <c r="D47" i="1"/>
  <c r="D55" i="1"/>
  <c r="D63" i="1"/>
  <c r="D71" i="1"/>
  <c r="D79" i="1"/>
  <c r="J115" i="83" s="1"/>
  <c r="D87" i="1"/>
  <c r="BC42" i="83" s="1"/>
  <c r="D95" i="1"/>
  <c r="O37" i="83" s="1"/>
  <c r="T26" i="83" s="1"/>
  <c r="D103" i="1"/>
  <c r="N56" i="83" s="1"/>
  <c r="L56" i="83" s="1"/>
  <c r="D111" i="1"/>
  <c r="D119" i="1"/>
  <c r="A99" i="83" s="1"/>
  <c r="D127" i="1"/>
  <c r="A107" i="83" s="1"/>
  <c r="D135" i="1"/>
  <c r="A115" i="83" s="1"/>
  <c r="D143" i="1"/>
  <c r="A123" i="83" s="1"/>
  <c r="D151" i="1"/>
  <c r="D199" i="1"/>
  <c r="W151" i="83" s="1"/>
  <c r="T121" i="83" s="1"/>
  <c r="D207" i="1"/>
  <c r="V114" i="83" s="1"/>
  <c r="D215" i="1"/>
  <c r="V122" i="83" s="1"/>
  <c r="D223" i="1"/>
  <c r="V130" i="83" s="1"/>
  <c r="D231" i="1"/>
  <c r="V138" i="83" s="1"/>
  <c r="D255" i="1"/>
  <c r="AB48" i="83" s="1"/>
  <c r="D263" i="1"/>
  <c r="H7" i="1027" s="1"/>
  <c r="H54" i="33254" s="1"/>
  <c r="J54" i="33254" s="1"/>
  <c r="D271" i="1"/>
  <c r="B29" i="1027" s="1"/>
  <c r="D279" i="1"/>
  <c r="D287" i="1"/>
  <c r="J46" i="1027" s="1"/>
  <c r="D295" i="1"/>
  <c r="H29" i="33257" s="1"/>
  <c r="D303" i="1"/>
  <c r="C63" i="1027" s="1"/>
  <c r="D311" i="1"/>
  <c r="D319" i="1"/>
  <c r="D327" i="1"/>
  <c r="B15" i="33255" s="1"/>
  <c r="D335" i="1"/>
  <c r="B24" i="33255" s="1"/>
  <c r="D343" i="1"/>
  <c r="B34" i="33255" s="1"/>
  <c r="D351" i="1"/>
  <c r="P12" i="33255" s="1"/>
  <c r="D359" i="1"/>
  <c r="D367" i="1"/>
  <c r="B34" i="33254" s="1"/>
  <c r="W87" i="83" s="1"/>
  <c r="D375" i="1"/>
  <c r="D391" i="1"/>
  <c r="B41" i="33254" s="1"/>
  <c r="W94" i="83" s="1"/>
  <c r="D399" i="1"/>
  <c r="BA8" i="83" s="1"/>
  <c r="D407" i="1"/>
  <c r="D415" i="1"/>
  <c r="D423" i="1"/>
  <c r="B13" i="33257" s="1"/>
  <c r="D431" i="1"/>
  <c r="B31" i="33257" s="1"/>
  <c r="D439" i="1"/>
  <c r="M48" i="33257" s="1"/>
  <c r="D447" i="1"/>
  <c r="M58" i="33257" s="1"/>
  <c r="D455" i="1"/>
  <c r="B59" i="33254" s="1"/>
  <c r="D463" i="1"/>
  <c r="B53" i="33254" s="1"/>
  <c r="D471" i="1"/>
  <c r="M63" i="33257" s="1"/>
  <c r="H45" i="33257" s="1"/>
  <c r="D479" i="1"/>
  <c r="D487" i="1"/>
  <c r="K59" i="33257" s="1"/>
  <c r="D495" i="1"/>
  <c r="A10" i="33258" s="1"/>
  <c r="O51" i="33254" l="1"/>
  <c r="O63" i="33254" s="1"/>
  <c r="R53" i="33254"/>
  <c r="R51" i="33254" s="1"/>
  <c r="R63" i="33254" s="1"/>
  <c r="Q53" i="33254"/>
  <c r="Q51" i="33254" s="1"/>
  <c r="Q63" i="33254" s="1"/>
  <c r="P53" i="33254"/>
  <c r="P51" i="33254" s="1"/>
  <c r="P63" i="33254" s="1"/>
  <c r="V110" i="83"/>
  <c r="V109" i="83"/>
  <c r="B22" i="33254"/>
  <c r="K55" i="33257"/>
  <c r="K57" i="33257"/>
  <c r="K53" i="33257"/>
  <c r="K51" i="33257"/>
  <c r="K49" i="33257"/>
  <c r="K47" i="33257"/>
  <c r="K45" i="33257"/>
  <c r="R50" i="33254"/>
  <c r="Q50" i="33254"/>
  <c r="P50" i="33254"/>
  <c r="O50" i="33254"/>
  <c r="R29" i="83"/>
  <c r="B49" i="33254"/>
  <c r="B48" i="33254"/>
  <c r="G20" i="33257"/>
  <c r="E13" i="33254"/>
  <c r="A62" i="33253"/>
  <c r="A82" i="33253"/>
  <c r="A76" i="33253"/>
  <c r="A32" i="33253"/>
  <c r="A58" i="33253"/>
  <c r="A30" i="33253"/>
  <c r="A78" i="33253"/>
  <c r="A48" i="33253"/>
  <c r="A56" i="33253"/>
  <c r="A28" i="33253"/>
  <c r="A52" i="33253"/>
  <c r="A60" i="33253"/>
  <c r="A54" i="33253"/>
  <c r="A34" i="33253"/>
  <c r="A80" i="33253"/>
  <c r="A50" i="33253"/>
  <c r="N29" i="83"/>
  <c r="T58" i="83"/>
  <c r="T57" i="83"/>
  <c r="N12" i="33254"/>
  <c r="I62" i="33254"/>
  <c r="H57" i="33254"/>
  <c r="I56" i="1027"/>
  <c r="H36" i="33257"/>
  <c r="L56" i="1027"/>
  <c r="K36" i="33257"/>
  <c r="K29" i="33257"/>
  <c r="G56" i="1027"/>
  <c r="F36" i="33257"/>
  <c r="A111" i="83"/>
  <c r="K1" i="33257"/>
  <c r="Q2" i="1027"/>
  <c r="Y52" i="83"/>
  <c r="BN28" i="83" s="1"/>
  <c r="O12" i="33254"/>
  <c r="N13" i="33254" s="1"/>
  <c r="N35" i="1027"/>
  <c r="R25" i="83"/>
  <c r="T56" i="83"/>
  <c r="BA10" i="83"/>
  <c r="G2" i="33254"/>
  <c r="G3" i="33254"/>
  <c r="I53" i="33254"/>
  <c r="D383" i="1"/>
  <c r="Q18" i="33255"/>
  <c r="N18" i="33255"/>
  <c r="P18" i="33255"/>
  <c r="O18" i="33255"/>
  <c r="N13" i="33255"/>
  <c r="O13" i="33255" s="1"/>
  <c r="N33" i="33255"/>
  <c r="N12" i="33255"/>
  <c r="O12" i="33255" s="1"/>
  <c r="N32" i="33255"/>
  <c r="S20" i="33255"/>
  <c r="U27" i="33255"/>
  <c r="U23" i="33255"/>
  <c r="T21" i="33255"/>
  <c r="V27" i="33255"/>
  <c r="T20" i="33255"/>
  <c r="U28" i="33255"/>
  <c r="V21" i="33255"/>
  <c r="S28" i="33255"/>
  <c r="V20" i="33255"/>
  <c r="V22" i="33255"/>
  <c r="T28" i="33255"/>
  <c r="T27" i="33255"/>
  <c r="S23" i="33255"/>
  <c r="V23" i="33255"/>
  <c r="T29" i="33255"/>
  <c r="T23" i="33255"/>
  <c r="O11" i="33255"/>
  <c r="V28" i="33255"/>
  <c r="V29" i="33255"/>
  <c r="U20" i="33255"/>
  <c r="S22" i="33255"/>
  <c r="U29" i="33255"/>
  <c r="U21" i="33255"/>
  <c r="S21" i="33255"/>
  <c r="S27" i="33255"/>
  <c r="T22" i="33255"/>
  <c r="U22" i="33255"/>
  <c r="S29" i="33255"/>
  <c r="C46" i="33255"/>
  <c r="C34" i="33255"/>
  <c r="B27" i="3"/>
  <c r="B35" i="3"/>
  <c r="T25" i="83"/>
  <c r="Q36" i="83"/>
  <c r="Q38" i="83"/>
  <c r="Q37" i="83"/>
  <c r="B13" i="3"/>
  <c r="B12" i="33254"/>
  <c r="K1" i="3"/>
  <c r="M1" i="33255" s="1"/>
  <c r="K1" i="33254"/>
  <c r="B41" i="3"/>
  <c r="H14" i="3"/>
  <c r="H13" i="33254"/>
  <c r="E13" i="3"/>
  <c r="E12" i="33254"/>
  <c r="B28" i="3"/>
  <c r="B51" i="3"/>
  <c r="B46" i="3"/>
  <c r="B42" i="3"/>
  <c r="B30" i="3"/>
  <c r="B44" i="3"/>
  <c r="B16" i="3"/>
  <c r="B15" i="33254" s="1"/>
  <c r="B29" i="3"/>
  <c r="G13" i="3"/>
  <c r="G12" i="33254"/>
  <c r="B52" i="3"/>
  <c r="I8" i="3"/>
  <c r="B38" i="3"/>
  <c r="K16" i="3"/>
  <c r="K15" i="33254"/>
  <c r="K32" i="33254" s="1"/>
  <c r="B60" i="3"/>
  <c r="G7" i="3"/>
  <c r="B17" i="3"/>
  <c r="B40" i="3"/>
  <c r="B57" i="3"/>
  <c r="B1" i="3"/>
  <c r="A4" i="33253" s="1"/>
  <c r="B1" i="33254"/>
  <c r="E14" i="3"/>
  <c r="B34" i="3"/>
  <c r="B21" i="3"/>
  <c r="B24" i="33254" s="1"/>
  <c r="C60" i="3"/>
  <c r="B48" i="3"/>
  <c r="B55" i="3"/>
  <c r="B14" i="3"/>
  <c r="B13" i="33254"/>
  <c r="G49" i="3"/>
  <c r="B39" i="3"/>
  <c r="F60" i="3"/>
  <c r="C48" i="3"/>
  <c r="K15" i="3"/>
  <c r="K29" i="3" s="1"/>
  <c r="K14" i="33254"/>
  <c r="B31" i="3"/>
  <c r="B37" i="3"/>
  <c r="B15" i="3"/>
  <c r="E29" i="3" s="1"/>
  <c r="B14" i="33254"/>
  <c r="E32" i="33254" s="1"/>
  <c r="G48" i="3"/>
  <c r="H13" i="3"/>
  <c r="H12" i="33254"/>
  <c r="B19" i="3"/>
  <c r="B23" i="33254" s="1"/>
  <c r="N25" i="83"/>
  <c r="AB50" i="83"/>
  <c r="AB52" i="83"/>
  <c r="AB51" i="83"/>
  <c r="AB49" i="83"/>
  <c r="Q35" i="83"/>
  <c r="AD118" i="83"/>
  <c r="B24" i="3"/>
  <c r="B90" i="3"/>
  <c r="AA47" i="83"/>
  <c r="R41" i="83" s="1"/>
  <c r="O2" i="1027"/>
  <c r="N59" i="1027" s="1"/>
  <c r="N60" i="1027" s="1"/>
  <c r="AA48" i="83"/>
  <c r="Q42" i="83" s="1"/>
  <c r="O3" i="1027"/>
  <c r="AD139" i="83"/>
  <c r="AE140" i="83"/>
  <c r="AE139" i="83"/>
  <c r="W115" i="83"/>
  <c r="T115" i="83" s="1"/>
  <c r="M16" i="1027" s="1"/>
  <c r="L55" i="83"/>
  <c r="A74" i="33253" s="1"/>
  <c r="T55" i="83"/>
  <c r="Z49" i="83"/>
  <c r="S63" i="33254" l="1"/>
  <c r="A550" i="33253"/>
  <c r="A330" i="33253"/>
  <c r="A322" i="33253"/>
  <c r="A130" i="33253"/>
  <c r="C11" i="33258"/>
  <c r="B18" i="1027"/>
  <c r="S16" i="1027"/>
  <c r="M17" i="1027"/>
  <c r="U16" i="1027"/>
  <c r="B17" i="1027"/>
  <c r="R16" i="1027"/>
  <c r="AJ16" i="1027"/>
  <c r="AC16" i="1027"/>
  <c r="T16" i="1027"/>
  <c r="AF59" i="33254"/>
  <c r="AG16" i="1027"/>
  <c r="A544" i="33253"/>
  <c r="A546" i="33253"/>
  <c r="A266" i="33253"/>
  <c r="A250" i="33253"/>
  <c r="M8" i="1027"/>
  <c r="M20" i="1027"/>
  <c r="M12" i="1027"/>
  <c r="N28" i="33255"/>
  <c r="N27" i="33255"/>
  <c r="O27" i="33255"/>
  <c r="O29" i="33255"/>
  <c r="O28" i="33255"/>
  <c r="P27" i="33255"/>
  <c r="P28" i="33255"/>
  <c r="P29" i="33255"/>
  <c r="Q28" i="33255"/>
  <c r="Q27" i="33255"/>
  <c r="N29" i="33255"/>
  <c r="Q29" i="33255"/>
  <c r="A499" i="33253"/>
  <c r="A375" i="33253"/>
  <c r="A449" i="33253"/>
  <c r="A377" i="33253"/>
  <c r="A369" i="33253"/>
  <c r="A359" i="33253"/>
  <c r="A438" i="33253"/>
  <c r="A503" i="33253"/>
  <c r="A314" i="33253"/>
  <c r="A326" i="33253"/>
  <c r="A318" i="33253"/>
  <c r="A248" i="33253"/>
  <c r="A280" i="33253"/>
  <c r="A256" i="33253"/>
  <c r="A264" i="33253"/>
  <c r="A296" i="33253"/>
  <c r="A288" i="33253"/>
  <c r="A304" i="33253"/>
  <c r="A272" i="33253"/>
  <c r="A310" i="33253"/>
  <c r="P18" i="33254"/>
  <c r="P17" i="33254"/>
  <c r="Q17" i="33254"/>
  <c r="Q18" i="33254"/>
  <c r="R18" i="33254"/>
  <c r="R17" i="33254"/>
  <c r="O17" i="33254"/>
  <c r="O18" i="33254"/>
  <c r="A230" i="33253"/>
  <c r="P41" i="33254"/>
  <c r="D34" i="33258" s="1"/>
  <c r="R41" i="33254"/>
  <c r="F34" i="33258" s="1"/>
  <c r="A300" i="33253"/>
  <c r="A284" i="33253"/>
  <c r="A276" i="33253"/>
  <c r="A292" i="33253"/>
  <c r="A268" i="33253"/>
  <c r="A244" i="33253"/>
  <c r="A260" i="33253"/>
  <c r="A252" i="33253"/>
  <c r="A236" i="33253"/>
  <c r="A302" i="33253"/>
  <c r="A324" i="33253"/>
  <c r="A224" i="33253"/>
  <c r="A367" i="33253"/>
  <c r="A316" i="33253"/>
  <c r="A320" i="33253"/>
  <c r="A363" i="33253"/>
  <c r="A246" i="33253"/>
  <c r="A351" i="33253"/>
  <c r="A262" i="33253"/>
  <c r="A278" i="33253"/>
  <c r="A226" i="33253"/>
  <c r="A270" i="33253"/>
  <c r="A312" i="33253"/>
  <c r="A254" i="33253"/>
  <c r="A232" i="33253"/>
  <c r="A294" i="33253"/>
  <c r="A234" i="33253"/>
  <c r="A286" i="33253"/>
  <c r="A308" i="33253"/>
  <c r="A228" i="33253"/>
  <c r="A214" i="33253"/>
  <c r="A70" i="33253"/>
  <c r="A72" i="33253"/>
  <c r="A68" i="33253"/>
  <c r="P22" i="33254"/>
  <c r="B58" i="1027"/>
  <c r="B43" i="1027"/>
  <c r="BA11" i="83"/>
  <c r="O42" i="33254"/>
  <c r="R22" i="33254"/>
  <c r="AF11" i="83"/>
  <c r="Q22" i="33254"/>
  <c r="Q35" i="33254" s="1"/>
  <c r="E28" i="33258" s="1"/>
  <c r="O22" i="33254"/>
  <c r="AD12" i="33254" s="1"/>
  <c r="N62" i="83"/>
  <c r="H93" i="3" s="1"/>
  <c r="M62" i="83"/>
  <c r="N63" i="83"/>
  <c r="I93" i="3" s="1"/>
  <c r="M63" i="83"/>
  <c r="G4" i="3"/>
  <c r="H4" i="1027" s="1"/>
  <c r="I7" i="3"/>
  <c r="I7" i="33254" s="1"/>
  <c r="B3" i="3"/>
  <c r="U3" i="83"/>
  <c r="B3" i="1027"/>
  <c r="C3" i="1027"/>
  <c r="A6" i="33253"/>
  <c r="B22" i="33257"/>
  <c r="I21" i="33257"/>
  <c r="B8" i="3"/>
  <c r="B8" i="33254" s="1"/>
  <c r="B21" i="33257"/>
  <c r="B7" i="3"/>
  <c r="B7" i="33254" s="1"/>
  <c r="C3" i="3"/>
  <c r="BM33" i="83"/>
  <c r="BM28" i="83"/>
  <c r="M61" i="83"/>
  <c r="N61" i="83"/>
  <c r="G93" i="3" s="1"/>
  <c r="G7" i="33254"/>
  <c r="O22" i="33255"/>
  <c r="Q22" i="33255"/>
  <c r="N23" i="33255"/>
  <c r="Q21" i="33255"/>
  <c r="Q23" i="33255"/>
  <c r="N21" i="33255"/>
  <c r="P21" i="33255"/>
  <c r="N20" i="33255"/>
  <c r="P20" i="33255"/>
  <c r="O23" i="33255"/>
  <c r="O21" i="33255"/>
  <c r="N22" i="33255"/>
  <c r="P22" i="33255"/>
  <c r="O20" i="33255"/>
  <c r="P23" i="33255"/>
  <c r="Q20" i="33255"/>
  <c r="P49" i="33255"/>
  <c r="Q47" i="33255"/>
  <c r="O47" i="33255"/>
  <c r="O50" i="33255"/>
  <c r="Q49" i="33255"/>
  <c r="O48" i="33255"/>
  <c r="N48" i="33255"/>
  <c r="O35" i="33255"/>
  <c r="O42" i="33255" s="1"/>
  <c r="O49" i="33255"/>
  <c r="N50" i="33255"/>
  <c r="N35" i="33255"/>
  <c r="N42" i="33255" s="1"/>
  <c r="Q48" i="33255"/>
  <c r="Q50" i="33255"/>
  <c r="N47" i="33255"/>
  <c r="N49" i="33255"/>
  <c r="P35" i="33255"/>
  <c r="P42" i="33255" s="1"/>
  <c r="P48" i="33255"/>
  <c r="P47" i="33255"/>
  <c r="Q35" i="33255"/>
  <c r="Q42" i="33255" s="1"/>
  <c r="P50" i="33255"/>
  <c r="U48" i="83"/>
  <c r="U49" i="83"/>
  <c r="U47" i="83"/>
  <c r="V47" i="83"/>
  <c r="V49" i="83"/>
  <c r="V48" i="83"/>
  <c r="W47" i="83"/>
  <c r="W48" i="83"/>
  <c r="W49" i="83"/>
  <c r="T49" i="83"/>
  <c r="T47" i="83"/>
  <c r="T48" i="83"/>
  <c r="AD152" i="83"/>
  <c r="AD151" i="83"/>
  <c r="AD153" i="83"/>
  <c r="G90" i="3"/>
  <c r="H90" i="3"/>
  <c r="A115" i="33253" s="1"/>
  <c r="I90" i="3"/>
  <c r="A116" i="33253" s="1"/>
  <c r="F90" i="3"/>
  <c r="G89" i="3"/>
  <c r="A108" i="33253"/>
  <c r="AK40" i="83"/>
  <c r="K88" i="83"/>
  <c r="K96" i="83"/>
  <c r="J25" i="83"/>
  <c r="K95" i="83"/>
  <c r="J90" i="83"/>
  <c r="J85" i="83"/>
  <c r="J94" i="83"/>
  <c r="K86" i="83"/>
  <c r="K92" i="83"/>
  <c r="J86" i="83"/>
  <c r="J87" i="83"/>
  <c r="J91" i="83"/>
  <c r="J88" i="83"/>
  <c r="Q41" i="83"/>
  <c r="K85" i="83"/>
  <c r="J93" i="83"/>
  <c r="AM40" i="83"/>
  <c r="K89" i="83"/>
  <c r="K94" i="83"/>
  <c r="AI40" i="83"/>
  <c r="J95" i="83"/>
  <c r="R42" i="83"/>
  <c r="J92" i="83"/>
  <c r="J26" i="83"/>
  <c r="K93" i="83"/>
  <c r="J96" i="83"/>
  <c r="AG40" i="83"/>
  <c r="K90" i="83"/>
  <c r="K87" i="83"/>
  <c r="K91" i="83"/>
  <c r="J89" i="83"/>
  <c r="N60" i="83"/>
  <c r="M60" i="83"/>
  <c r="H89" i="3"/>
  <c r="I89" i="3"/>
  <c r="F89" i="3"/>
  <c r="B62" i="3"/>
  <c r="B84" i="1027"/>
  <c r="L1" i="1027"/>
  <c r="Z36" i="33254" l="1"/>
  <c r="A603" i="33253" s="1"/>
  <c r="H26" i="33254"/>
  <c r="F26" i="33254"/>
  <c r="BA6" i="83"/>
  <c r="M13" i="1027"/>
  <c r="AC12" i="1027"/>
  <c r="T12" i="1027"/>
  <c r="AE59" i="33254"/>
  <c r="AJ12" i="1027"/>
  <c r="U12" i="1027"/>
  <c r="B14" i="1027"/>
  <c r="S12" i="1027"/>
  <c r="R12" i="1027"/>
  <c r="B13" i="1027"/>
  <c r="AG12" i="1027"/>
  <c r="A128" i="33253"/>
  <c r="C10" i="33258"/>
  <c r="T8" i="1027"/>
  <c r="AG8" i="1027"/>
  <c r="S8" i="1027"/>
  <c r="AD59" i="33254"/>
  <c r="AJ8" i="1027"/>
  <c r="A126" i="33253"/>
  <c r="R8" i="1027"/>
  <c r="U8" i="1027"/>
  <c r="M9" i="1027"/>
  <c r="C9" i="33258"/>
  <c r="B9" i="1027"/>
  <c r="AC8" i="1027"/>
  <c r="B10" i="1027"/>
  <c r="V16" i="1027"/>
  <c r="W16" i="1027"/>
  <c r="A132" i="33253"/>
  <c r="U20" i="1027"/>
  <c r="B21" i="1027"/>
  <c r="AC20" i="1027"/>
  <c r="AJ20" i="1027"/>
  <c r="S20" i="1027"/>
  <c r="R20" i="1027"/>
  <c r="T20" i="1027"/>
  <c r="AG20" i="1027"/>
  <c r="M21" i="1027"/>
  <c r="B22" i="1027"/>
  <c r="AG59" i="33254"/>
  <c r="C12" i="33258"/>
  <c r="P26" i="33255"/>
  <c r="Q26" i="33255"/>
  <c r="N26" i="33255"/>
  <c r="O26" i="33255"/>
  <c r="Q38" i="33254"/>
  <c r="E31" i="33258" s="1"/>
  <c r="Q37" i="33254"/>
  <c r="E30" i="33258" s="1"/>
  <c r="Q39" i="33254"/>
  <c r="E32" i="33258" s="1"/>
  <c r="Q36" i="33254"/>
  <c r="E29" i="33258" s="1"/>
  <c r="Q40" i="33254"/>
  <c r="E33" i="33258" s="1"/>
  <c r="Q34" i="33254"/>
  <c r="E27" i="33258" s="1"/>
  <c r="Q41" i="33254"/>
  <c r="E34" i="33258" s="1"/>
  <c r="AF12" i="33254"/>
  <c r="B43" i="33257"/>
  <c r="AD14" i="33254"/>
  <c r="P35" i="33254"/>
  <c r="D28" i="33258" s="1"/>
  <c r="AE12" i="33254"/>
  <c r="R38" i="33254"/>
  <c r="F31" i="33258" s="1"/>
  <c r="AG12" i="33254"/>
  <c r="O41" i="33254"/>
  <c r="C34" i="33258" s="1"/>
  <c r="A113" i="33253"/>
  <c r="O34" i="33254"/>
  <c r="C27" i="33258" s="1"/>
  <c r="O36" i="33254"/>
  <c r="C29" i="33258" s="1"/>
  <c r="O35" i="33254"/>
  <c r="C28" i="33258" s="1"/>
  <c r="O39" i="33254"/>
  <c r="C32" i="33258" s="1"/>
  <c r="O37" i="33254"/>
  <c r="C30" i="33258" s="1"/>
  <c r="O38" i="33254"/>
  <c r="C31" i="33258" s="1"/>
  <c r="O40" i="33254"/>
  <c r="C33" i="33258" s="1"/>
  <c r="A114" i="33253"/>
  <c r="P37" i="33254"/>
  <c r="D30" i="33258" s="1"/>
  <c r="P34" i="33254"/>
  <c r="D27" i="33258" s="1"/>
  <c r="P40" i="33254"/>
  <c r="D33" i="33258" s="1"/>
  <c r="P39" i="33254"/>
  <c r="D32" i="33258" s="1"/>
  <c r="P38" i="33254"/>
  <c r="D31" i="33258" s="1"/>
  <c r="P36" i="33254"/>
  <c r="D29" i="33258" s="1"/>
  <c r="X58" i="33254"/>
  <c r="W58" i="33254"/>
  <c r="W67" i="33254"/>
  <c r="W59" i="33254" s="1"/>
  <c r="A109" i="33253"/>
  <c r="A110" i="33253"/>
  <c r="R34" i="33254"/>
  <c r="F27" i="33258" s="1"/>
  <c r="X67" i="33254"/>
  <c r="X59" i="33254" s="1"/>
  <c r="R36" i="33254"/>
  <c r="F29" i="33258" s="1"/>
  <c r="R37" i="33254"/>
  <c r="F30" i="33258" s="1"/>
  <c r="R39" i="33254"/>
  <c r="F32" i="33258" s="1"/>
  <c r="R35" i="33254"/>
  <c r="F28" i="33258" s="1"/>
  <c r="Y67" i="33254"/>
  <c r="Y59" i="33254" s="1"/>
  <c r="R40" i="33254"/>
  <c r="F33" i="33258" s="1"/>
  <c r="Y58" i="33254"/>
  <c r="V58" i="33254"/>
  <c r="V67" i="33254"/>
  <c r="A112" i="33253"/>
  <c r="A111" i="33253"/>
  <c r="AA93" i="83"/>
  <c r="AB93" i="83"/>
  <c r="AC93" i="83"/>
  <c r="N51" i="33255"/>
  <c r="Q51" i="33255"/>
  <c r="O51" i="33255"/>
  <c r="P51" i="33255"/>
  <c r="F93" i="3"/>
  <c r="G51" i="1027"/>
  <c r="G26" i="33254" l="1"/>
  <c r="I26" i="33254"/>
  <c r="W20" i="1027"/>
  <c r="V20" i="1027"/>
  <c r="V12" i="1027"/>
  <c r="W12" i="1027"/>
  <c r="V8" i="1027"/>
  <c r="W8" i="1027"/>
  <c r="W68" i="33254"/>
  <c r="Y68" i="33254"/>
  <c r="X68" i="33254"/>
  <c r="Z67" i="33254"/>
  <c r="Z58" i="33254"/>
  <c r="V59" i="33254"/>
  <c r="Z59" i="33254" s="1"/>
  <c r="V68" i="33254"/>
  <c r="A172" i="33253"/>
  <c r="J118" i="83"/>
  <c r="A84" i="33253" s="1"/>
  <c r="Z68" i="33254" l="1"/>
  <c r="E92" i="3"/>
  <c r="D90" i="3"/>
  <c r="B80" i="3"/>
  <c r="BO72" i="83"/>
  <c r="BO73" i="83" s="1"/>
  <c r="BP72" i="83"/>
  <c r="BP73" i="83" s="1"/>
  <c r="J33" i="1027"/>
  <c r="BQ72" i="83"/>
  <c r="BQ73" i="83" s="1"/>
  <c r="G33" i="1027"/>
  <c r="H33" i="1027"/>
  <c r="I33" i="1027"/>
  <c r="I51" i="1027"/>
  <c r="A523" i="33253" s="1"/>
  <c r="J51" i="1027"/>
  <c r="A528" i="33253" s="1"/>
  <c r="Z1" i="83"/>
  <c r="BC5" i="83"/>
  <c r="BC6" i="83"/>
  <c r="BC7" i="83"/>
  <c r="BC8" i="83"/>
  <c r="BC9" i="83"/>
  <c r="BC10" i="83"/>
  <c r="BC11" i="83"/>
  <c r="BC12" i="83"/>
  <c r="BC13" i="83"/>
  <c r="BC14" i="83"/>
  <c r="BC15" i="83"/>
  <c r="BC16" i="83"/>
  <c r="BC17" i="83"/>
  <c r="BC18" i="83"/>
  <c r="BC19" i="83"/>
  <c r="BC20" i="83"/>
  <c r="BC21" i="83"/>
  <c r="BC22" i="83"/>
  <c r="AE23" i="83"/>
  <c r="AI23" i="83"/>
  <c r="BC23" i="83"/>
  <c r="AI24" i="83"/>
  <c r="BC24" i="83"/>
  <c r="AI25" i="83"/>
  <c r="BC25" i="83"/>
  <c r="BC26" i="83"/>
  <c r="BC27" i="83"/>
  <c r="BC28" i="83"/>
  <c r="BK28" i="83"/>
  <c r="BC29" i="83"/>
  <c r="BC30" i="83"/>
  <c r="BC31" i="83"/>
  <c r="BC32" i="83"/>
  <c r="O35" i="83"/>
  <c r="BD37" i="83"/>
  <c r="BE37" i="83" s="1"/>
  <c r="BD38" i="83"/>
  <c r="BE38" i="83" s="1"/>
  <c r="BD39" i="83"/>
  <c r="BE39" i="83" s="1"/>
  <c r="BD40" i="83"/>
  <c r="BE40" i="83" s="1"/>
  <c r="BD41" i="83"/>
  <c r="BE41" i="83" s="1"/>
  <c r="BD42" i="83"/>
  <c r="BE42" i="83" s="1"/>
  <c r="BD43" i="83"/>
  <c r="BE43" i="83" s="1"/>
  <c r="L44" i="83"/>
  <c r="BD44" i="83"/>
  <c r="BE44" i="83" s="1"/>
  <c r="L45" i="83"/>
  <c r="L46" i="83"/>
  <c r="BD47" i="83"/>
  <c r="BE47" i="83" s="1"/>
  <c r="R85" i="83"/>
  <c r="R86" i="83"/>
  <c r="R87" i="83"/>
  <c r="R88" i="83"/>
  <c r="R89" i="83"/>
  <c r="R90" i="83"/>
  <c r="R91" i="83"/>
  <c r="R92" i="83"/>
  <c r="R93" i="83"/>
  <c r="R94" i="83"/>
  <c r="R95" i="83"/>
  <c r="K114" i="83"/>
  <c r="K115" i="83"/>
  <c r="L115" i="83" s="1"/>
  <c r="M115" i="83" s="1"/>
  <c r="K116" i="83"/>
  <c r="L116" i="83" s="1"/>
  <c r="M116" i="83" s="1"/>
  <c r="K117" i="83"/>
  <c r="L117" i="83" s="1"/>
  <c r="M117" i="83" s="1"/>
  <c r="A128" i="83"/>
  <c r="B128" i="83"/>
  <c r="C128" i="83"/>
  <c r="D128" i="83"/>
  <c r="E128" i="83"/>
  <c r="F128" i="83"/>
  <c r="A129" i="83"/>
  <c r="B129" i="83"/>
  <c r="C129" i="83"/>
  <c r="D129" i="83"/>
  <c r="E129" i="83"/>
  <c r="F129" i="83"/>
  <c r="A130" i="83"/>
  <c r="B130" i="83"/>
  <c r="C130" i="83"/>
  <c r="D130" i="83"/>
  <c r="E130" i="83"/>
  <c r="F130" i="83"/>
  <c r="A131" i="83"/>
  <c r="B131" i="83"/>
  <c r="C131" i="83"/>
  <c r="D131" i="83"/>
  <c r="E131" i="83"/>
  <c r="F131" i="83"/>
  <c r="A132" i="83"/>
  <c r="B132" i="83"/>
  <c r="C132" i="83"/>
  <c r="D132" i="83"/>
  <c r="E132" i="83"/>
  <c r="F132" i="83"/>
  <c r="A133" i="83"/>
  <c r="B133" i="83"/>
  <c r="C133" i="83"/>
  <c r="D133" i="83"/>
  <c r="E133" i="83"/>
  <c r="F133" i="83"/>
  <c r="A134" i="83"/>
  <c r="B134" i="83"/>
  <c r="C134" i="83"/>
  <c r="D134" i="83"/>
  <c r="E134" i="83"/>
  <c r="F134" i="83"/>
  <c r="A135" i="83"/>
  <c r="B135" i="83"/>
  <c r="C135" i="83"/>
  <c r="D135" i="83"/>
  <c r="E135" i="83"/>
  <c r="F135" i="83"/>
  <c r="A136" i="83"/>
  <c r="B136" i="83"/>
  <c r="C136" i="83"/>
  <c r="D136" i="83"/>
  <c r="E136" i="83"/>
  <c r="F136" i="83"/>
  <c r="A137" i="83"/>
  <c r="B137" i="83"/>
  <c r="C137" i="83"/>
  <c r="D137" i="83"/>
  <c r="E137" i="83"/>
  <c r="F137" i="83"/>
  <c r="A138" i="83"/>
  <c r="B138" i="83"/>
  <c r="C138" i="83"/>
  <c r="D138" i="83"/>
  <c r="E138" i="83"/>
  <c r="F138" i="83"/>
  <c r="A139" i="83"/>
  <c r="B139" i="83"/>
  <c r="C139" i="83"/>
  <c r="D139" i="83"/>
  <c r="E139" i="83"/>
  <c r="F139" i="83"/>
  <c r="A140" i="83"/>
  <c r="B140" i="83"/>
  <c r="C140" i="83"/>
  <c r="D140" i="83"/>
  <c r="E140" i="83"/>
  <c r="F140" i="83"/>
  <c r="A141" i="83"/>
  <c r="B141" i="83"/>
  <c r="C141" i="83"/>
  <c r="D141" i="83"/>
  <c r="E141" i="83"/>
  <c r="F141" i="83"/>
  <c r="A142" i="83"/>
  <c r="B142" i="83"/>
  <c r="C142" i="83"/>
  <c r="D142" i="83"/>
  <c r="E142" i="83"/>
  <c r="F142" i="83"/>
  <c r="A143" i="83"/>
  <c r="B143" i="83"/>
  <c r="C143" i="83"/>
  <c r="D143" i="83"/>
  <c r="E143" i="83"/>
  <c r="F143" i="83"/>
  <c r="A144" i="83"/>
  <c r="B144" i="83"/>
  <c r="C144" i="83"/>
  <c r="D144" i="83"/>
  <c r="E144" i="83"/>
  <c r="F144" i="83"/>
  <c r="A145" i="83"/>
  <c r="B145" i="83"/>
  <c r="C145" i="83"/>
  <c r="D145" i="83"/>
  <c r="E145" i="83"/>
  <c r="F145" i="83"/>
  <c r="A146" i="83"/>
  <c r="B146" i="83"/>
  <c r="C146" i="83"/>
  <c r="D146" i="83"/>
  <c r="E146" i="83"/>
  <c r="F146" i="83"/>
  <c r="A147" i="83"/>
  <c r="B147" i="83"/>
  <c r="C147" i="83"/>
  <c r="D147" i="83"/>
  <c r="E147" i="83"/>
  <c r="F147" i="83"/>
  <c r="A148" i="83"/>
  <c r="B148" i="83"/>
  <c r="C148" i="83"/>
  <c r="D148" i="83"/>
  <c r="E148" i="83"/>
  <c r="F148" i="83"/>
  <c r="A149" i="83"/>
  <c r="B149" i="83"/>
  <c r="C149" i="83"/>
  <c r="D149" i="83"/>
  <c r="E149" i="83"/>
  <c r="F149" i="83"/>
  <c r="A150" i="83"/>
  <c r="B150" i="83"/>
  <c r="C150" i="83"/>
  <c r="D150" i="83"/>
  <c r="E150" i="83"/>
  <c r="F150" i="83"/>
  <c r="A151" i="83"/>
  <c r="B151" i="83"/>
  <c r="C151" i="83"/>
  <c r="D151" i="83"/>
  <c r="E151" i="83"/>
  <c r="F151" i="83"/>
  <c r="A152" i="83"/>
  <c r="B152" i="83"/>
  <c r="C152" i="83"/>
  <c r="D152" i="83"/>
  <c r="E152" i="83"/>
  <c r="F152" i="83"/>
  <c r="A153" i="83"/>
  <c r="B153" i="83"/>
  <c r="C153" i="83"/>
  <c r="D153" i="83"/>
  <c r="E153" i="83"/>
  <c r="F153" i="83"/>
  <c r="A154" i="83"/>
  <c r="B154" i="83"/>
  <c r="C154" i="83"/>
  <c r="D154" i="83"/>
  <c r="E154" i="83"/>
  <c r="F154" i="83"/>
  <c r="BN72" i="83" l="1"/>
  <c r="BN73" i="83" s="1"/>
  <c r="BL32" i="83"/>
  <c r="L114" i="83"/>
  <c r="K118" i="83"/>
  <c r="A86" i="33253" s="1"/>
  <c r="AG26" i="83"/>
  <c r="AG25" i="83"/>
  <c r="AG24" i="83"/>
  <c r="AG23" i="83"/>
  <c r="R45" i="83"/>
  <c r="Q45" i="83" s="1"/>
  <c r="AE67" i="83" s="1"/>
  <c r="R46" i="83"/>
  <c r="Q46" i="83" s="1"/>
  <c r="AE68" i="83" s="1"/>
  <c r="R43" i="83"/>
  <c r="Q43" i="83" s="1"/>
  <c r="R44" i="83"/>
  <c r="Q44" i="83" s="1"/>
  <c r="AE66" i="83" s="1"/>
  <c r="BB33" i="83"/>
  <c r="G79" i="3"/>
  <c r="F79" i="3"/>
  <c r="I79" i="3"/>
  <c r="H79" i="3"/>
  <c r="C19" i="33258" l="1"/>
  <c r="AE65" i="83"/>
  <c r="A44" i="33253"/>
  <c r="E19" i="33258"/>
  <c r="A42" i="33253"/>
  <c r="D19" i="33258"/>
  <c r="A46" i="33253"/>
  <c r="F19" i="33258"/>
  <c r="A40" i="33253"/>
  <c r="A16" i="33253"/>
  <c r="AZ158" i="83"/>
  <c r="BB158" i="83"/>
  <c r="BA158" i="83"/>
  <c r="BC158" i="83"/>
  <c r="S26" i="33255"/>
  <c r="T25" i="33255"/>
  <c r="U24" i="33255"/>
  <c r="S25" i="33255"/>
  <c r="T24" i="33255"/>
  <c r="Q25" i="33255"/>
  <c r="S24" i="33255"/>
  <c r="P25" i="33255"/>
  <c r="Q24" i="33255"/>
  <c r="V26" i="33255"/>
  <c r="N25" i="33255"/>
  <c r="O24" i="33255"/>
  <c r="O25" i="33255"/>
  <c r="P24" i="33255"/>
  <c r="U26" i="33255"/>
  <c r="V25" i="33255"/>
  <c r="N24" i="33255"/>
  <c r="T26" i="33255"/>
  <c r="U25" i="33255"/>
  <c r="V24" i="33255"/>
  <c r="B53" i="1027"/>
  <c r="S44" i="83"/>
  <c r="H31" i="1027" s="1"/>
  <c r="S43" i="83"/>
  <c r="R97" i="83" s="1"/>
  <c r="S45" i="83"/>
  <c r="I31" i="1027" s="1"/>
  <c r="B40" i="1027"/>
  <c r="B34" i="1027"/>
  <c r="AB14" i="1027"/>
  <c r="AB13" i="1027" s="1"/>
  <c r="AB22" i="1027"/>
  <c r="AB21" i="1027"/>
  <c r="AB10" i="1027"/>
  <c r="AB9" i="1027" s="1"/>
  <c r="AB18" i="1027"/>
  <c r="AB17" i="1027" s="1"/>
  <c r="F19" i="83"/>
  <c r="CM158" i="83"/>
  <c r="CA158" i="83"/>
  <c r="BQ158" i="83"/>
  <c r="BG158" i="83"/>
  <c r="AU158" i="83"/>
  <c r="AK158" i="83"/>
  <c r="AA158" i="83"/>
  <c r="O158" i="83"/>
  <c r="E158" i="83"/>
  <c r="BZ158" i="83"/>
  <c r="BF158" i="83"/>
  <c r="AJ158" i="83"/>
  <c r="Z158" i="83"/>
  <c r="CL158" i="83"/>
  <c r="BP158" i="83"/>
  <c r="AT158" i="83"/>
  <c r="D158" i="83"/>
  <c r="CI158" i="83"/>
  <c r="BY158" i="83"/>
  <c r="BO158" i="83"/>
  <c r="AS158" i="83"/>
  <c r="AI158" i="83"/>
  <c r="W158" i="83"/>
  <c r="M158" i="83"/>
  <c r="C158" i="83"/>
  <c r="BX158" i="83"/>
  <c r="BN158" i="83"/>
  <c r="AR158" i="83"/>
  <c r="V158" i="83"/>
  <c r="B158" i="83"/>
  <c r="CH158" i="83"/>
  <c r="AH158" i="83"/>
  <c r="L158" i="83"/>
  <c r="CQ158" i="83"/>
  <c r="CG158" i="83"/>
  <c r="BW158" i="83"/>
  <c r="BK158" i="83"/>
  <c r="AQ158" i="83"/>
  <c r="AE158" i="83"/>
  <c r="U158" i="83"/>
  <c r="K158" i="83"/>
  <c r="CN158" i="83"/>
  <c r="CD158" i="83"/>
  <c r="AX158" i="83"/>
  <c r="R158" i="83"/>
  <c r="CP158" i="83"/>
  <c r="CF158" i="83"/>
  <c r="BV158" i="83"/>
  <c r="BJ158" i="83"/>
  <c r="AP158" i="83"/>
  <c r="AD158" i="83"/>
  <c r="T158" i="83"/>
  <c r="J158" i="83"/>
  <c r="BH158" i="83"/>
  <c r="AB158" i="83"/>
  <c r="F158" i="83"/>
  <c r="CO158" i="83"/>
  <c r="CE158" i="83"/>
  <c r="BS158" i="83"/>
  <c r="BI158" i="83"/>
  <c r="AY158" i="83"/>
  <c r="AM158" i="83"/>
  <c r="AC158" i="83"/>
  <c r="S158" i="83"/>
  <c r="G158" i="83"/>
  <c r="BR158" i="83"/>
  <c r="AL158" i="83"/>
  <c r="N158" i="83"/>
  <c r="B33" i="1027"/>
  <c r="I17" i="83"/>
  <c r="I18" i="83"/>
  <c r="AP5" i="83" s="1"/>
  <c r="I14" i="83"/>
  <c r="AL5" i="83" s="1"/>
  <c r="S46" i="83"/>
  <c r="R100" i="83" s="1"/>
  <c r="O44" i="83"/>
  <c r="C18" i="83"/>
  <c r="O45" i="83"/>
  <c r="B41" i="1027"/>
  <c r="B14" i="83"/>
  <c r="I11" i="83"/>
  <c r="AI5" i="83" s="1"/>
  <c r="I13" i="83"/>
  <c r="I20" i="83"/>
  <c r="AR5" i="83" s="1"/>
  <c r="I15" i="83"/>
  <c r="AM5" i="83" s="1"/>
  <c r="A28" i="83"/>
  <c r="F42" i="1027"/>
  <c r="I21" i="83"/>
  <c r="I96" i="83" s="1"/>
  <c r="O46" i="83"/>
  <c r="I19" i="83"/>
  <c r="I94" i="83" s="1"/>
  <c r="E84" i="3"/>
  <c r="I16" i="83"/>
  <c r="I91" i="83" s="1"/>
  <c r="B18" i="83"/>
  <c r="B29" i="83"/>
  <c r="B84" i="3"/>
  <c r="C23" i="83"/>
  <c r="I10" i="83"/>
  <c r="AH5" i="83" s="1"/>
  <c r="B19" i="83"/>
  <c r="I12" i="83"/>
  <c r="AJ5" i="83" s="1"/>
  <c r="B42" i="1027"/>
  <c r="W55" i="83"/>
  <c r="V55" i="83" s="1"/>
  <c r="U63" i="83" s="1"/>
  <c r="W58" i="83"/>
  <c r="V58" i="83" s="1"/>
  <c r="U66" i="83" s="1"/>
  <c r="W56" i="83"/>
  <c r="V56" i="83" s="1"/>
  <c r="U64" i="83" s="1"/>
  <c r="W57" i="83"/>
  <c r="V57" i="83" s="1"/>
  <c r="U65" i="83" s="1"/>
  <c r="M114" i="83"/>
  <c r="M118" i="83" s="1"/>
  <c r="A90" i="33253" s="1"/>
  <c r="L118" i="83"/>
  <c r="A88" i="33253" s="1"/>
  <c r="P51" i="83"/>
  <c r="F25" i="83"/>
  <c r="C30" i="83"/>
  <c r="F16" i="83"/>
  <c r="F31" i="83"/>
  <c r="C15" i="83"/>
  <c r="A14" i="83"/>
  <c r="E32" i="83"/>
  <c r="F17" i="83"/>
  <c r="C20" i="83"/>
  <c r="C19" i="83"/>
  <c r="E24" i="83"/>
  <c r="B15" i="83"/>
  <c r="B25" i="83"/>
  <c r="D33" i="83"/>
  <c r="C16" i="83"/>
  <c r="D20" i="83"/>
  <c r="E28" i="83"/>
  <c r="B31" i="83"/>
  <c r="A32" i="83"/>
  <c r="D21" i="83"/>
  <c r="B16" i="83"/>
  <c r="D26" i="83"/>
  <c r="E14" i="83"/>
  <c r="F18" i="83"/>
  <c r="B17" i="83"/>
  <c r="C22" i="83"/>
  <c r="C27" i="83"/>
  <c r="C17" i="83"/>
  <c r="E21" i="83"/>
  <c r="A24" i="83"/>
  <c r="F29" i="83"/>
  <c r="F15" i="83"/>
  <c r="C14" i="83"/>
  <c r="D17" i="83"/>
  <c r="E20" i="83"/>
  <c r="F22" i="83"/>
  <c r="F23" i="83"/>
  <c r="D24" i="83"/>
  <c r="D27" i="83"/>
  <c r="F28" i="83"/>
  <c r="F30" i="83"/>
  <c r="BD33" i="83"/>
  <c r="D34" i="83"/>
  <c r="A35" i="83"/>
  <c r="B36" i="83"/>
  <c r="D37" i="83"/>
  <c r="B38" i="83"/>
  <c r="A39" i="83"/>
  <c r="B40" i="83"/>
  <c r="B41" i="83"/>
  <c r="B42" i="83"/>
  <c r="D44" i="83"/>
  <c r="B45" i="83"/>
  <c r="F47" i="83"/>
  <c r="E126" i="83"/>
  <c r="G132" i="83" s="1"/>
  <c r="A12" i="83" s="1"/>
  <c r="E22" i="83"/>
  <c r="F26" i="83"/>
  <c r="E30" i="83"/>
  <c r="A38" i="83"/>
  <c r="A42" i="83"/>
  <c r="C44" i="83"/>
  <c r="E47" i="83"/>
  <c r="D14" i="83"/>
  <c r="E17" i="83"/>
  <c r="A19" i="83"/>
  <c r="F20" i="83"/>
  <c r="F24" i="83"/>
  <c r="A25" i="83"/>
  <c r="E27" i="83"/>
  <c r="A33" i="83"/>
  <c r="E34" i="83"/>
  <c r="B35" i="83"/>
  <c r="C36" i="83"/>
  <c r="E37" i="83"/>
  <c r="C38" i="83"/>
  <c r="B39" i="83"/>
  <c r="C40" i="83"/>
  <c r="C41" i="83"/>
  <c r="C42" i="83"/>
  <c r="A43" i="83"/>
  <c r="E44" i="83"/>
  <c r="C45" i="83"/>
  <c r="A46" i="83"/>
  <c r="B96" i="83"/>
  <c r="F14" i="83"/>
  <c r="A16" i="83"/>
  <c r="D19" i="83"/>
  <c r="C25" i="83"/>
  <c r="F27" i="83"/>
  <c r="A31" i="83"/>
  <c r="B32" i="83"/>
  <c r="B33" i="83"/>
  <c r="F34" i="83"/>
  <c r="C35" i="83"/>
  <c r="D36" i="83"/>
  <c r="F37" i="83"/>
  <c r="D38" i="83"/>
  <c r="C39" i="83"/>
  <c r="D40" i="83"/>
  <c r="D41" i="83"/>
  <c r="D42" i="83"/>
  <c r="B43" i="83"/>
  <c r="F44" i="83"/>
  <c r="D45" i="83"/>
  <c r="B46" i="83"/>
  <c r="C96" i="83"/>
  <c r="C24" i="83"/>
  <c r="B27" i="83"/>
  <c r="BC33" i="83"/>
  <c r="A36" i="83"/>
  <c r="C37" i="83"/>
  <c r="A40" i="83"/>
  <c r="A41" i="83"/>
  <c r="D16" i="83"/>
  <c r="E19" i="83"/>
  <c r="D25" i="83"/>
  <c r="A26" i="83"/>
  <c r="C31" i="83"/>
  <c r="C32" i="83"/>
  <c r="C33" i="83"/>
  <c r="D35" i="83"/>
  <c r="E36" i="83"/>
  <c r="E38" i="83"/>
  <c r="D39" i="83"/>
  <c r="E40" i="83"/>
  <c r="E41" i="83"/>
  <c r="E42" i="83"/>
  <c r="C43" i="83"/>
  <c r="E45" i="83"/>
  <c r="C46" i="83"/>
  <c r="A47" i="83"/>
  <c r="D96" i="83"/>
  <c r="D28" i="83"/>
  <c r="E16" i="83"/>
  <c r="A18" i="83"/>
  <c r="A21" i="83"/>
  <c r="A22" i="83"/>
  <c r="A23" i="83"/>
  <c r="E25" i="83"/>
  <c r="B26" i="83"/>
  <c r="A29" i="83"/>
  <c r="A30" i="83"/>
  <c r="D31" i="83"/>
  <c r="D32" i="83"/>
  <c r="E33" i="83"/>
  <c r="E35" i="83"/>
  <c r="F36" i="83"/>
  <c r="F38" i="83"/>
  <c r="E39" i="83"/>
  <c r="F40" i="83"/>
  <c r="F41" i="83"/>
  <c r="F42" i="83"/>
  <c r="D43" i="83"/>
  <c r="F45" i="83"/>
  <c r="D46" i="83"/>
  <c r="B47" i="83"/>
  <c r="E96" i="83"/>
  <c r="A17" i="83"/>
  <c r="E23" i="83"/>
  <c r="A15" i="83"/>
  <c r="D18" i="83"/>
  <c r="B21" i="83"/>
  <c r="B22" i="83"/>
  <c r="B23" i="83"/>
  <c r="C26" i="83"/>
  <c r="B28" i="83"/>
  <c r="C29" i="83"/>
  <c r="B30" i="83"/>
  <c r="E31" i="83"/>
  <c r="F32" i="83"/>
  <c r="F33" i="83"/>
  <c r="A34" i="83"/>
  <c r="F35" i="83"/>
  <c r="A37" i="83"/>
  <c r="F39" i="83"/>
  <c r="E43" i="83"/>
  <c r="A44" i="83"/>
  <c r="E46" i="83"/>
  <c r="C47" i="83"/>
  <c r="F96" i="83"/>
  <c r="B20" i="83"/>
  <c r="E29" i="83"/>
  <c r="D15" i="83"/>
  <c r="E18" i="83"/>
  <c r="A20" i="83"/>
  <c r="C21" i="83"/>
  <c r="D22" i="83"/>
  <c r="D23" i="83"/>
  <c r="B24" i="83"/>
  <c r="E26" i="83"/>
  <c r="A27" i="83"/>
  <c r="C28" i="83"/>
  <c r="D29" i="83"/>
  <c r="D30" i="83"/>
  <c r="B34" i="83"/>
  <c r="B37" i="83"/>
  <c r="F43" i="83"/>
  <c r="B44" i="83"/>
  <c r="F46" i="83"/>
  <c r="D47" i="83"/>
  <c r="G96" i="83"/>
  <c r="E15" i="83"/>
  <c r="F21" i="83"/>
  <c r="C34" i="83"/>
  <c r="A45" i="83"/>
  <c r="D126" i="83"/>
  <c r="G131" i="83" s="1"/>
  <c r="A11" i="83" s="1"/>
  <c r="A126" i="83"/>
  <c r="G128" i="83" s="1"/>
  <c r="A8" i="83" s="1"/>
  <c r="B126" i="83"/>
  <c r="G129" i="83" s="1"/>
  <c r="A9" i="83" s="1"/>
  <c r="F126" i="83"/>
  <c r="G133" i="83" s="1"/>
  <c r="A13" i="83" s="1"/>
  <c r="C126" i="83"/>
  <c r="G130" i="83" s="1"/>
  <c r="A10" i="83" s="1"/>
  <c r="V64" i="83" l="1"/>
  <c r="X56" i="83"/>
  <c r="AB56" i="83"/>
  <c r="AF56" i="83"/>
  <c r="V63" i="83"/>
  <c r="X55" i="83"/>
  <c r="AB55" i="83"/>
  <c r="AF55" i="83"/>
  <c r="AG55" i="83" s="1"/>
  <c r="BN74" i="83" s="1"/>
  <c r="V65" i="83"/>
  <c r="X57" i="83"/>
  <c r="AB57" i="83"/>
  <c r="AF57" i="83"/>
  <c r="V66" i="83"/>
  <c r="X58" i="83"/>
  <c r="AB58" i="83"/>
  <c r="AF58" i="83"/>
  <c r="AG58" i="83" s="1"/>
  <c r="BQ74" i="83" s="1"/>
  <c r="G31" i="1027"/>
  <c r="V30" i="33255"/>
  <c r="Q30" i="33255" s="1"/>
  <c r="Q52" i="33255" s="1"/>
  <c r="L52" i="33255" s="1"/>
  <c r="A468" i="33253" s="1"/>
  <c r="A469" i="33253" s="1"/>
  <c r="T30" i="33255"/>
  <c r="O30" i="33255" s="1"/>
  <c r="O52" i="33255" s="1"/>
  <c r="J52" i="33255" s="1"/>
  <c r="A464" i="33253" s="1"/>
  <c r="A465" i="33253" s="1"/>
  <c r="U30" i="33255"/>
  <c r="P30" i="33255" s="1"/>
  <c r="P52" i="33255" s="1"/>
  <c r="K52" i="33255" s="1"/>
  <c r="A466" i="33253" s="1"/>
  <c r="A467" i="33253" s="1"/>
  <c r="S30" i="33255"/>
  <c r="N30" i="33255" s="1"/>
  <c r="N52" i="33255" s="1"/>
  <c r="I52" i="33255" s="1"/>
  <c r="A462" i="33253" s="1"/>
  <c r="A463" i="33253" s="1"/>
  <c r="R98" i="83"/>
  <c r="R99" i="83"/>
  <c r="F47" i="1027"/>
  <c r="A180" i="33253" s="1"/>
  <c r="F50" i="1027"/>
  <c r="A183" i="33253" s="1"/>
  <c r="F48" i="1027"/>
  <c r="A181" i="33253" s="1"/>
  <c r="F49" i="1027"/>
  <c r="A182" i="33253" s="1"/>
  <c r="I86" i="83"/>
  <c r="I87" i="83"/>
  <c r="I85" i="83"/>
  <c r="AQ5" i="83"/>
  <c r="I93" i="83"/>
  <c r="I95" i="83"/>
  <c r="I89" i="83"/>
  <c r="AS5" i="83"/>
  <c r="AB16" i="1027"/>
  <c r="H17" i="1027" s="1"/>
  <c r="I20" i="1027"/>
  <c r="F12" i="33258" s="1"/>
  <c r="AB20" i="1027"/>
  <c r="H21" i="1027" s="1"/>
  <c r="AB12" i="1027"/>
  <c r="H13" i="1027" s="1"/>
  <c r="AB8" i="1027"/>
  <c r="H9" i="1027" s="1"/>
  <c r="AN5" i="83"/>
  <c r="I90" i="83"/>
  <c r="P50" i="83"/>
  <c r="AO5" i="83"/>
  <c r="I92" i="83"/>
  <c r="N24" i="83"/>
  <c r="L24" i="83" s="1"/>
  <c r="J31" i="1027"/>
  <c r="R24" i="83"/>
  <c r="P24" i="83" s="1"/>
  <c r="W84" i="33254" s="1"/>
  <c r="N28" i="83"/>
  <c r="L28" i="83" s="1"/>
  <c r="X84" i="33254" s="1"/>
  <c r="I88" i="83"/>
  <c r="AK5" i="83"/>
  <c r="R28" i="83"/>
  <c r="B47" i="1027"/>
  <c r="I76" i="3"/>
  <c r="I77" i="3"/>
  <c r="I78" i="3"/>
  <c r="B50" i="1027"/>
  <c r="B48" i="1027"/>
  <c r="H76" i="3"/>
  <c r="H77" i="3"/>
  <c r="H78" i="3"/>
  <c r="AG57" i="83"/>
  <c r="BP74" i="83" s="1"/>
  <c r="B49" i="1027"/>
  <c r="B4" i="83"/>
  <c r="B11" i="83"/>
  <c r="D11" i="83"/>
  <c r="C11" i="83"/>
  <c r="F11" i="83"/>
  <c r="E11" i="83"/>
  <c r="C12" i="83"/>
  <c r="D12" i="83"/>
  <c r="F12" i="83"/>
  <c r="E12" i="83"/>
  <c r="B12" i="83"/>
  <c r="E10" i="83"/>
  <c r="F10" i="83"/>
  <c r="B10" i="83"/>
  <c r="D10" i="83"/>
  <c r="C10" i="83"/>
  <c r="C8" i="83"/>
  <c r="B8" i="83"/>
  <c r="D8" i="83"/>
  <c r="E8" i="83"/>
  <c r="F8" i="83"/>
  <c r="B9" i="83"/>
  <c r="C9" i="83"/>
  <c r="E9" i="83"/>
  <c r="F9" i="83"/>
  <c r="D9" i="83"/>
  <c r="C13" i="83"/>
  <c r="B13" i="83"/>
  <c r="D13" i="83"/>
  <c r="F13" i="83"/>
  <c r="E13" i="83"/>
  <c r="O78" i="33254" l="1"/>
  <c r="O79" i="33254" s="1"/>
  <c r="V84" i="33254"/>
  <c r="P78" i="33254"/>
  <c r="P84" i="33254"/>
  <c r="Q78" i="33254"/>
  <c r="Q84" i="33254"/>
  <c r="O84" i="33254"/>
  <c r="Q59" i="33254"/>
  <c r="V36" i="33254"/>
  <c r="O59" i="33254"/>
  <c r="P59" i="33254"/>
  <c r="AE74" i="33254"/>
  <c r="W36" i="33254"/>
  <c r="AF74" i="33254"/>
  <c r="X36" i="33254"/>
  <c r="G4" i="33258"/>
  <c r="C22" i="33257"/>
  <c r="B6" i="33255"/>
  <c r="K72" i="33254"/>
  <c r="C8" i="33254"/>
  <c r="K62" i="3"/>
  <c r="K47" i="3" s="1"/>
  <c r="K65" i="33257" s="1"/>
  <c r="L84" i="1027"/>
  <c r="A13" i="33253"/>
  <c r="AD74" i="33254"/>
  <c r="AD73" i="33254"/>
  <c r="AF73" i="33254"/>
  <c r="AE73" i="33254"/>
  <c r="E17" i="33258"/>
  <c r="D17" i="33258"/>
  <c r="C17" i="33258"/>
  <c r="X13" i="33254"/>
  <c r="X17" i="33254" s="1"/>
  <c r="X48" i="33254"/>
  <c r="Q95" i="33254"/>
  <c r="W33" i="33254"/>
  <c r="W35" i="33254" s="1"/>
  <c r="W13" i="33254"/>
  <c r="W17" i="33254" s="1"/>
  <c r="W48" i="33254"/>
  <c r="P95" i="33254"/>
  <c r="V13" i="33254"/>
  <c r="V17" i="33254" s="1"/>
  <c r="V25" i="33254" s="1"/>
  <c r="O95" i="33254"/>
  <c r="V48" i="33254"/>
  <c r="X33" i="33254"/>
  <c r="X35" i="33254" s="1"/>
  <c r="V33" i="33254"/>
  <c r="V35" i="33254" s="1"/>
  <c r="P79" i="33254"/>
  <c r="Q68" i="33254"/>
  <c r="P47" i="33254"/>
  <c r="P49" i="33254" s="1"/>
  <c r="P48" i="33254"/>
  <c r="P80" i="33254"/>
  <c r="P68" i="33254"/>
  <c r="P83" i="33254"/>
  <c r="P86" i="33254" s="1"/>
  <c r="O47" i="33254"/>
  <c r="O49" i="33254" s="1"/>
  <c r="O68" i="33254"/>
  <c r="O83" i="33254"/>
  <c r="O86" i="33254" s="1"/>
  <c r="O48" i="33254"/>
  <c r="O80" i="33254"/>
  <c r="Q47" i="33254"/>
  <c r="Q49" i="33254" s="1"/>
  <c r="Q48" i="33254"/>
  <c r="Q79" i="33254"/>
  <c r="Q80" i="33254"/>
  <c r="Q83" i="33254"/>
  <c r="Q86" i="33254" s="1"/>
  <c r="A167" i="33253"/>
  <c r="A24" i="33253"/>
  <c r="A22" i="33253"/>
  <c r="G48" i="83"/>
  <c r="BC157" i="83"/>
  <c r="A20" i="33253"/>
  <c r="AV9" i="83"/>
  <c r="AV14" i="83"/>
  <c r="AW9" i="83"/>
  <c r="AW14" i="83"/>
  <c r="AX9" i="83"/>
  <c r="AX14" i="83"/>
  <c r="AV7" i="83"/>
  <c r="AV6" i="83"/>
  <c r="AX7" i="83"/>
  <c r="AX6" i="83"/>
  <c r="AW7" i="83"/>
  <c r="AW6" i="83"/>
  <c r="P31" i="33254"/>
  <c r="Q31" i="33254"/>
  <c r="O31" i="33254"/>
  <c r="J35" i="83"/>
  <c r="J41" i="83"/>
  <c r="J43" i="83"/>
  <c r="J37" i="83"/>
  <c r="J42" i="83"/>
  <c r="J36" i="83"/>
  <c r="N132" i="83"/>
  <c r="P135" i="83"/>
  <c r="O132" i="83"/>
  <c r="BR55" i="83"/>
  <c r="BR56" i="83"/>
  <c r="BR57" i="83"/>
  <c r="I16" i="1027"/>
  <c r="F11" i="33258" s="1"/>
  <c r="AU157" i="83"/>
  <c r="P99" i="83"/>
  <c r="P97" i="83"/>
  <c r="G81" i="3"/>
  <c r="P98" i="83"/>
  <c r="F81" i="3"/>
  <c r="E50" i="1027"/>
  <c r="H81" i="3"/>
  <c r="AI37" i="83"/>
  <c r="AK37" i="83"/>
  <c r="N26" i="83"/>
  <c r="BT55" i="83"/>
  <c r="G38" i="1027"/>
  <c r="AG36" i="83"/>
  <c r="J99" i="83"/>
  <c r="BP55" i="83"/>
  <c r="AF16" i="83"/>
  <c r="J98" i="83"/>
  <c r="BM55" i="83"/>
  <c r="AV12" i="83"/>
  <c r="O97" i="83"/>
  <c r="Q97" i="83" s="1"/>
  <c r="BV55" i="83"/>
  <c r="BQ55" i="83"/>
  <c r="AV8" i="83"/>
  <c r="N23" i="83"/>
  <c r="BO55" i="83"/>
  <c r="AV10" i="83"/>
  <c r="BU55" i="83"/>
  <c r="AV13" i="83"/>
  <c r="J100" i="83"/>
  <c r="AV11" i="83"/>
  <c r="BS55" i="83"/>
  <c r="K4" i="83"/>
  <c r="G30" i="1027" s="1"/>
  <c r="I12" i="1027"/>
  <c r="F10" i="33258" s="1"/>
  <c r="S97" i="83"/>
  <c r="AG37" i="83"/>
  <c r="K64" i="3"/>
  <c r="BK157" i="83"/>
  <c r="CA157" i="83"/>
  <c r="BS157" i="83"/>
  <c r="AE157" i="83"/>
  <c r="W157" i="83"/>
  <c r="CQ157" i="83"/>
  <c r="O157" i="83"/>
  <c r="CI157" i="83"/>
  <c r="AM157" i="83"/>
  <c r="C51" i="83"/>
  <c r="G157" i="83"/>
  <c r="BM57" i="83"/>
  <c r="AX10" i="83"/>
  <c r="O4" i="83"/>
  <c r="I30" i="1027" s="1"/>
  <c r="N30" i="83"/>
  <c r="I38" i="1027"/>
  <c r="R23" i="83"/>
  <c r="AW11" i="83"/>
  <c r="O98" i="83"/>
  <c r="Q98" i="83" s="1"/>
  <c r="M4" i="83"/>
  <c r="Q24" i="83" s="1"/>
  <c r="AI36" i="83"/>
  <c r="BV56" i="83"/>
  <c r="AW8" i="83"/>
  <c r="BM56" i="83"/>
  <c r="BO56" i="83"/>
  <c r="K99" i="83"/>
  <c r="K100" i="83"/>
  <c r="AF17" i="83"/>
  <c r="AW10" i="83"/>
  <c r="BU56" i="83"/>
  <c r="K98" i="83"/>
  <c r="AW12" i="83"/>
  <c r="BT56" i="83"/>
  <c r="S98" i="83"/>
  <c r="AW13" i="83"/>
  <c r="BQ56" i="83"/>
  <c r="R26" i="83"/>
  <c r="BP56" i="83"/>
  <c r="BS56" i="83"/>
  <c r="BV57" i="83"/>
  <c r="BO57" i="83"/>
  <c r="BS57" i="83"/>
  <c r="L99" i="83"/>
  <c r="L98" i="83"/>
  <c r="N27" i="83"/>
  <c r="AF18" i="83"/>
  <c r="O99" i="83"/>
  <c r="Q99" i="83" s="1"/>
  <c r="S99" i="83"/>
  <c r="AK36" i="83"/>
  <c r="AX11" i="83"/>
  <c r="BP57" i="83"/>
  <c r="BQ57" i="83"/>
  <c r="AX13" i="83"/>
  <c r="BU57" i="83"/>
  <c r="AX8" i="83"/>
  <c r="BT57" i="83"/>
  <c r="AX12" i="83"/>
  <c r="L100" i="83"/>
  <c r="P28" i="83"/>
  <c r="Y84" i="33254" s="1"/>
  <c r="I8" i="1027"/>
  <c r="F9" i="33258" s="1"/>
  <c r="J54" i="83"/>
  <c r="G42" i="1027" s="1"/>
  <c r="J56" i="83"/>
  <c r="I42" i="1027" s="1"/>
  <c r="F51" i="83"/>
  <c r="X59" i="83"/>
  <c r="D51" i="83"/>
  <c r="C4" i="83"/>
  <c r="F30" i="1027" s="1"/>
  <c r="J57" i="83"/>
  <c r="J42" i="1027" s="1"/>
  <c r="F4" i="83"/>
  <c r="D4" i="83"/>
  <c r="J55" i="83"/>
  <c r="X82" i="33254" l="1"/>
  <c r="X81" i="33254"/>
  <c r="X34" i="33254" s="1"/>
  <c r="V82" i="33254"/>
  <c r="V81" i="33254"/>
  <c r="V34" i="33254" s="1"/>
  <c r="W82" i="33254"/>
  <c r="W81" i="33254"/>
  <c r="R84" i="33254"/>
  <c r="S84" i="33254" s="1"/>
  <c r="O85" i="33254" s="1"/>
  <c r="R78" i="33254"/>
  <c r="R59" i="33254"/>
  <c r="V78" i="33254"/>
  <c r="O30" i="33254"/>
  <c r="O32" i="33254" s="1"/>
  <c r="W78" i="33254"/>
  <c r="X78" i="33254"/>
  <c r="AG74" i="33254"/>
  <c r="AI74" i="33254" s="1"/>
  <c r="Y36" i="33254"/>
  <c r="AG73" i="33254"/>
  <c r="AI73" i="33254" s="1"/>
  <c r="F17" i="33258"/>
  <c r="E37" i="33258"/>
  <c r="E36" i="33258"/>
  <c r="D36" i="33258"/>
  <c r="D37" i="33258"/>
  <c r="C37" i="33258"/>
  <c r="C36" i="33258"/>
  <c r="Y13" i="33254"/>
  <c r="Y17" i="33254" s="1"/>
  <c r="Y25" i="33254" s="1"/>
  <c r="Y48" i="33254"/>
  <c r="R95" i="33254"/>
  <c r="Y33" i="33254"/>
  <c r="V50" i="33254"/>
  <c r="A566" i="33253"/>
  <c r="X50" i="33254"/>
  <c r="A568" i="33253"/>
  <c r="W50" i="33254"/>
  <c r="A567" i="33253"/>
  <c r="W49" i="33254"/>
  <c r="A572" i="33253"/>
  <c r="X49" i="33254"/>
  <c r="A573" i="33253"/>
  <c r="V49" i="33254"/>
  <c r="A571" i="33253"/>
  <c r="R47" i="33254"/>
  <c r="R49" i="33254" s="1"/>
  <c r="R48" i="33254"/>
  <c r="S48" i="33254" s="1"/>
  <c r="R83" i="33254"/>
  <c r="R86" i="33254" s="1"/>
  <c r="S86" i="33254" s="1"/>
  <c r="R80" i="33254"/>
  <c r="S80" i="33254" s="1"/>
  <c r="R68" i="33254"/>
  <c r="R79" i="33254"/>
  <c r="O43" i="33254"/>
  <c r="X25" i="33254"/>
  <c r="W25" i="33254"/>
  <c r="AF13" i="33254"/>
  <c r="AF14" i="33254" s="1"/>
  <c r="X14" i="33254"/>
  <c r="AG13" i="33254"/>
  <c r="AG14" i="33254" s="1"/>
  <c r="AE13" i="33254"/>
  <c r="AE14" i="33254" s="1"/>
  <c r="A165" i="33253"/>
  <c r="A164" i="33253"/>
  <c r="A166" i="33253"/>
  <c r="K43" i="3"/>
  <c r="Q26" i="33254"/>
  <c r="Q43" i="33254"/>
  <c r="P26" i="33254"/>
  <c r="P43" i="33254"/>
  <c r="O26" i="33254"/>
  <c r="W14" i="33254"/>
  <c r="K42" i="3"/>
  <c r="Y14" i="33254"/>
  <c r="A26" i="33253"/>
  <c r="G49" i="83"/>
  <c r="J47" i="83"/>
  <c r="AY9" i="83"/>
  <c r="AZ9" i="83" s="1"/>
  <c r="AY14" i="83"/>
  <c r="AZ14" i="83" s="1"/>
  <c r="R31" i="33254"/>
  <c r="AY7" i="83"/>
  <c r="AZ7" i="83" s="1"/>
  <c r="AY6" i="83"/>
  <c r="AZ6" i="83" s="1"/>
  <c r="J44" i="83"/>
  <c r="J38" i="83"/>
  <c r="P30" i="33254"/>
  <c r="P32" i="33254" s="1"/>
  <c r="Q30" i="33254"/>
  <c r="Q32" i="33254" s="1"/>
  <c r="O20" i="33254"/>
  <c r="P20" i="33254"/>
  <c r="P33" i="33254"/>
  <c r="D25" i="33258" s="1"/>
  <c r="Q20" i="33254"/>
  <c r="R52" i="33255"/>
  <c r="K41" i="33257" s="1"/>
  <c r="Q135" i="83"/>
  <c r="Q136" i="83"/>
  <c r="Q137" i="83"/>
  <c r="Q132" i="83"/>
  <c r="M130" i="83"/>
  <c r="R130" i="83"/>
  <c r="M135" i="83"/>
  <c r="R135" i="83"/>
  <c r="M131" i="83"/>
  <c r="R131" i="83"/>
  <c r="R136" i="83"/>
  <c r="M136" i="83"/>
  <c r="M133" i="83"/>
  <c r="R133" i="83"/>
  <c r="R127" i="83"/>
  <c r="M127" i="83"/>
  <c r="R128" i="83"/>
  <c r="M128" i="83"/>
  <c r="M132" i="83"/>
  <c r="R132" i="83"/>
  <c r="M129" i="83"/>
  <c r="R129" i="83"/>
  <c r="M134" i="83"/>
  <c r="R134" i="83"/>
  <c r="R126" i="83"/>
  <c r="M126" i="83"/>
  <c r="BR58" i="83"/>
  <c r="E49" i="1027"/>
  <c r="K39" i="3"/>
  <c r="J24" i="3"/>
  <c r="B32" i="3"/>
  <c r="I81" i="3"/>
  <c r="P100" i="83"/>
  <c r="K21" i="3"/>
  <c r="J101" i="83"/>
  <c r="E47" i="1027"/>
  <c r="E48" i="1027"/>
  <c r="AM37" i="83"/>
  <c r="J46" i="3"/>
  <c r="H30" i="1027"/>
  <c r="M28" i="83"/>
  <c r="K101" i="83"/>
  <c r="P26" i="83" s="1"/>
  <c r="L101" i="83"/>
  <c r="L30" i="83" s="1"/>
  <c r="R39" i="83"/>
  <c r="Q39" i="83" s="1"/>
  <c r="N3" i="83"/>
  <c r="S3" i="83"/>
  <c r="J89" i="3"/>
  <c r="J90" i="3"/>
  <c r="S1" i="83"/>
  <c r="Q1" i="83"/>
  <c r="AM36" i="83"/>
  <c r="BT58" i="83"/>
  <c r="S2" i="83"/>
  <c r="M98" i="83"/>
  <c r="S4" i="83"/>
  <c r="M6" i="83" s="1"/>
  <c r="R30" i="83"/>
  <c r="AY13" i="83"/>
  <c r="AZ13" i="83" s="1"/>
  <c r="BU58" i="83"/>
  <c r="O100" i="83"/>
  <c r="O101" i="83" s="1"/>
  <c r="AY10" i="83"/>
  <c r="AZ10" i="83" s="1"/>
  <c r="Q4" i="83"/>
  <c r="Q28" i="83" s="1"/>
  <c r="M99" i="83"/>
  <c r="S100" i="83"/>
  <c r="J38" i="1027"/>
  <c r="BQ58" i="83"/>
  <c r="AY11" i="83"/>
  <c r="AZ11" i="83" s="1"/>
  <c r="AY8" i="83"/>
  <c r="AZ8" i="83" s="1"/>
  <c r="BS58" i="83"/>
  <c r="AF19" i="83"/>
  <c r="M100" i="83"/>
  <c r="BM58" i="83"/>
  <c r="R27" i="83"/>
  <c r="BV58" i="83"/>
  <c r="BO58" i="83"/>
  <c r="D16" i="3" s="1"/>
  <c r="S22" i="83"/>
  <c r="AY12" i="83"/>
  <c r="AZ12" i="83" s="1"/>
  <c r="B69" i="33254" s="1"/>
  <c r="J69" i="33254" s="1"/>
  <c r="A372" i="33253" s="1"/>
  <c r="A373" i="33253" s="1"/>
  <c r="BP58" i="83"/>
  <c r="BP59" i="83" s="1"/>
  <c r="J49" i="83"/>
  <c r="J48" i="83"/>
  <c r="H42" i="1027"/>
  <c r="Q85" i="33254" l="1"/>
  <c r="Y82" i="33254"/>
  <c r="Y81" i="33254"/>
  <c r="Y34" i="33254" s="1"/>
  <c r="P85" i="33254"/>
  <c r="P81" i="33254"/>
  <c r="P82" i="33254" s="1"/>
  <c r="R81" i="33254"/>
  <c r="R82" i="33254" s="1"/>
  <c r="O81" i="33254"/>
  <c r="O82" i="33254" s="1"/>
  <c r="Q81" i="33254"/>
  <c r="Q82" i="33254" s="1"/>
  <c r="R85" i="33254"/>
  <c r="Y78" i="33254"/>
  <c r="Z78" i="33254" s="1"/>
  <c r="AI75" i="33254"/>
  <c r="F36" i="33258"/>
  <c r="F37" i="33258"/>
  <c r="Z33" i="33254"/>
  <c r="Y35" i="33254"/>
  <c r="S47" i="33254"/>
  <c r="B45" i="33254" s="1"/>
  <c r="Y50" i="33254"/>
  <c r="A569" i="33253"/>
  <c r="Y49" i="33254"/>
  <c r="A574" i="33253"/>
  <c r="R43" i="33254"/>
  <c r="A507" i="33253"/>
  <c r="A508" i="33253" s="1"/>
  <c r="L41" i="33257"/>
  <c r="V15" i="33254"/>
  <c r="V18" i="33254" s="1"/>
  <c r="AD15" i="33254"/>
  <c r="W15" i="33254"/>
  <c r="W18" i="33254" s="1"/>
  <c r="AE15" i="33254"/>
  <c r="X15" i="33254"/>
  <c r="X18" i="33254" s="1"/>
  <c r="AF15" i="33254"/>
  <c r="AH13" i="33254"/>
  <c r="AH14" i="33254"/>
  <c r="Q6" i="83"/>
  <c r="Q5" i="83"/>
  <c r="O5" i="83"/>
  <c r="O6" i="83"/>
  <c r="R26" i="33254"/>
  <c r="Z14" i="33254"/>
  <c r="Z25" i="33254" s="1"/>
  <c r="H37" i="33257" s="1"/>
  <c r="M5" i="83"/>
  <c r="W85" i="33254" s="1"/>
  <c r="I64" i="33257"/>
  <c r="D64" i="33254"/>
  <c r="B66" i="3"/>
  <c r="D64" i="33257"/>
  <c r="B64" i="33257"/>
  <c r="R20" i="33254"/>
  <c r="S20" i="33254" s="1"/>
  <c r="R30" i="33254"/>
  <c r="S30" i="33254" s="1"/>
  <c r="S31" i="33254"/>
  <c r="N139" i="83"/>
  <c r="O139" i="83"/>
  <c r="P139" i="83"/>
  <c r="Q139" i="83"/>
  <c r="D15" i="33254"/>
  <c r="B64" i="33254"/>
  <c r="B72" i="3"/>
  <c r="D69" i="33254"/>
  <c r="B69" i="3"/>
  <c r="D66" i="33254"/>
  <c r="B66" i="33254"/>
  <c r="K66" i="33254" s="1"/>
  <c r="A364" i="33253" s="1"/>
  <c r="A365" i="33253" s="1"/>
  <c r="D70" i="3"/>
  <c r="D67" i="33254"/>
  <c r="B67" i="33254"/>
  <c r="D65" i="33254"/>
  <c r="B65" i="33254"/>
  <c r="J65" i="33254" s="1"/>
  <c r="A360" i="33253" s="1"/>
  <c r="A361" i="33253" s="1"/>
  <c r="B71" i="3"/>
  <c r="B68" i="33254"/>
  <c r="D68" i="33254"/>
  <c r="L26" i="83"/>
  <c r="I73" i="3"/>
  <c r="J103" i="83"/>
  <c r="N134" i="83" s="1"/>
  <c r="J102" i="83"/>
  <c r="J109" i="83"/>
  <c r="K103" i="83"/>
  <c r="O134" i="83" s="1"/>
  <c r="K109" i="83"/>
  <c r="L102" i="83"/>
  <c r="L109" i="83"/>
  <c r="B67" i="3"/>
  <c r="B68" i="3"/>
  <c r="D68" i="3"/>
  <c r="K102" i="83"/>
  <c r="L103" i="83"/>
  <c r="P134" i="83" s="1"/>
  <c r="J50" i="83"/>
  <c r="M101" i="83"/>
  <c r="D69" i="3"/>
  <c r="L30" i="1027"/>
  <c r="K5" i="83"/>
  <c r="V85" i="33254" s="1"/>
  <c r="Q100" i="83"/>
  <c r="K6" i="83"/>
  <c r="J30" i="1027"/>
  <c r="D72" i="3"/>
  <c r="B70" i="3"/>
  <c r="AE5" i="83"/>
  <c r="D71" i="3"/>
  <c r="X83" i="33254" l="1"/>
  <c r="X85" i="33254"/>
  <c r="Y83" i="33254"/>
  <c r="Y85" i="33254"/>
  <c r="O55" i="33254"/>
  <c r="V83" i="33254"/>
  <c r="P55" i="33254"/>
  <c r="Q55" i="33254"/>
  <c r="R55" i="33254"/>
  <c r="O89" i="33254"/>
  <c r="P89" i="33254"/>
  <c r="P90" i="33254" s="1"/>
  <c r="Q89" i="33254"/>
  <c r="Q90" i="33254" s="1"/>
  <c r="Q91" i="33254" s="1"/>
  <c r="Q92" i="33254" s="1"/>
  <c r="A333" i="33253" s="1"/>
  <c r="R89" i="33254"/>
  <c r="R90" i="33254" s="1"/>
  <c r="R97" i="33254" s="1"/>
  <c r="S85" i="33254"/>
  <c r="R88" i="33254"/>
  <c r="Q88" i="33254"/>
  <c r="P88" i="33254"/>
  <c r="Q25" i="33254"/>
  <c r="R25" i="33254"/>
  <c r="A242" i="33253" s="1"/>
  <c r="P25" i="33254"/>
  <c r="W83" i="33254" s="1"/>
  <c r="O25" i="33254"/>
  <c r="P136" i="83"/>
  <c r="P133" i="83"/>
  <c r="I32" i="1027"/>
  <c r="P131" i="83"/>
  <c r="P137" i="83"/>
  <c r="N137" i="83"/>
  <c r="N135" i="83"/>
  <c r="O137" i="83"/>
  <c r="O136" i="83"/>
  <c r="A477" i="33253"/>
  <c r="N133" i="83"/>
  <c r="N136" i="83"/>
  <c r="O131" i="83"/>
  <c r="O135" i="83"/>
  <c r="X47" i="33254"/>
  <c r="A38" i="33253"/>
  <c r="R62" i="83"/>
  <c r="A37" i="33253"/>
  <c r="AF17" i="33254"/>
  <c r="AE17" i="33254"/>
  <c r="AD17" i="33254"/>
  <c r="Y15" i="33254"/>
  <c r="Y18" i="33254" s="1"/>
  <c r="AG15" i="33254"/>
  <c r="AG17" i="33254" s="1"/>
  <c r="L105" i="83"/>
  <c r="K17" i="3"/>
  <c r="P30" i="83"/>
  <c r="R6" i="83" s="1"/>
  <c r="P126" i="83"/>
  <c r="P132" i="83"/>
  <c r="D67" i="3"/>
  <c r="O130" i="83"/>
  <c r="O133" i="83"/>
  <c r="O127" i="83"/>
  <c r="O129" i="83"/>
  <c r="R32" i="33254"/>
  <c r="S32" i="33254" s="1"/>
  <c r="S26" i="33254"/>
  <c r="S43" i="33254"/>
  <c r="O126" i="83"/>
  <c r="O128" i="83"/>
  <c r="N127" i="83"/>
  <c r="N129" i="83"/>
  <c r="P130" i="83"/>
  <c r="P129" i="83"/>
  <c r="P128" i="83"/>
  <c r="P127" i="83"/>
  <c r="N130" i="83"/>
  <c r="N128" i="83"/>
  <c r="N131" i="83"/>
  <c r="N126" i="83"/>
  <c r="O124" i="83"/>
  <c r="B63" i="33254"/>
  <c r="J63" i="33254" s="1"/>
  <c r="A352" i="33253" s="1"/>
  <c r="AG35" i="83"/>
  <c r="AG38" i="83" s="1"/>
  <c r="AG41" i="83" s="1"/>
  <c r="J27" i="83" s="1"/>
  <c r="F94" i="3" s="1"/>
  <c r="R61" i="83"/>
  <c r="A36" i="33253"/>
  <c r="R60" i="83"/>
  <c r="A35" i="33253"/>
  <c r="J32" i="1027"/>
  <c r="R63" i="83"/>
  <c r="N124" i="83"/>
  <c r="M102" i="83"/>
  <c r="M109" i="83"/>
  <c r="AK35" i="83"/>
  <c r="AK38" i="83" s="1"/>
  <c r="AK41" i="83" s="1"/>
  <c r="J29" i="83" s="1"/>
  <c r="H94" i="3" s="1"/>
  <c r="AI35" i="83"/>
  <c r="AM35" i="83"/>
  <c r="R37" i="83"/>
  <c r="H37" i="3" s="1"/>
  <c r="R38" i="83"/>
  <c r="R35" i="83"/>
  <c r="R36" i="83"/>
  <c r="G37" i="3" s="1"/>
  <c r="P124" i="83"/>
  <c r="K105" i="83"/>
  <c r="J105" i="83"/>
  <c r="M103" i="83"/>
  <c r="G32" i="1027"/>
  <c r="H32" i="1027"/>
  <c r="K104" i="83"/>
  <c r="K107" i="83" s="1"/>
  <c r="M105" i="83"/>
  <c r="K19" i="3"/>
  <c r="K23" i="3" s="1"/>
  <c r="K91" i="3"/>
  <c r="J104" i="83"/>
  <c r="L104" i="83"/>
  <c r="L107" i="83" s="1"/>
  <c r="F75" i="3"/>
  <c r="K75" i="3" s="1"/>
  <c r="F85" i="3"/>
  <c r="K85" i="3" s="1"/>
  <c r="L25" i="83"/>
  <c r="G37" i="1027" s="1"/>
  <c r="P44" i="33254" l="1"/>
  <c r="A577" i="33253" s="1"/>
  <c r="A240" i="33253"/>
  <c r="W79" i="33254"/>
  <c r="W80" i="33254" s="1"/>
  <c r="W86" i="33254" s="1"/>
  <c r="V79" i="33254"/>
  <c r="V80" i="33254" s="1"/>
  <c r="V86" i="33254" s="1"/>
  <c r="O33" i="33254"/>
  <c r="C25" i="33258" s="1"/>
  <c r="R87" i="33254"/>
  <c r="P97" i="33254"/>
  <c r="Q97" i="33254"/>
  <c r="W47" i="33254"/>
  <c r="A237" i="33253"/>
  <c r="A238" i="33253" s="1"/>
  <c r="D24" i="33258"/>
  <c r="F24" i="33258"/>
  <c r="Y79" i="33254"/>
  <c r="Y80" i="33254" s="1"/>
  <c r="Y86" i="33254" s="1"/>
  <c r="R33" i="33254"/>
  <c r="F25" i="33258" s="1"/>
  <c r="X79" i="33254"/>
  <c r="Q33" i="33254"/>
  <c r="Q130" i="83"/>
  <c r="Q134" i="83"/>
  <c r="A241" i="33253"/>
  <c r="E24" i="33258"/>
  <c r="K21" i="33254"/>
  <c r="AI65" i="33254"/>
  <c r="S68" i="33254"/>
  <c r="Q93" i="33254"/>
  <c r="A337" i="33253" s="1"/>
  <c r="R91" i="33254"/>
  <c r="R93" i="33254" s="1"/>
  <c r="R94" i="33254" s="1"/>
  <c r="P91" i="33254"/>
  <c r="Y47" i="33254"/>
  <c r="Z48" i="33254"/>
  <c r="Q45" i="33257" s="1"/>
  <c r="S59" i="33254"/>
  <c r="AH17" i="33254"/>
  <c r="I37" i="3"/>
  <c r="S38" i="83"/>
  <c r="AF13" i="83"/>
  <c r="BA13" i="83"/>
  <c r="Z62" i="33254"/>
  <c r="BA14" i="83" s="1"/>
  <c r="E56" i="33254"/>
  <c r="Z18" i="33254"/>
  <c r="F37" i="33257" s="1"/>
  <c r="K37" i="33257" s="1"/>
  <c r="Q127" i="83"/>
  <c r="Q129" i="83"/>
  <c r="Q131" i="83"/>
  <c r="Q128" i="83"/>
  <c r="Q126" i="83"/>
  <c r="Q133" i="83"/>
  <c r="BR59" i="83"/>
  <c r="K23" i="33254"/>
  <c r="K24" i="3"/>
  <c r="T51" i="83"/>
  <c r="T52" i="83"/>
  <c r="R64" i="83"/>
  <c r="N138" i="83"/>
  <c r="G43" i="1027" s="1"/>
  <c r="H88" i="3"/>
  <c r="O138" i="83"/>
  <c r="H43" i="1027" s="1"/>
  <c r="AK50" i="83"/>
  <c r="V51" i="83"/>
  <c r="V52" i="83"/>
  <c r="S37" i="83"/>
  <c r="S36" i="83"/>
  <c r="S35" i="83"/>
  <c r="W52" i="83"/>
  <c r="W51" i="83"/>
  <c r="U51" i="83"/>
  <c r="U52" i="83"/>
  <c r="AI38" i="83"/>
  <c r="AI41" i="83" s="1"/>
  <c r="J28" i="83" s="1"/>
  <c r="F88" i="3"/>
  <c r="AM50" i="83"/>
  <c r="AM38" i="83"/>
  <c r="AM41" i="83" s="1"/>
  <c r="J30" i="83" s="1"/>
  <c r="I94" i="3" s="1"/>
  <c r="P25" i="83"/>
  <c r="H37" i="1027" s="1"/>
  <c r="L42" i="1027"/>
  <c r="K46" i="3"/>
  <c r="D47" i="3" s="1"/>
  <c r="P138" i="83"/>
  <c r="I43" i="1027" s="1"/>
  <c r="N105" i="83"/>
  <c r="M104" i="83"/>
  <c r="M107" i="83" s="1"/>
  <c r="N103" i="83"/>
  <c r="S5" i="83" s="1"/>
  <c r="Q124" i="83"/>
  <c r="BV59" i="83"/>
  <c r="H41" i="1027"/>
  <c r="BT59" i="83"/>
  <c r="K106" i="83"/>
  <c r="J107" i="83"/>
  <c r="N2" i="83"/>
  <c r="L33" i="1027" s="1"/>
  <c r="J106" i="83"/>
  <c r="K89" i="3"/>
  <c r="BS59" i="83"/>
  <c r="K25" i="3" s="1"/>
  <c r="F52" i="1027"/>
  <c r="BQ59" i="83"/>
  <c r="L32" i="1027"/>
  <c r="BU59" i="83"/>
  <c r="K92" i="3"/>
  <c r="J51" i="83"/>
  <c r="BR72" i="83"/>
  <c r="BR73" i="83" s="1"/>
  <c r="BR76" i="83" s="1"/>
  <c r="BR77" i="83" s="1"/>
  <c r="K79" i="3"/>
  <c r="I41" i="1027"/>
  <c r="L106" i="83"/>
  <c r="F77" i="3"/>
  <c r="F76" i="3"/>
  <c r="F78" i="3"/>
  <c r="AG50" i="83"/>
  <c r="W34" i="33254" l="1"/>
  <c r="W37" i="33254" s="1"/>
  <c r="Z79" i="33254"/>
  <c r="Z80" i="33254" s="1"/>
  <c r="Z81" i="33254" s="1"/>
  <c r="X80" i="33254"/>
  <c r="X86" i="33254" s="1"/>
  <c r="Q87" i="33254"/>
  <c r="P87" i="33254"/>
  <c r="Y38" i="33254"/>
  <c r="Y39" i="33254"/>
  <c r="R99" i="33254"/>
  <c r="R100" i="33254" s="1"/>
  <c r="A559" i="33253" s="1"/>
  <c r="E47" i="3"/>
  <c r="R44" i="33254"/>
  <c r="A579" i="33253" s="1"/>
  <c r="E25" i="33258"/>
  <c r="S33" i="33254"/>
  <c r="Q44" i="33254"/>
  <c r="A578" i="33253" s="1"/>
  <c r="Q94" i="33254"/>
  <c r="A563" i="33253" s="1"/>
  <c r="A346" i="33253"/>
  <c r="J94" i="3"/>
  <c r="G94" i="3"/>
  <c r="Q99" i="33254"/>
  <c r="Q100" i="33254" s="1"/>
  <c r="R92" i="33254"/>
  <c r="Z49" i="33254"/>
  <c r="Q46" i="33257" s="1"/>
  <c r="A575" i="33253"/>
  <c r="Z50" i="33254"/>
  <c r="Q47" i="33257" s="1"/>
  <c r="A570" i="33253"/>
  <c r="P92" i="33254"/>
  <c r="P93" i="33254"/>
  <c r="P94" i="33254" s="1"/>
  <c r="P99" i="33254"/>
  <c r="P100" i="33254" s="1"/>
  <c r="A557" i="33253" s="1"/>
  <c r="I35" i="1027"/>
  <c r="H17" i="33254" s="1"/>
  <c r="X46" i="33254"/>
  <c r="H35" i="1027"/>
  <c r="G17" i="33254" s="1"/>
  <c r="W46" i="33254"/>
  <c r="G35" i="1027"/>
  <c r="F17" i="33254" s="1"/>
  <c r="V46" i="33254"/>
  <c r="A338" i="33253"/>
  <c r="K30" i="3"/>
  <c r="A476" i="33253"/>
  <c r="AF14" i="83"/>
  <c r="B71" i="33254" s="1"/>
  <c r="J71" i="33254" s="1"/>
  <c r="A378" i="33253" s="1"/>
  <c r="A379" i="33253" s="1"/>
  <c r="D71" i="33254"/>
  <c r="B70" i="33254"/>
  <c r="B73" i="3"/>
  <c r="D70" i="33254"/>
  <c r="D73" i="3"/>
  <c r="H86" i="1027"/>
  <c r="G86" i="1027"/>
  <c r="I86" i="1027"/>
  <c r="H80" i="3"/>
  <c r="F82" i="3"/>
  <c r="AK49" i="83"/>
  <c r="H27" i="3" s="1"/>
  <c r="H57" i="1027"/>
  <c r="K41" i="3"/>
  <c r="K40" i="3"/>
  <c r="H82" i="3"/>
  <c r="I88" i="3"/>
  <c r="G88" i="3"/>
  <c r="F80" i="3"/>
  <c r="AM49" i="83"/>
  <c r="I27" i="3" s="1"/>
  <c r="P29" i="83"/>
  <c r="J37" i="1027" s="1"/>
  <c r="M106" i="83"/>
  <c r="N106" i="83" s="1"/>
  <c r="N108" i="83" s="1"/>
  <c r="G41" i="1027"/>
  <c r="Q138" i="83"/>
  <c r="J43" i="1027" s="1"/>
  <c r="I57" i="1027"/>
  <c r="K90" i="3" s="1"/>
  <c r="J57" i="1027"/>
  <c r="B57" i="1027"/>
  <c r="G57" i="1027"/>
  <c r="AG49" i="83"/>
  <c r="F27" i="3" s="1"/>
  <c r="AG56" i="83"/>
  <c r="X37" i="33254" l="1"/>
  <c r="Y37" i="33254"/>
  <c r="V37" i="33254"/>
  <c r="W38" i="33254"/>
  <c r="W39" i="33254"/>
  <c r="X38" i="33254"/>
  <c r="X39" i="33254"/>
  <c r="A334" i="33253"/>
  <c r="D20" i="33258"/>
  <c r="E20" i="33258"/>
  <c r="C20" i="33258"/>
  <c r="A558" i="33253"/>
  <c r="A336" i="33253"/>
  <c r="A541" i="33253"/>
  <c r="A332" i="33253"/>
  <c r="A564" i="33253"/>
  <c r="AE18" i="33254"/>
  <c r="AE19" i="33254" s="1"/>
  <c r="AE20" i="33254" s="1"/>
  <c r="AD18" i="33254"/>
  <c r="AD19" i="33254" s="1"/>
  <c r="AD20" i="33254" s="1"/>
  <c r="AF18" i="33254"/>
  <c r="AF19" i="33254" s="1"/>
  <c r="AF20" i="33254" s="1"/>
  <c r="J35" i="1027"/>
  <c r="I17" i="33254" s="1"/>
  <c r="Y46" i="33254"/>
  <c r="Z46" i="33254" s="1"/>
  <c r="Q48" i="33257" s="1"/>
  <c r="A478" i="33253"/>
  <c r="A479" i="33253" s="1"/>
  <c r="L37" i="33257"/>
  <c r="AG18" i="33254"/>
  <c r="J86" i="1027"/>
  <c r="G82" i="3"/>
  <c r="I82" i="3"/>
  <c r="M57" i="1027"/>
  <c r="J41" i="1027"/>
  <c r="I80" i="3"/>
  <c r="G80" i="3"/>
  <c r="M72" i="83"/>
  <c r="BO74" i="83"/>
  <c r="BR74" i="83" s="1"/>
  <c r="AG59" i="83"/>
  <c r="Z34" i="33254" l="1"/>
  <c r="Z37" i="33254"/>
  <c r="A539" i="33253"/>
  <c r="A540" i="33253"/>
  <c r="F20" i="33258"/>
  <c r="A542" i="33253"/>
  <c r="A562" i="33253"/>
  <c r="AH18" i="33254"/>
  <c r="AG19" i="33254"/>
  <c r="AG20" i="33254" s="1"/>
  <c r="AH20" i="33254" s="1"/>
  <c r="L41" i="1027"/>
  <c r="F37" i="3"/>
  <c r="K37" i="3" s="1"/>
  <c r="M73" i="83"/>
  <c r="AH19" i="33254" l="1"/>
  <c r="T2" i="1027"/>
  <c r="M75" i="83"/>
  <c r="L43" i="1027" l="1"/>
  <c r="F38" i="33257" s="1"/>
  <c r="G86" i="3"/>
  <c r="G45" i="3" l="1"/>
  <c r="A122" i="33253" s="1"/>
  <c r="G58" i="1027"/>
  <c r="H38" i="1027"/>
  <c r="BW28" i="83"/>
  <c r="D25" i="3" s="1"/>
  <c r="A480" i="33253" l="1"/>
  <c r="H36" i="1027"/>
  <c r="E25" i="3"/>
  <c r="I86" i="3"/>
  <c r="I45" i="3" l="1"/>
  <c r="A124" i="33253" s="1"/>
  <c r="G87" i="3"/>
  <c r="F87" i="3"/>
  <c r="L29" i="83"/>
  <c r="I37" i="1027" s="1"/>
  <c r="J36" i="1027" l="1"/>
  <c r="I87" i="3"/>
  <c r="M74" i="83"/>
  <c r="H86" i="3" l="1"/>
  <c r="H45" i="3" l="1"/>
  <c r="A123" i="33253" s="1"/>
  <c r="I36" i="1027" l="1"/>
  <c r="H87" i="3"/>
  <c r="F74" i="3" l="1"/>
  <c r="K74" i="3" s="1"/>
  <c r="F86" i="3" l="1"/>
  <c r="F45" i="3" s="1"/>
  <c r="A121" i="33253" s="1"/>
  <c r="K93" i="3"/>
  <c r="AI50" i="83"/>
  <c r="K45" i="3" l="1"/>
  <c r="AO50" i="83"/>
  <c r="AI49" i="83"/>
  <c r="G27" i="3" s="1"/>
  <c r="G77" i="3"/>
  <c r="G78" i="3"/>
  <c r="G76" i="3"/>
  <c r="D38" i="3" l="1"/>
  <c r="E43" i="33254"/>
  <c r="G36" i="1027"/>
  <c r="L36" i="1027"/>
  <c r="AO49" i="83"/>
  <c r="A205" i="33253" l="1"/>
  <c r="A206" i="33253"/>
  <c r="A207" i="33253"/>
  <c r="A204" i="33253" l="1"/>
  <c r="AC2" i="1027"/>
  <c r="G34" i="1027"/>
  <c r="AD32" i="33254" s="1"/>
  <c r="I34" i="1027"/>
  <c r="AF32" i="33254" s="1"/>
  <c r="J34" i="1027"/>
  <c r="AG32" i="33254" s="1"/>
  <c r="H34" i="1027"/>
  <c r="AE32" i="33254" s="1"/>
  <c r="F84" i="3"/>
  <c r="G40" i="1027" s="1"/>
  <c r="C22" i="33258" s="1"/>
  <c r="F83" i="3"/>
  <c r="H84" i="3"/>
  <c r="H83" i="3"/>
  <c r="I39" i="1027" s="1"/>
  <c r="I84" i="3"/>
  <c r="I83" i="3"/>
  <c r="J39" i="1027" s="1"/>
  <c r="G84" i="3"/>
  <c r="G83" i="3"/>
  <c r="H39" i="1027" s="1"/>
  <c r="AH32" i="33254" l="1"/>
  <c r="E23" i="33258"/>
  <c r="Q106" i="33254"/>
  <c r="D23" i="33258"/>
  <c r="P106" i="33254"/>
  <c r="F23" i="33258"/>
  <c r="R106" i="33254"/>
  <c r="H40" i="1027"/>
  <c r="D22" i="33258" s="1"/>
  <c r="J40" i="1027"/>
  <c r="F22" i="33258" s="1"/>
  <c r="I40" i="1027"/>
  <c r="E22" i="33258" s="1"/>
  <c r="A185" i="33253"/>
  <c r="K83" i="3"/>
  <c r="L86" i="1027" s="1"/>
  <c r="K84" i="3"/>
  <c r="G39" i="1027"/>
  <c r="A184" i="33253"/>
  <c r="A189" i="33253"/>
  <c r="A190" i="33253"/>
  <c r="A192" i="33253"/>
  <c r="A187" i="33253"/>
  <c r="A186" i="33253"/>
  <c r="A191" i="33253"/>
  <c r="A197" i="33253"/>
  <c r="A196" i="33253"/>
  <c r="A195" i="33253"/>
  <c r="L35" i="1027"/>
  <c r="A199" i="33253"/>
  <c r="J83" i="3"/>
  <c r="K80" i="3" s="1"/>
  <c r="C23" i="33258" l="1"/>
  <c r="O106" i="33254"/>
  <c r="S106" i="33254" s="1"/>
  <c r="R104" i="33254"/>
  <c r="A599" i="33253" s="1"/>
  <c r="P104" i="33254"/>
  <c r="A597" i="33253" s="1"/>
  <c r="Q104" i="33254"/>
  <c r="A598" i="33253" s="1"/>
  <c r="AJ6" i="1027"/>
  <c r="G12" i="33258"/>
  <c r="G11" i="33258"/>
  <c r="G10" i="33258"/>
  <c r="G9" i="33258"/>
  <c r="O104" i="33254"/>
  <c r="A201" i="33253"/>
  <c r="A200" i="33253"/>
  <c r="L40" i="1027"/>
  <c r="A202" i="33253"/>
  <c r="A194" i="33253"/>
  <c r="A193" i="33253"/>
  <c r="A209" i="33253"/>
  <c r="L39" i="1027"/>
  <c r="I52" i="1027"/>
  <c r="A529" i="33253" s="1"/>
  <c r="A208" i="33253"/>
  <c r="Z12" i="1027"/>
  <c r="Z13" i="1027" s="1"/>
  <c r="Z16" i="1027"/>
  <c r="Z17" i="1027" s="1"/>
  <c r="Z18" i="1027" s="1"/>
  <c r="Z19" i="1027" s="1"/>
  <c r="Z20" i="1027"/>
  <c r="Z21" i="1027" s="1"/>
  <c r="Z22" i="1027" s="1"/>
  <c r="Z23" i="1027" s="1"/>
  <c r="Z8" i="1027"/>
  <c r="Z9" i="1027" s="1"/>
  <c r="Z10" i="1027" s="1"/>
  <c r="Z11" i="1027" s="1"/>
  <c r="Z2" i="1027"/>
  <c r="H51" i="1027"/>
  <c r="F53" i="1027"/>
  <c r="I53" i="1027" s="1"/>
  <c r="A530" i="33253" s="1"/>
  <c r="S104" i="33254" l="1"/>
  <c r="A596" i="33253"/>
  <c r="AH39" i="1027"/>
  <c r="A517" i="33253"/>
  <c r="AH40" i="1027"/>
  <c r="A518" i="33253"/>
  <c r="A198" i="33253"/>
  <c r="A203" i="33253"/>
  <c r="A177" i="33253"/>
  <c r="Z14" i="1027"/>
  <c r="Z15" i="1027" s="1"/>
  <c r="N45" i="33257" l="1"/>
  <c r="A600" i="33253"/>
  <c r="L57" i="1027"/>
  <c r="R43" i="33257" l="1"/>
  <c r="K50" i="33257"/>
  <c r="N49" i="33257"/>
  <c r="R47" i="33257" s="1"/>
  <c r="K58" i="33257" l="1"/>
  <c r="A514" i="33253" l="1"/>
  <c r="N48" i="33257"/>
  <c r="R46" i="33257" s="1"/>
  <c r="K56" i="33257" l="1"/>
  <c r="A513" i="33253" s="1"/>
  <c r="A474" i="33253" l="1"/>
  <c r="D58" i="1" l="1"/>
  <c r="B45" i="3" s="1"/>
  <c r="X20" i="1027" l="1"/>
  <c r="F14" i="1027" l="1"/>
  <c r="F22" i="1027"/>
  <c r="Y21" i="1027"/>
  <c r="X21" i="1027"/>
  <c r="F10" i="1027"/>
  <c r="J9" i="1027" l="1"/>
  <c r="G47" i="1027" s="1"/>
  <c r="J21" i="1027"/>
  <c r="G50" i="1027" s="1"/>
  <c r="L21" i="1027"/>
  <c r="H50" i="1027" s="1"/>
  <c r="J10" i="1027" l="1"/>
  <c r="F18" i="1027"/>
  <c r="L22" i="1027"/>
  <c r="J22" i="1027"/>
  <c r="A176" i="33253"/>
  <c r="O50" i="1027"/>
  <c r="N50" i="1027"/>
  <c r="A171" i="33253"/>
  <c r="A168" i="33253"/>
  <c r="N47" i="1027"/>
  <c r="W40" i="33254" l="1"/>
  <c r="H44" i="1027" s="1"/>
  <c r="A220" i="33253" s="1"/>
  <c r="Y40" i="33254"/>
  <c r="J44" i="1027" s="1"/>
  <c r="A222" i="33253" s="1"/>
  <c r="X40" i="33254"/>
  <c r="I44" i="1027" s="1"/>
  <c r="A221" i="33253" s="1"/>
  <c r="J17" i="1027" l="1"/>
  <c r="J18" i="1027" l="1"/>
  <c r="G49" i="1027"/>
  <c r="N49" i="1027" l="1"/>
  <c r="A170" i="33253"/>
  <c r="X8" i="1027" l="1"/>
  <c r="X16" i="1027"/>
  <c r="X12" i="1027"/>
  <c r="W2" i="1027" l="1"/>
  <c r="L34" i="1027" s="1"/>
  <c r="AJ5" i="1027" s="1"/>
  <c r="AJ7" i="1027" s="1"/>
  <c r="AJ45" i="1027" s="1"/>
  <c r="X23" i="1027"/>
  <c r="Q20" i="1027"/>
  <c r="X17" i="1027"/>
  <c r="Y17" i="1027"/>
  <c r="X18" i="1027" s="1"/>
  <c r="X19" i="1027" s="1"/>
  <c r="L17" i="1027" s="1"/>
  <c r="Y9" i="1027"/>
  <c r="X9" i="1027"/>
  <c r="Y13" i="1027"/>
  <c r="X13" i="1027"/>
  <c r="A188" i="33253" l="1"/>
  <c r="X10" i="1027"/>
  <c r="X11" i="1027" s="1"/>
  <c r="L9" i="1027" s="1"/>
  <c r="L10" i="1027" s="1"/>
  <c r="AJ44" i="1027"/>
  <c r="AE36" i="33254" s="1"/>
  <c r="AJ43" i="1027"/>
  <c r="AD33" i="33254" s="1"/>
  <c r="AD34" i="33254" s="1"/>
  <c r="N20" i="1027"/>
  <c r="AA10" i="1027"/>
  <c r="AA11" i="1027" s="1"/>
  <c r="AA14" i="1027"/>
  <c r="AA15" i="1027" s="1"/>
  <c r="X22" i="1027"/>
  <c r="Y22" i="1027" s="1"/>
  <c r="Y23" i="1027" s="1"/>
  <c r="AA18" i="1027"/>
  <c r="AA19" i="1027" s="1"/>
  <c r="AA22" i="1027"/>
  <c r="AA23" i="1027" s="1"/>
  <c r="N24" i="1027"/>
  <c r="AD20" i="1027"/>
  <c r="I50" i="1027"/>
  <c r="A522" i="33253" s="1"/>
  <c r="X14" i="1027"/>
  <c r="X15" i="1027" s="1"/>
  <c r="Y14" i="1027" s="1"/>
  <c r="Y15" i="1027" s="1"/>
  <c r="J13" i="1027" s="1"/>
  <c r="Y18" i="1027"/>
  <c r="Y19" i="1027" s="1"/>
  <c r="L18" i="1027"/>
  <c r="H49" i="1027"/>
  <c r="N16" i="1027"/>
  <c r="AF58" i="33254" s="1"/>
  <c r="H47" i="1027"/>
  <c r="O47" i="1027" s="1"/>
  <c r="N8" i="1027"/>
  <c r="AD35" i="33254"/>
  <c r="L13" i="1027"/>
  <c r="L27" i="1027" s="1"/>
  <c r="AE33" i="33254" l="1"/>
  <c r="AE34" i="33254" s="1"/>
  <c r="AE37" i="33254" s="1"/>
  <c r="AE35" i="33254"/>
  <c r="AF35" i="33254"/>
  <c r="AG33" i="33254"/>
  <c r="AG34" i="33254" s="1"/>
  <c r="Y10" i="1027"/>
  <c r="Y11" i="1027" s="1"/>
  <c r="AD36" i="33254"/>
  <c r="AD37" i="33254" s="1"/>
  <c r="AG36" i="33254"/>
  <c r="AF33" i="33254"/>
  <c r="AF34" i="33254" s="1"/>
  <c r="AH33" i="33254"/>
  <c r="AH35" i="33254"/>
  <c r="AG35" i="33254"/>
  <c r="AF36" i="33254"/>
  <c r="AH58" i="33254"/>
  <c r="L51" i="1027"/>
  <c r="O51" i="1027"/>
  <c r="N51" i="1027"/>
  <c r="AG58" i="33254"/>
  <c r="L50" i="1027"/>
  <c r="AH20" i="1027"/>
  <c r="O20" i="1027"/>
  <c r="P20" i="1027" s="1"/>
  <c r="J50" i="1027" s="1"/>
  <c r="A527" i="33253" s="1"/>
  <c r="I12" i="33258"/>
  <c r="H12" i="33258"/>
  <c r="AH8" i="1027"/>
  <c r="AD58" i="33254"/>
  <c r="L14" i="1027"/>
  <c r="H48" i="1027"/>
  <c r="Q16" i="1027"/>
  <c r="L49" i="1027"/>
  <c r="O16" i="1027"/>
  <c r="P16" i="1027" s="1"/>
  <c r="J49" i="1027" s="1"/>
  <c r="A526" i="33253" s="1"/>
  <c r="AH16" i="1027"/>
  <c r="O49" i="1027"/>
  <c r="A175" i="33253"/>
  <c r="O8" i="1027"/>
  <c r="P8" i="1027" s="1"/>
  <c r="J47" i="1027" s="1"/>
  <c r="Q8" i="1027"/>
  <c r="L47" i="1027"/>
  <c r="AD58" i="83"/>
  <c r="AD55" i="83"/>
  <c r="AD57" i="83"/>
  <c r="Z57" i="83"/>
  <c r="AD56" i="83"/>
  <c r="Z58" i="83"/>
  <c r="Z55" i="83"/>
  <c r="A179" i="33253"/>
  <c r="Z56" i="83"/>
  <c r="A173" i="33253"/>
  <c r="G48" i="1027"/>
  <c r="J14" i="1027"/>
  <c r="J27" i="1027"/>
  <c r="N12" i="1027"/>
  <c r="AE58" i="33254" s="1"/>
  <c r="AG37" i="33254" l="1"/>
  <c r="AH34" i="33254"/>
  <c r="AF37" i="33254"/>
  <c r="AH36" i="33254"/>
  <c r="AI58" i="33254"/>
  <c r="O48" i="1027"/>
  <c r="O52" i="1027" s="1"/>
  <c r="A174" i="33253"/>
  <c r="H54" i="1027"/>
  <c r="I49" i="1027"/>
  <c r="A521" i="33253" s="1"/>
  <c r="AD16" i="1027"/>
  <c r="I47" i="1027"/>
  <c r="AD8" i="1027"/>
  <c r="Q12" i="1027"/>
  <c r="N27" i="1027"/>
  <c r="O12" i="1027"/>
  <c r="AH12" i="1027"/>
  <c r="L48" i="1027"/>
  <c r="L54" i="1027" s="1"/>
  <c r="Y56" i="83"/>
  <c r="AC58" i="83"/>
  <c r="Y55" i="83"/>
  <c r="Y58" i="83"/>
  <c r="A178" i="33253"/>
  <c r="I28" i="1027"/>
  <c r="AC56" i="83"/>
  <c r="AC57" i="83"/>
  <c r="Y57" i="83"/>
  <c r="AC55" i="83"/>
  <c r="A169" i="33253"/>
  <c r="N48" i="1027"/>
  <c r="N52" i="1027" s="1"/>
  <c r="G54" i="1027"/>
  <c r="A524" i="33253"/>
  <c r="AH37" i="33254" l="1"/>
  <c r="AG62" i="33254"/>
  <c r="AE62" i="33254"/>
  <c r="AF62" i="33254"/>
  <c r="AD62" i="33254"/>
  <c r="AH38" i="33254"/>
  <c r="H42" i="33257" s="1"/>
  <c r="A519" i="33253"/>
  <c r="F58" i="1027"/>
  <c r="I9" i="33258"/>
  <c r="H9" i="33258"/>
  <c r="I11" i="33258"/>
  <c r="H11" i="33258"/>
  <c r="R19" i="33254"/>
  <c r="A589" i="33253" s="1"/>
  <c r="P19" i="33254"/>
  <c r="A587" i="33253" s="1"/>
  <c r="O19" i="33254"/>
  <c r="A586" i="33253" s="1"/>
  <c r="Q19" i="33254"/>
  <c r="A588" i="33253" s="1"/>
  <c r="AA56" i="83"/>
  <c r="AA58" i="83"/>
  <c r="AA57" i="83"/>
  <c r="AE57" i="83"/>
  <c r="AE56" i="83"/>
  <c r="AA55" i="83"/>
  <c r="AE58" i="83"/>
  <c r="AE55" i="83"/>
  <c r="P12" i="1027"/>
  <c r="O27" i="1027"/>
  <c r="Q103" i="33254"/>
  <c r="R15" i="33254"/>
  <c r="A584" i="33253" s="1"/>
  <c r="O103" i="33254"/>
  <c r="Q15" i="33254"/>
  <c r="A583" i="33253" s="1"/>
  <c r="P15" i="33254"/>
  <c r="A582" i="33253" s="1"/>
  <c r="R103" i="33254"/>
  <c r="O15" i="33254"/>
  <c r="P103" i="33254"/>
  <c r="AD12" i="1027"/>
  <c r="Q27" i="1027"/>
  <c r="I48" i="1027"/>
  <c r="F42" i="33257" l="1"/>
  <c r="A531" i="33253" s="1"/>
  <c r="AI62" i="33254"/>
  <c r="AH87" i="83" s="1"/>
  <c r="A532" i="33253"/>
  <c r="H10" i="33258"/>
  <c r="I10" i="33258"/>
  <c r="S19" i="33254"/>
  <c r="A590" i="33253" s="1"/>
  <c r="Q28" i="1027"/>
  <c r="Q29" i="1027" s="1"/>
  <c r="AE59" i="83"/>
  <c r="AA60" i="83" s="1"/>
  <c r="Q105" i="33254"/>
  <c r="A593" i="33253"/>
  <c r="P105" i="33254"/>
  <c r="A592" i="33253"/>
  <c r="A581" i="33253"/>
  <c r="S15" i="33254"/>
  <c r="J48" i="1027"/>
  <c r="P27" i="1027"/>
  <c r="A594" i="33253"/>
  <c r="R105" i="33254"/>
  <c r="AA59" i="83"/>
  <c r="A520" i="33253"/>
  <c r="I54" i="1027"/>
  <c r="S103" i="33254"/>
  <c r="A591" i="33253"/>
  <c r="O105" i="33254"/>
  <c r="K42" i="33257" l="1"/>
  <c r="L42" i="33257" s="1"/>
  <c r="N44" i="33257"/>
  <c r="K48" i="33257" s="1"/>
  <c r="A510" i="33253" s="1"/>
  <c r="H59" i="33254"/>
  <c r="H43" i="33257" s="1"/>
  <c r="A536" i="33253" s="1"/>
  <c r="AE61" i="83"/>
  <c r="S105" i="33254"/>
  <c r="N43" i="33257"/>
  <c r="A595" i="33253"/>
  <c r="A525" i="33253"/>
  <c r="J54" i="1027"/>
  <c r="I58" i="1027" s="1"/>
  <c r="A585" i="33253"/>
  <c r="A509" i="33253"/>
  <c r="A533" i="33253" l="1"/>
  <c r="A534" i="33253" s="1"/>
  <c r="I87" i="1027"/>
  <c r="R42" i="33257"/>
  <c r="Q42" i="33257" s="1"/>
  <c r="H38" i="33257"/>
  <c r="A210" i="33253"/>
  <c r="BR75" i="83"/>
  <c r="L58" i="1027"/>
  <c r="K46" i="33257"/>
  <c r="R41" i="33257"/>
  <c r="N58" i="1027" l="1"/>
  <c r="A211" i="33253"/>
  <c r="A212" i="33253" s="1"/>
  <c r="K38" i="33257"/>
  <c r="A481" i="33253"/>
  <c r="Q41" i="33257"/>
  <c r="Q43" i="33257" s="1"/>
  <c r="A482" i="33253" l="1"/>
  <c r="A483" i="33253" s="1"/>
  <c r="L38" i="33257"/>
  <c r="A239" i="33253"/>
  <c r="C24" i="33258"/>
  <c r="S25" i="33254"/>
  <c r="D63" i="33254" s="1"/>
  <c r="V47" i="33254"/>
  <c r="Z47" i="33254" s="1"/>
  <c r="Q44" i="33257" s="1"/>
  <c r="Q55" i="33257" s="1"/>
  <c r="O44" i="33254"/>
  <c r="A576" i="33253" s="1"/>
  <c r="D66" i="3" l="1"/>
  <c r="S44" i="33254"/>
  <c r="A580" i="33253" l="1"/>
  <c r="N46" i="33257"/>
  <c r="R44" i="33257" l="1"/>
  <c r="K52" i="33257"/>
  <c r="A511" i="33253" l="1"/>
  <c r="AI71" i="33254" l="1"/>
  <c r="I55" i="33254" s="1"/>
  <c r="Y71" i="33254" l="1"/>
  <c r="W71" i="33254"/>
  <c r="S71" i="33254"/>
  <c r="AH43" i="1027"/>
  <c r="A345" i="33253"/>
  <c r="S72" i="33254"/>
  <c r="N54" i="33257" s="1"/>
  <c r="Z71" i="33254" l="1"/>
  <c r="N56" i="33257"/>
  <c r="K62" i="33257"/>
  <c r="A516" i="33253" s="1"/>
  <c r="N53" i="33257"/>
  <c r="K60" i="33257" s="1"/>
  <c r="A515" i="33253" s="1"/>
  <c r="S73" i="33254"/>
  <c r="S82" i="33254"/>
  <c r="O90" i="33254"/>
  <c r="O97" i="33254" s="1"/>
  <c r="S100" i="33254" s="1"/>
  <c r="O88" i="33254"/>
  <c r="S88" i="33254" s="1"/>
  <c r="O54" i="33254" l="1"/>
  <c r="R54" i="33254"/>
  <c r="R56" i="33254" s="1"/>
  <c r="R98" i="33254" s="1"/>
  <c r="Q54" i="33254"/>
  <c r="Q56" i="33254" s="1"/>
  <c r="Q98" i="33254" s="1"/>
  <c r="P54" i="33254"/>
  <c r="P56" i="33254" s="1"/>
  <c r="P98" i="33254" s="1"/>
  <c r="S90" i="33254"/>
  <c r="O91" i="33254"/>
  <c r="A554" i="33253" l="1"/>
  <c r="I50" i="33254"/>
  <c r="F35" i="33258" s="1"/>
  <c r="A552" i="33253"/>
  <c r="G50" i="33254"/>
  <c r="D35" i="33258" s="1"/>
  <c r="A553" i="33253"/>
  <c r="H50" i="33254"/>
  <c r="E35" i="33258" s="1"/>
  <c r="S56" i="33254"/>
  <c r="A555" i="33253" s="1"/>
  <c r="O92" i="33254"/>
  <c r="S91" i="33254"/>
  <c r="O93" i="33254"/>
  <c r="S93" i="33254" l="1"/>
  <c r="K49" i="33254" s="1"/>
  <c r="H39" i="33257" s="1"/>
  <c r="A485" i="33253" s="1"/>
  <c r="S92" i="33254"/>
  <c r="K48" i="33254" s="1"/>
  <c r="A335" i="33253"/>
  <c r="O94" i="33254"/>
  <c r="A331" i="33253"/>
  <c r="D50" i="33254" l="1"/>
  <c r="A339" i="33253" s="1"/>
  <c r="A340" i="33253" s="1"/>
  <c r="A561" i="33253"/>
  <c r="S94" i="33254"/>
  <c r="F39" i="33257"/>
  <c r="K39" i="33257" s="1"/>
  <c r="A484" i="33253" l="1"/>
  <c r="A565" i="33253"/>
  <c r="L39" i="33257" l="1"/>
  <c r="A486" i="33253"/>
  <c r="A487" i="33253" s="1"/>
  <c r="O99" i="33254"/>
  <c r="O100" i="33254" s="1"/>
  <c r="O56" i="33254"/>
  <c r="O87" i="33254"/>
  <c r="A551" i="33253" l="1"/>
  <c r="O98" i="33254"/>
  <c r="S98" i="33254" s="1"/>
  <c r="V38" i="33254"/>
  <c r="V39" i="33254"/>
  <c r="F50" i="33254"/>
  <c r="C35" i="33258" s="1"/>
  <c r="A556" i="33253"/>
  <c r="S75" i="33254" l="1"/>
  <c r="Z72" i="33254" s="1"/>
  <c r="V40" i="33254"/>
  <c r="I59" i="1027" l="1"/>
  <c r="A216" i="33253" s="1"/>
  <c r="A560" i="33253"/>
  <c r="AH44" i="1027"/>
  <c r="AH45" i="1027" s="1"/>
  <c r="A497" i="33253" s="1"/>
  <c r="G59" i="33254"/>
  <c r="N47" i="33257"/>
  <c r="N50" i="33257" s="1"/>
  <c r="G44" i="1027"/>
  <c r="Z40" i="33254"/>
  <c r="I59" i="33254" l="1"/>
  <c r="F43" i="33257"/>
  <c r="R45" i="33257"/>
  <c r="R55" i="33257" s="1"/>
  <c r="H30" i="33257"/>
  <c r="N52" i="33257" s="1"/>
  <c r="K54" i="33257"/>
  <c r="AI63" i="33254" s="1"/>
  <c r="AI67" i="33254" s="1"/>
  <c r="AI70" i="33254" s="1"/>
  <c r="H31" i="33257"/>
  <c r="A475" i="33253" s="1"/>
  <c r="F30" i="33257"/>
  <c r="G59" i="1027"/>
  <c r="A219" i="33253"/>
  <c r="L44" i="1027"/>
  <c r="G87" i="1027" s="1"/>
  <c r="L87" i="1027" s="1"/>
  <c r="A471" i="33253" l="1"/>
  <c r="A512" i="33253"/>
  <c r="K43" i="33257"/>
  <c r="A535" i="33253"/>
  <c r="S39" i="33257"/>
  <c r="S40" i="33257"/>
  <c r="N60" i="33257"/>
  <c r="S60" i="33257" s="1"/>
  <c r="AI69" i="33254"/>
  <c r="N55" i="33257"/>
  <c r="N58" i="33257"/>
  <c r="K30" i="33257"/>
  <c r="A472" i="33253" s="1"/>
  <c r="A473" i="33253" s="1"/>
  <c r="A470" i="33253"/>
  <c r="N61" i="33257"/>
  <c r="S61" i="33257" s="1"/>
  <c r="T61" i="33257" s="1"/>
  <c r="Z70" i="33254"/>
  <c r="Z73" i="33254" s="1"/>
  <c r="E57" i="33254" s="1"/>
  <c r="A215" i="33253"/>
  <c r="L59" i="1027"/>
  <c r="A217" i="33253" s="1"/>
  <c r="A218" i="33253" s="1"/>
  <c r="K63" i="33257"/>
  <c r="L43" i="33257" l="1"/>
  <c r="A537" i="33253"/>
  <c r="A538" i="33253" s="1"/>
  <c r="T60" i="33257"/>
  <c r="S38" i="33257"/>
  <c r="S37" i="33257" s="1"/>
  <c r="S55" i="33257" s="1"/>
  <c r="T55" i="33257" s="1"/>
  <c r="L30" i="33257"/>
  <c r="I57" i="33254"/>
  <c r="A348" i="33253" s="1"/>
  <c r="A349" i="33253" s="1"/>
  <c r="A347" i="33253"/>
  <c r="F40" i="33257"/>
  <c r="K40" i="33257" s="1"/>
  <c r="L40" i="33257" s="1"/>
</calcChain>
</file>

<file path=xl/comments1.xml><?xml version="1.0" encoding="utf-8"?>
<comments xmlns="http://schemas.openxmlformats.org/spreadsheetml/2006/main">
  <authors>
    <author>Arthur Huber</author>
    <author>widmer</author>
    <author>arthur</author>
    <author>Huber</author>
  </authors>
  <commentList>
    <comment ref="B17" authorId="0" shapeId="0">
      <text>
        <r>
          <rPr>
            <sz val="8"/>
            <color indexed="81"/>
            <rFont val="Tahoma"/>
            <family val="2"/>
          </rPr>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
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
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r>
      </text>
    </comment>
    <comment ref="B19" authorId="0" shapeId="0">
      <text>
        <r>
          <rPr>
            <b/>
            <sz val="8"/>
            <color indexed="81"/>
            <rFont val="Tahoma"/>
            <family val="2"/>
          </rPr>
          <t>Energiebezugsfläche EBF</t>
        </r>
        <r>
          <rPr>
            <sz val="8"/>
            <color indexed="81"/>
            <rFont val="Tahoma"/>
            <family val="2"/>
          </rPr>
          <t xml:space="preserve">, muss aus der Rechnung SIA 380/1 übernommen werden.
</t>
        </r>
        <r>
          <rPr>
            <b/>
            <sz val="8"/>
            <color indexed="81"/>
            <rFont val="Tahoma"/>
            <family val="2"/>
          </rPr>
          <t>Surface de référence énergétique AE</t>
        </r>
        <r>
          <rPr>
            <sz val="8"/>
            <color indexed="81"/>
            <rFont val="Tahoma"/>
            <family val="2"/>
          </rPr>
          <t xml:space="preserve">, doit être reprise du calcul SIA 380/1.
</t>
        </r>
        <r>
          <rPr>
            <b/>
            <sz val="8"/>
            <color indexed="81"/>
            <rFont val="Tahoma"/>
            <family val="2"/>
          </rPr>
          <t>La superficie di riferimento energetico AE</t>
        </r>
        <r>
          <rPr>
            <sz val="8"/>
            <color indexed="81"/>
            <rFont val="Tahoma"/>
            <family val="2"/>
          </rPr>
          <t xml:space="preserve"> deve essere ripresa dal calcolo secondo la SIA 380/1</t>
        </r>
      </text>
    </comment>
    <comment ref="B21" authorId="1" shapeId="0">
      <text>
        <r>
          <rPr>
            <b/>
            <sz val="8"/>
            <color indexed="81"/>
            <rFont val="Tahoma"/>
            <family val="2"/>
          </rPr>
          <t xml:space="preserve">Energienachweis:
</t>
        </r>
        <r>
          <rPr>
            <sz val="8"/>
            <color indexed="81"/>
            <rFont val="Tahoma"/>
            <family val="2"/>
          </rPr>
          <t>Im Energienachweis werden nur die Neubauten berücksichtigt.</t>
        </r>
        <r>
          <rPr>
            <b/>
            <sz val="8"/>
            <color indexed="81"/>
            <rFont val="Tahoma"/>
            <family val="2"/>
          </rPr>
          <t xml:space="preserve">
Minergie:</t>
        </r>
        <r>
          <rPr>
            <sz val="8"/>
            <color indexed="81"/>
            <rFont val="Tahoma"/>
            <family val="2"/>
          </rPr>
          <t xml:space="preserve">
Baujahr (Bauvollendung) ab 2000.
</t>
        </r>
        <r>
          <rPr>
            <b/>
            <sz val="8"/>
            <color indexed="81"/>
            <rFont val="Tahoma"/>
            <family val="2"/>
          </rPr>
          <t xml:space="preserve">
Justificatif énergétique:</t>
        </r>
        <r>
          <rPr>
            <sz val="8"/>
            <color indexed="81"/>
            <rFont val="Tahoma"/>
            <family val="2"/>
          </rPr>
          <t xml:space="preserve">
Seules les nouvelles constructions sont considérées dans le justificatif énergétique.
</t>
        </r>
        <r>
          <rPr>
            <b/>
            <sz val="8"/>
            <color indexed="81"/>
            <rFont val="Tahoma"/>
            <family val="2"/>
          </rPr>
          <t>Minergie:</t>
        </r>
        <r>
          <rPr>
            <sz val="8"/>
            <color indexed="81"/>
            <rFont val="Tahoma"/>
            <family val="2"/>
          </rPr>
          <t xml:space="preserve">
Année de construction (achèvement) à partir de 2000.
</t>
        </r>
        <r>
          <rPr>
            <b/>
            <sz val="8"/>
            <color indexed="81"/>
            <rFont val="Tahoma"/>
            <family val="2"/>
          </rPr>
          <t xml:space="preserve">
Verifica energetica:</t>
        </r>
        <r>
          <rPr>
            <sz val="8"/>
            <color indexed="81"/>
            <rFont val="Tahoma"/>
            <family val="2"/>
          </rPr>
          <t xml:space="preserve">
Nella verifica energetica vengono considerati unicamente gli edifici nuovi.
</t>
        </r>
        <r>
          <rPr>
            <b/>
            <sz val="8"/>
            <color indexed="81"/>
            <rFont val="Tahoma"/>
            <family val="2"/>
          </rPr>
          <t xml:space="preserve">
Minergie: </t>
        </r>
        <r>
          <rPr>
            <sz val="8"/>
            <color indexed="81"/>
            <rFont val="Tahoma"/>
            <family val="2"/>
          </rPr>
          <t xml:space="preserve">
anno di costruzione (completamento dei lavori)  a partire dal 2000.</t>
        </r>
      </text>
    </comment>
    <comment ref="B25" authorId="0" shapeId="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C25" authorId="0" shapeId="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B27" authorId="1" shapeId="0">
      <text>
        <r>
          <rPr>
            <b/>
            <sz val="8"/>
            <color indexed="81"/>
            <rFont val="Tahoma"/>
            <family val="2"/>
          </rPr>
          <t>Lüftungsanlagen:</t>
        </r>
        <r>
          <rPr>
            <sz val="8"/>
            <color indexed="81"/>
            <rFont val="Tahoma"/>
            <family val="2"/>
          </rPr>
          <t xml:space="preserve">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
</t>
        </r>
        <r>
          <rPr>
            <b/>
            <sz val="8"/>
            <color indexed="81"/>
            <rFont val="Tahoma"/>
            <family val="2"/>
          </rPr>
          <t>Installation de ventilation:</t>
        </r>
        <r>
          <rPr>
            <sz val="8"/>
            <color indexed="81"/>
            <rFont val="Tahoma"/>
            <family val="2"/>
          </rPr>
          <t xml:space="preserve">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r>
        <r>
          <rPr>
            <b/>
            <sz val="8"/>
            <color indexed="81"/>
            <rFont val="Tahoma"/>
            <family val="2"/>
          </rPr>
          <t>Ventilazione:</t>
        </r>
        <r>
          <rPr>
            <sz val="8"/>
            <color indexed="81"/>
            <rFont val="Tahoma"/>
            <family val="2"/>
          </rPr>
          <t xml:space="preserve">
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r>
      </text>
    </comment>
    <comment ref="B30" authorId="2" shapeId="0">
      <text>
        <r>
          <rPr>
            <sz val="8"/>
            <color indexed="81"/>
            <rFont val="Arial"/>
            <family val="2"/>
          </rPr>
          <t>Eingabe nur bei Nutzungen EFH und MFH bis 2'000 m2 oder bei Verwaltung und Schulen bis 1'000 m2 möglich.
Entrée possible que pour l'habitat jusqu'à 2000 m2 et l'administration et les écoles jusqu'à 1000 m2.
Solo per le categorie monofamiliari e plurifamiliari con AE fino a 2'000 m2 o per amministrazione e scuole fino a 1'000 m2.</t>
        </r>
      </text>
    </comment>
    <comment ref="B31" authorId="0" shapeId="0">
      <text>
        <r>
          <rPr>
            <b/>
            <sz val="8"/>
            <color indexed="81"/>
            <rFont val="Tahoma"/>
            <family val="2"/>
          </rPr>
          <t>Auswahl der Lüftung:-</t>
        </r>
        <r>
          <rPr>
            <sz val="8"/>
            <color indexed="81"/>
            <rFont val="Tahoma"/>
            <family val="2"/>
          </rPr>
          <t xml:space="preserve">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
</t>
        </r>
        <r>
          <rPr>
            <b/>
            <sz val="8"/>
            <color indexed="81"/>
            <rFont val="Tahoma"/>
            <family val="2"/>
          </rPr>
          <t xml:space="preserve">
Choix de la ventilation:</t>
        </r>
        <r>
          <rPr>
            <sz val="8"/>
            <color indexed="81"/>
            <rFont val="Tahoma"/>
            <family val="2"/>
          </rPr>
          <t xml:space="preserve">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r>
        <r>
          <rPr>
            <b/>
            <sz val="8"/>
            <color indexed="81"/>
            <rFont val="Tahoma"/>
            <family val="2"/>
          </rPr>
          <t xml:space="preserve">
Scelta dell'aerazione:</t>
        </r>
        <r>
          <rPr>
            <sz val="8"/>
            <color indexed="81"/>
            <rFont val="Tahoma"/>
            <family val="2"/>
          </rPr>
          <t xml:space="preserv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r>
      </text>
    </comment>
    <comment ref="B32" authorId="0" shapeId="0">
      <text>
        <r>
          <rPr>
            <b/>
            <sz val="8"/>
            <color indexed="81"/>
            <rFont val="Tahoma"/>
            <family val="2"/>
          </rPr>
          <t>Anzahl Räume mit Zuluft:</t>
        </r>
        <r>
          <rPr>
            <sz val="8"/>
            <color indexed="81"/>
            <rFont val="Tahoma"/>
            <family val="2"/>
          </rPr>
          <t xml:space="preserve">
Nur bei Wohnnutzung (EFH oder MFH) erforderliche Eingabe
</t>
        </r>
        <r>
          <rPr>
            <b/>
            <sz val="8"/>
            <color indexed="81"/>
            <rFont val="Tahoma"/>
            <family val="2"/>
          </rPr>
          <t>Anzahl Personen (total pro Zone):</t>
        </r>
        <r>
          <rPr>
            <sz val="8"/>
            <color indexed="81"/>
            <rFont val="Tahoma"/>
            <family val="2"/>
          </rPr>
          <t xml:space="preserve">
Eingabe bei Verwaltung oder Schulen erforderlich.
Wird für die Berechnung der Zuluftmenge verwendet.
</t>
        </r>
        <r>
          <rPr>
            <b/>
            <sz val="8"/>
            <color indexed="81"/>
            <rFont val="Tahoma"/>
            <family val="2"/>
          </rPr>
          <t>Nombre de pièces avec air fourni:</t>
        </r>
        <r>
          <rPr>
            <sz val="8"/>
            <color indexed="81"/>
            <rFont val="Tahoma"/>
            <family val="2"/>
          </rPr>
          <t xml:space="preserve">
Données obligatoires que pour l'habitat.
</t>
        </r>
        <r>
          <rPr>
            <b/>
            <sz val="8"/>
            <color indexed="81"/>
            <rFont val="Tahoma"/>
            <family val="2"/>
          </rPr>
          <t>Nombre de personnes (total par zone):</t>
        </r>
        <r>
          <rPr>
            <sz val="8"/>
            <color indexed="81"/>
            <rFont val="Tahoma"/>
            <family val="2"/>
          </rPr>
          <t xml:space="preserve">
Données obligatoires pour administration ou écoles.
Seront utilisées pour le calcul de l'air fourni.
</t>
        </r>
        <r>
          <rPr>
            <b/>
            <sz val="8"/>
            <color indexed="81"/>
            <rFont val="Tahoma"/>
            <family val="2"/>
          </rPr>
          <t>Numero di locali con immissione d'aria:</t>
        </r>
        <r>
          <rPr>
            <sz val="8"/>
            <color indexed="81"/>
            <rFont val="Tahoma"/>
            <family val="2"/>
          </rPr>
          <t xml:space="preserve">
dato necessario solo per categorie abitazioni monofamiliari o plurifamiliari.
</t>
        </r>
        <r>
          <rPr>
            <b/>
            <sz val="8"/>
            <color indexed="81"/>
            <rFont val="Tahoma"/>
            <family val="2"/>
          </rPr>
          <t>Numero di persone (totale per zona):</t>
        </r>
        <r>
          <rPr>
            <sz val="8"/>
            <color indexed="81"/>
            <rFont val="Tahoma"/>
            <family val="2"/>
          </rPr>
          <t xml:space="preserve">
dato necessario per categorie amministrazione o scuole.
Il dato è utilizzato per calcolare il volume d'aria immessa.</t>
        </r>
      </text>
    </comment>
    <comment ref="B34" authorId="0" shapeId="0">
      <text>
        <r>
          <rPr>
            <b/>
            <sz val="8"/>
            <color indexed="81"/>
            <rFont val="Tahoma"/>
            <family val="2"/>
          </rPr>
          <t>Eingabe bei Kleinanlagen mit Standardwerten:</t>
        </r>
        <r>
          <rPr>
            <sz val="8"/>
            <color indexed="81"/>
            <rFont val="Tahoma"/>
            <family val="2"/>
          </rPr>
          <t xml:space="preserve">
Typ der Wärmerückgewinnung wird für die Berechnung des WRG-Wirkungsgrades verwendet. Je nach Wahl des Lüftungsgerätes stehen folgende WRG-Arten zur Auswahl:
-  Keine Wärmerückgewinnung
-  Kreuzstrom-Wärmetauscher
-  Gegenstrom-Wärmetauscher
-  Rotations-Wärmetauscher</t>
        </r>
        <r>
          <rPr>
            <b/>
            <sz val="8"/>
            <color indexed="81"/>
            <rFont val="Tahoma"/>
            <family val="2"/>
          </rPr>
          <t xml:space="preserve">
Données pour les petites installations avec des valeurs standard:</t>
        </r>
        <r>
          <rPr>
            <sz val="8"/>
            <color indexed="81"/>
            <rFont val="Tahoma"/>
            <family val="2"/>
          </rPr>
          <t xml:space="preserve">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
</t>
        </r>
        <r>
          <rPr>
            <b/>
            <sz val="8"/>
            <color indexed="81"/>
            <rFont val="Tahoma"/>
            <family val="2"/>
          </rPr>
          <t xml:space="preserve">
Dato per piccoli impianti con valori standard:</t>
        </r>
        <r>
          <rPr>
            <sz val="8"/>
            <color indexed="81"/>
            <rFont val="Tahoma"/>
            <family val="2"/>
          </rPr>
          <t xml:space="preserve">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r>
      </text>
    </comment>
    <comment ref="B35" authorId="0" shapeId="0">
      <text>
        <r>
          <rPr>
            <b/>
            <sz val="8"/>
            <color indexed="81"/>
            <rFont val="Tahoma"/>
            <family val="2"/>
          </rPr>
          <t>Eingabe bei Kleinanlagen mit Standardwerten:</t>
        </r>
        <r>
          <rPr>
            <sz val="8"/>
            <color indexed="81"/>
            <rFont val="Tahoma"/>
            <family val="2"/>
          </rPr>
          <t xml:space="preserve">
Verwendete Motoren für die Lüftungsventilatoren: Wechselstrom (AC) oder Gleichstrom (DC).
</t>
        </r>
        <r>
          <rPr>
            <b/>
            <sz val="8"/>
            <color indexed="81"/>
            <rFont val="Tahoma"/>
            <family val="2"/>
          </rPr>
          <t xml:space="preserve">
Données pour les petites installations avec des valeurs standard:</t>
        </r>
        <r>
          <rPr>
            <sz val="8"/>
            <color indexed="81"/>
            <rFont val="Tahoma"/>
            <family val="2"/>
          </rPr>
          <t xml:space="preserve">
Moteurs des ventilateurs: à courant alternatif (AC) ou à courant continu (DC).
</t>
        </r>
        <r>
          <rPr>
            <b/>
            <sz val="8"/>
            <color indexed="81"/>
            <rFont val="Tahoma"/>
            <family val="2"/>
          </rPr>
          <t xml:space="preserve">Dato di inserimento per piccoli impianti con valori standard: </t>
        </r>
        <r>
          <rPr>
            <sz val="8"/>
            <color indexed="81"/>
            <rFont val="Tahoma"/>
            <family val="2"/>
          </rPr>
          <t xml:space="preserve">
motori utilizzati per i ventilatori d'aerazione: corrente alternata (AC) o corrente continua (DC).</t>
        </r>
      </text>
    </comment>
    <comment ref="B38" authorId="3" shapeId="0">
      <text>
        <r>
          <rPr>
            <b/>
            <sz val="8"/>
            <color indexed="81"/>
            <rFont val="Tahoma"/>
            <family val="2"/>
          </rPr>
          <t>Resultate aus externer Berechnung</t>
        </r>
        <r>
          <rPr>
            <sz val="8"/>
            <color indexed="81"/>
            <rFont val="Tahoma"/>
            <family val="2"/>
          </rPr>
          <t>, z.B. externes Lüftungsblatt, in diesem Abschnitt einfügen.
Zwingende Eingabe bei Klimaanlagen.
Indiquer ici le</t>
        </r>
        <r>
          <rPr>
            <b/>
            <sz val="8"/>
            <color indexed="81"/>
            <rFont val="Tahoma"/>
            <family val="2"/>
          </rPr>
          <t xml:space="preserve"> résulat d'un calcul externe</t>
        </r>
        <r>
          <rPr>
            <sz val="8"/>
            <color indexed="81"/>
            <rFont val="Tahoma"/>
            <family val="2"/>
          </rPr>
          <t xml:space="preserve"> (sur une feuille séparée).
Entrée obligatoire pour les installation de climatisation.
</t>
        </r>
        <r>
          <rPr>
            <b/>
            <sz val="8"/>
            <color indexed="81"/>
            <rFont val="Tahoma"/>
            <family val="2"/>
          </rPr>
          <t>Risultati da calcoli esterni</t>
        </r>
        <r>
          <rPr>
            <sz val="8"/>
            <color indexed="81"/>
            <rFont val="Tahoma"/>
            <family val="2"/>
          </rPr>
          <t>, es. foglio di calcolo esterno per l'aerazione, sono da inserire in questa parte.
Sono richiesti i valori per gli impianti di climatizzazione.</t>
        </r>
      </text>
    </comment>
    <comment ref="B39" authorId="0" shapeId="0">
      <text>
        <r>
          <rPr>
            <b/>
            <sz val="8"/>
            <color indexed="81"/>
            <rFont val="Tahoma"/>
            <family val="2"/>
          </rPr>
          <t>Kühlung / Befeuchtung:</t>
        </r>
        <r>
          <rPr>
            <sz val="8"/>
            <color indexed="81"/>
            <rFont val="Tahoma"/>
            <family val="2"/>
          </rPr>
          <t xml:space="preserve">
Wird eine Kühlung verwendet oder Befeuchtung verwendet?
</t>
        </r>
        <r>
          <rPr>
            <b/>
            <sz val="8"/>
            <color indexed="81"/>
            <rFont val="Tahoma"/>
            <family val="2"/>
          </rPr>
          <t>Rafraîchissement / humidification:</t>
        </r>
        <r>
          <rPr>
            <sz val="8"/>
            <color indexed="81"/>
            <rFont val="Tahoma"/>
            <family val="2"/>
          </rPr>
          <t xml:space="preserve">
Rafraîchissement et/ou humidification ?
</t>
        </r>
        <r>
          <rPr>
            <b/>
            <sz val="8"/>
            <color indexed="81"/>
            <rFont val="Tahoma"/>
            <family val="2"/>
          </rPr>
          <t xml:space="preserve">
Raffreddamento / umidificazione:</t>
        </r>
        <r>
          <rPr>
            <sz val="8"/>
            <color indexed="81"/>
            <rFont val="Tahoma"/>
            <family val="2"/>
          </rPr>
          <t xml:space="preserve">
Presenza di raffreddamento o umidificazione?</t>
        </r>
      </text>
    </comment>
    <comment ref="B45" authorId="0" shapeId="0">
      <text>
        <r>
          <rPr>
            <b/>
            <sz val="8"/>
            <color indexed="81"/>
            <rFont val="Tahoma"/>
            <family val="2"/>
          </rPr>
          <t>Spezifischer, thermisch wirksamer Aussenluftvolumenstrom Vth nach SIA 380/1:</t>
        </r>
        <r>
          <rPr>
            <sz val="8"/>
            <color indexed="81"/>
            <rFont val="Tahoma"/>
            <family val="2"/>
          </rPr>
          <t xml:space="preserve"> 
Dieser Wert muss mit der Eingabe für die Berechnung für den Heizwärmebedarf mit effektivem Luftwechsel übereinstimmen.
</t>
        </r>
        <r>
          <rPr>
            <b/>
            <sz val="8"/>
            <color indexed="81"/>
            <rFont val="Tahoma"/>
            <family val="2"/>
          </rPr>
          <t xml:space="preserve">
Débit d'air spécifique thermiquement actif Vth selon SIA 380/1: </t>
        </r>
        <r>
          <rPr>
            <sz val="8"/>
            <color indexed="81"/>
            <rFont val="Tahoma"/>
            <family val="2"/>
          </rPr>
          <t xml:space="preserve">
cette valeur doit correspondre à celle donnée pour le calcul de la demande d'énergie de chauffage avec aération effective.
</t>
        </r>
        <r>
          <rPr>
            <b/>
            <sz val="8"/>
            <color indexed="81"/>
            <rFont val="Tahoma"/>
            <family val="2"/>
          </rPr>
          <t xml:space="preserve">
Portata d'aria esterna termicamente determinante Vth secondo la SIA 380/1:</t>
        </r>
        <r>
          <rPr>
            <sz val="8"/>
            <color indexed="81"/>
            <rFont val="Tahoma"/>
            <family val="2"/>
          </rPr>
          <t xml:space="preserve">
Questo valore deve corrispondere al dato per il calcolo del fabbisogno termico con portata d'aria esterna termicamente determinante.</t>
        </r>
      </text>
    </comment>
    <comment ref="B46" authorId="0" shapeId="0">
      <text>
        <r>
          <rPr>
            <b/>
            <sz val="8"/>
            <color indexed="81"/>
            <rFont val="Tahoma"/>
            <family val="2"/>
          </rPr>
          <t>Zwingende Eingabe Qh,eff oder Qh,korr:</t>
        </r>
        <r>
          <rPr>
            <sz val="8"/>
            <color indexed="81"/>
            <rFont val="Tahoma"/>
            <family val="2"/>
          </rPr>
          <t xml:space="preserve">
Heizwärmebedarf Qh,eff mit effektivem, thermisch wirksamen Aussenluftvolumenstrom Vth aus der Berechnung SIA 380/1:2009 übertragen.
Fakultativ darf anstelle von Qh,eff auch der raumhöhenkorrigierte Wert Qh,korr (Korrektur gemäss Angaben MINERGIE) hier eingetragen werden.
</t>
        </r>
        <r>
          <rPr>
            <b/>
            <sz val="8"/>
            <color indexed="81"/>
            <rFont val="Tahoma"/>
            <family val="2"/>
          </rPr>
          <t>Entrée obligatoire: Qh,eff ou Qh,corr:</t>
        </r>
        <r>
          <rPr>
            <sz val="8"/>
            <color indexed="81"/>
            <rFont val="Tahoma"/>
            <family val="2"/>
          </rPr>
          <t xml:space="preserve">
à reporter du calcul SIA 380/1:2009 les besoins de chaleur pour le chauffage Qh,eff avec débit d’air neuf thermiquement actif Vth.
Facultatif: la valeur corrigée pour la hauteur d'étage Qh,corr (correction selon indications MINERGIE) peut être introduite à la place de Qh,eff
</t>
        </r>
        <r>
          <rPr>
            <b/>
            <sz val="8"/>
            <color indexed="81"/>
            <rFont val="Tahoma"/>
            <family val="2"/>
          </rPr>
          <t xml:space="preserve">
Valore richiesto per Qh,eff. o Qh,corr.:</t>
        </r>
        <r>
          <rPr>
            <sz val="8"/>
            <color indexed="81"/>
            <rFont val="Tahoma"/>
            <family val="2"/>
          </rPr>
          <t xml:space="preserve">
inserire fabbisogno di calore per il riscaldamento Qh,eff. con portata d'aria esterna termicamente determinante Vth secondo calcolo SIA 380/1:2009.
Facoltativo: invece di Qh,eff. può essere inserito Qh,corr. che considera anche la correzione dell'altezza del locale (corrzione secondo indicazioni MINERGIE)</t>
        </r>
      </text>
    </comment>
    <comment ref="B66" authorId="0" shapeId="0">
      <text>
        <r>
          <rPr>
            <b/>
            <sz val="8"/>
            <color indexed="81"/>
            <rFont val="Tahoma"/>
            <family val="2"/>
          </rPr>
          <t xml:space="preserve">MINERGIE-P:
</t>
        </r>
        <r>
          <rPr>
            <sz val="8"/>
            <color indexed="81"/>
            <rFont val="Tahoma"/>
            <family val="2"/>
          </rPr>
          <t xml:space="preserve">Mit der Unterschrift auf dem Nachweisdokument bestätigen die Antragstellenden, dass ausschliesslich Haushaltgeräte mit E-Label A resp. A+ eingebaut und/oder energieeffiziente Bürogeräte eingesetzt werden.
</t>
        </r>
        <r>
          <rPr>
            <b/>
            <sz val="8"/>
            <color indexed="81"/>
            <rFont val="Tahoma"/>
            <family val="2"/>
          </rPr>
          <t>MINERGIE-A:</t>
        </r>
        <r>
          <rPr>
            <sz val="8"/>
            <color indexed="81"/>
            <rFont val="Tahoma"/>
            <family val="2"/>
          </rPr>
          <t xml:space="preserve">
Mit der Unterschrift auf dem Nachweisdokument bestätigen die Antragstellenden, dass die Geräte gemäss Beiblatt "Deklaration Haushaltgeräte" eingebaut wurden.</t>
        </r>
      </text>
    </comment>
    <comment ref="B67" authorId="1" shapeId="0">
      <text>
        <r>
          <rPr>
            <sz val="8"/>
            <color indexed="81"/>
            <rFont val="Tahoma"/>
            <family val="2"/>
          </rPr>
          <t>Gilt für alle Kategorien ausser 'MFH' und 'EFH'. Ausnahmen siehe Nutzungsreglement Anhang C. Begründung immer zwingend, wenn Zusatzanforderung nicht erfüllt wird.</t>
        </r>
      </text>
    </comment>
    <comment ref="B68" authorId="1" shapeId="0">
      <text>
        <r>
          <rPr>
            <sz val="8"/>
            <color indexed="81"/>
            <rFont val="Tahoma"/>
            <family val="2"/>
          </rPr>
          <t>Gilt für Kategorien ‚Restaurants’, ‚Sportbauten’ und ‚Hallenbäder’ – falls Energieverbrauch für Warmwasser &gt;10 kWh/m2 (EBF0):
20% mit erneuerbarer Energie erbringen.</t>
        </r>
      </text>
    </comment>
    <comment ref="B69" authorId="1" shapeId="0">
      <text>
        <r>
          <rPr>
            <sz val="8"/>
            <color indexed="81"/>
            <rFont val="Tahoma"/>
            <family val="2"/>
          </rPr>
          <t>Gilt für Kategorien 'Verkauf' und 'Spital'.
Abwärme ist grundsätzlich zu nutzen. Begründung immer zwingend, wenn Zusatzanforderung nicht erfüllt wird.</t>
        </r>
      </text>
    </comment>
    <comment ref="B72" authorId="0" shapeId="0">
      <text>
        <r>
          <rPr>
            <sz val="8"/>
            <color indexed="81"/>
            <rFont val="Tahoma"/>
            <family val="2"/>
          </rPr>
          <t>Gilt für Kategorie "Hallenbad"</t>
        </r>
      </text>
    </comment>
    <comment ref="B73" authorId="0" shapeId="0">
      <text>
        <r>
          <rPr>
            <sz val="8"/>
            <color indexed="81"/>
            <rFont val="Tahoma"/>
            <family val="2"/>
          </rPr>
          <t>Gilt für MINERGIE-P und MINERGIE-A.</t>
        </r>
      </text>
    </comment>
    <comment ref="B80" authorId="0" shapeId="0">
      <text>
        <r>
          <rPr>
            <sz val="8"/>
            <color indexed="81"/>
            <rFont val="Tahoma"/>
            <family val="2"/>
          </rPr>
          <t>Fakultative Eingabe:
Strombedarf Lüftung, berechnet mit einem externen Hilfsmittel.
Ersetzt den berechneten Strombedarf auf dem Blatt "Lueftung"</t>
        </r>
      </text>
    </comment>
  </commentList>
</comments>
</file>

<file path=xl/comments2.xml><?xml version="1.0" encoding="utf-8"?>
<comments xmlns="http://schemas.openxmlformats.org/spreadsheetml/2006/main">
  <authors>
    <author>arthur</author>
  </authors>
  <commentList>
    <comment ref="B65" authorId="0" shapeId="0">
      <text>
        <r>
          <rPr>
            <sz val="9"/>
            <color indexed="81"/>
            <rFont val="Segoe UI"/>
            <family val="2"/>
          </rPr>
          <t>Gilt für Kategorien ‚Restaurants’, ‚Sportbauten’ und ‚Hallenbäder’:
20% mit erneuerbarer Energie erbringen.
Valable pour les catégories "Restaurants", "Installations sportives" et "Piscines couvertes" :
20% des besoins en ECS par des énergies renouvelables
Vale per le categorie "ristoranti", "impianti sportivi" e "piscine coperte":
20% fornito con energie rinnovabili</t>
        </r>
      </text>
    </comment>
    <comment ref="B69" authorId="0" shapeId="0">
      <text>
        <r>
          <rPr>
            <sz val="9"/>
            <color indexed="81"/>
            <rFont val="Segoe UI"/>
            <family val="2"/>
          </rPr>
          <t>Gilt für Kategorie "Hallenbad"
Valable pour la catégorie "Piscine couverte"
Vale per la categoria "Piscine coperte"</t>
        </r>
      </text>
    </comment>
  </commentList>
</comments>
</file>

<file path=xl/comments3.xml><?xml version="1.0" encoding="utf-8"?>
<comments xmlns="http://schemas.openxmlformats.org/spreadsheetml/2006/main">
  <authors>
    <author>Fuchs Daniel</author>
    <author>Arthur Huber</author>
  </authors>
  <commentList>
    <comment ref="B19" authorId="0" shapeId="0">
      <text>
        <r>
          <rPr>
            <sz val="9"/>
            <color indexed="81"/>
            <rFont val="Tahoma"/>
            <family val="2"/>
          </rPr>
          <t>g-Wert und Produktebezeichnung
valeur g (taux de transmission d'énergie) et nom du produit utilisé.
valori g, descrizione del prodotto</t>
        </r>
      </text>
    </comment>
    <comment ref="B20" authorId="1" shapeId="0">
      <text>
        <r>
          <rPr>
            <sz val="8"/>
            <color indexed="81"/>
            <rFont val="Tahoma"/>
            <family val="2"/>
          </rPr>
          <t>Wenn S14 zutrifft, ist in S11 n.a. anzuwählen.
Si S14 s'avère exact, "n.a." doit être sélectionné dans S11.
Se in S14 si risponde Si, in S11 bisogna rispondere n.a.</t>
        </r>
      </text>
    </comment>
    <comment ref="B23" authorId="1" shapeId="0">
      <text>
        <r>
          <rPr>
            <sz val="8"/>
            <color indexed="81"/>
            <rFont val="Tahoma"/>
            <family val="2"/>
          </rPr>
          <t>Wenn Beschreibung zutrifft, ist Bedingung 'Glasanteil' nicht relevant. Wenn eine der beschriebenen Eigenschaften nicht zutrifft, ist n.a. anzuwählen.
Si la description est exacte, la condition "taux de surface vitrée" n'est pas significative. Si l'une des caractéristiques ne correspond pas, "n.a." doit être sélectionné.
Se si riscontra questa situazione, la percentuale di vetro non è rilevante. Se una delle caratteristiche elencate non è presente, bisogna rispondere n.a.</t>
        </r>
      </text>
    </comment>
  </commentList>
</comments>
</file>

<file path=xl/comments4.xml><?xml version="1.0" encoding="utf-8"?>
<comments xmlns="http://schemas.openxmlformats.org/spreadsheetml/2006/main">
  <authors>
    <author>Arthur Huber</author>
  </authors>
  <commentList>
    <comment ref="B64" authorId="0" shapeId="0">
      <text>
        <r>
          <rPr>
            <sz val="8"/>
            <color indexed="81"/>
            <rFont val="Tahoma"/>
            <family val="2"/>
          </rPr>
          <t>Gilt für MINERGIE-P und MINERGIE-A.</t>
        </r>
      </text>
    </comment>
  </commentList>
</comments>
</file>

<file path=xl/sharedStrings.xml><?xml version="1.0" encoding="utf-8"?>
<sst xmlns="http://schemas.openxmlformats.org/spreadsheetml/2006/main" count="5504" uniqueCount="3498">
  <si>
    <t>Wohnen EFH</t>
  </si>
  <si>
    <t>Verwaltung</t>
  </si>
  <si>
    <t>Schulen</t>
  </si>
  <si>
    <t>Restaurants</t>
  </si>
  <si>
    <t>Versammlungs-lokale</t>
  </si>
  <si>
    <t>III</t>
  </si>
  <si>
    <t>Sportbauten</t>
  </si>
  <si>
    <t>IV</t>
  </si>
  <si>
    <t>Hallenbäder</t>
  </si>
  <si>
    <t>V</t>
  </si>
  <si>
    <t>VI</t>
  </si>
  <si>
    <t>Primäranf</t>
  </si>
  <si>
    <t>A/EBF &lt;= 1.1</t>
  </si>
  <si>
    <t>Minergie-P  (- / kWh/m2)</t>
  </si>
  <si>
    <t>Erfüllung der Anforderungen:</t>
  </si>
  <si>
    <t>Klimastation</t>
  </si>
  <si>
    <t>Zone 1:</t>
  </si>
  <si>
    <t>Zone 2:</t>
  </si>
  <si>
    <t>Zone 3:</t>
  </si>
  <si>
    <t>Zone 4:</t>
  </si>
  <si>
    <t>Antragsformular</t>
  </si>
  <si>
    <t>Kanton</t>
  </si>
  <si>
    <t>Pelletfeuerung</t>
  </si>
  <si>
    <t>Wärmepumpe gewählt</t>
  </si>
  <si>
    <t>Hinweis: Im Blatt 'Eingaben' wurde ein Lüftungsgerät mit integrierter Wärmepumpe gewählt</t>
  </si>
  <si>
    <t>Deckungsgrad zu hoch</t>
  </si>
  <si>
    <t>Heizung ausgewählt</t>
  </si>
  <si>
    <t>Warmwasser ausgewählt</t>
  </si>
  <si>
    <t>Berechnung beilege</t>
  </si>
  <si>
    <t>Wohnen MFH</t>
  </si>
  <si>
    <t>Anzahl Personen</t>
  </si>
  <si>
    <t>typ3:</t>
  </si>
  <si>
    <t>typ4:</t>
  </si>
  <si>
    <t>Therm. wirksamer Aussenl.-Volumenstr.</t>
  </si>
  <si>
    <t>Berechneter Wert</t>
  </si>
  <si>
    <t>Erfüllt?</t>
  </si>
  <si>
    <t>Energiebezugsfl. o. Raumhöhenkorrektur</t>
  </si>
  <si>
    <t>Fällt Abwärme an?</t>
  </si>
  <si>
    <t>Abwärme</t>
  </si>
  <si>
    <t>Abluft-Wärmepumpe ohne ZUL</t>
  </si>
  <si>
    <t>WRG gewählt</t>
  </si>
  <si>
    <t>Abluft-WP gewählt</t>
  </si>
  <si>
    <t xml:space="preserve"> 'Lüftungsgerät mit Abluft-Wärmepumpe' wählen</t>
  </si>
  <si>
    <t xml:space="preserve"> 'Lüftungsgerät mit Abluft / Zuluft  - Wärmepumpe ohne WRG'       oder                                   'Kompakt-WP mit Zu- &amp; Abluft / WW ohne WRG'    wählen</t>
  </si>
  <si>
    <t xml:space="preserve"> 'Lüftungsgerät mit Abluft / Zuluft  - Wärmepumpe plus WRG'       oder                                         'Kompakt-WP mit Zu- &amp; Abluft / WW plus WRG'    wählen"</t>
  </si>
  <si>
    <t>Elektro direkt</t>
  </si>
  <si>
    <r>
      <t>Q</t>
    </r>
    <r>
      <rPr>
        <vertAlign val="subscript"/>
        <sz val="9"/>
        <rFont val="Arial"/>
        <family val="2"/>
      </rPr>
      <t>ww</t>
    </r>
  </si>
  <si>
    <t/>
  </si>
  <si>
    <t>Débit d'air spécifique thermiquement actif Vth selon SIA 380/1: cette valeur doit correspondre à celle donnée pour le calcul de la demande d'énergie de chauffage avec aération effective.</t>
  </si>
  <si>
    <t>I</t>
  </si>
  <si>
    <t>II</t>
  </si>
  <si>
    <t>-</t>
  </si>
  <si>
    <t>Zone1:</t>
  </si>
  <si>
    <t>Eingaben</t>
  </si>
  <si>
    <t>A98</t>
  </si>
  <si>
    <t>A99</t>
  </si>
  <si>
    <t>A100</t>
  </si>
  <si>
    <t>A101</t>
  </si>
  <si>
    <t>A102</t>
  </si>
  <si>
    <t>A103</t>
  </si>
  <si>
    <t>A104</t>
  </si>
  <si>
    <t>A105</t>
  </si>
  <si>
    <t>A106</t>
  </si>
  <si>
    <t>A107</t>
  </si>
  <si>
    <t>A109</t>
  </si>
  <si>
    <t>A110</t>
  </si>
  <si>
    <t>A111</t>
  </si>
  <si>
    <t>A112</t>
  </si>
  <si>
    <t>A113</t>
  </si>
  <si>
    <t>A114</t>
  </si>
  <si>
    <t>A115</t>
  </si>
  <si>
    <t>A116</t>
  </si>
  <si>
    <t>A117</t>
  </si>
  <si>
    <t>A118</t>
  </si>
  <si>
    <t>A119</t>
  </si>
  <si>
    <t>A120</t>
  </si>
  <si>
    <t>A121</t>
  </si>
  <si>
    <t>A122</t>
  </si>
  <si>
    <t>A123</t>
  </si>
  <si>
    <t>A124</t>
  </si>
  <si>
    <t>Qh,li0</t>
  </si>
  <si>
    <r>
      <t>D</t>
    </r>
    <r>
      <rPr>
        <sz val="9"/>
        <rFont val="Arial"/>
        <family val="2"/>
      </rPr>
      <t>Qh,li</t>
    </r>
  </si>
  <si>
    <t>Grenzwert Qh,li (Neubau, SIA)  [MJ/m2]</t>
  </si>
  <si>
    <t>Qh avec débit d'air thermiquement actif</t>
  </si>
  <si>
    <t>Selbstdeklaration/Bestätigung</t>
  </si>
  <si>
    <t>Netto-Jahresertrag pro kWp (Standardwert)</t>
  </si>
  <si>
    <t>Ölfeuerung kondensierend nur Heizung</t>
  </si>
  <si>
    <t>Ölfeuerung kondensierend nur Warmwasser</t>
  </si>
  <si>
    <t>Gasfeuerung kondensierend nur Heizung</t>
  </si>
  <si>
    <t>Gasfeuerung kondensierend nur Warmwasser</t>
  </si>
  <si>
    <t>Wärmepumpe Aussenluft, nur Heizung</t>
  </si>
  <si>
    <t>Wärmepumpe, Aussenluft, nur Warmwasser</t>
  </si>
  <si>
    <t>Wärmepumpe, Erdwärmesonde, nur Heizung</t>
  </si>
  <si>
    <t>Wärmepumpe, Erdwärmesonde, nur Warmwasser</t>
  </si>
  <si>
    <t>Refroidissement</t>
  </si>
  <si>
    <t>Humidification</t>
  </si>
  <si>
    <t>Refr. + humid.</t>
  </si>
  <si>
    <t>B34</t>
  </si>
  <si>
    <t>B35</t>
  </si>
  <si>
    <t>PV</t>
  </si>
  <si>
    <t xml:space="preserve">Stromproduktion PV total: </t>
  </si>
  <si>
    <t>Graue Energie  [kWh/m2]</t>
  </si>
  <si>
    <t>PV [kWh/m2]</t>
  </si>
  <si>
    <t>Überschussproduktion [kWh/m2]</t>
  </si>
  <si>
    <t>Kompensation PV graue Energie [kWh/m2]</t>
  </si>
  <si>
    <t>Graue Energie minus Kompensation [kWh/m2]</t>
  </si>
  <si>
    <t>Choisir "Aération avec PAC air repris"</t>
  </si>
  <si>
    <t>Choisir "Aération avec PAC air repris/fourni sans récup. de chaleur" ou PAC compacte avec air fourni/repris et ECS sans récup. de chaleur"</t>
  </si>
  <si>
    <t>Befeuchtung</t>
  </si>
  <si>
    <t>Kühl. + Bef.</t>
  </si>
  <si>
    <t xml:space="preserve">Zone 1 </t>
  </si>
  <si>
    <t xml:space="preserve">Zone 2 </t>
  </si>
  <si>
    <t xml:space="preserve">Zone 3 </t>
  </si>
  <si>
    <t xml:space="preserve">Zone 4 </t>
  </si>
  <si>
    <t>V'/EBFo</t>
  </si>
  <si>
    <t>[m / h]</t>
  </si>
  <si>
    <t>E37</t>
  </si>
  <si>
    <t>Externe Berechnung mit Tool SIA 380/4</t>
  </si>
  <si>
    <t>Spezifischer, thermisch wirksamer Aussenluftvolumenstrom Vth nach SIA 380/1: Dieser Wert muss mit der Eingabe für die Berechnung für den Heizwärmebedarf mit effektivem Luftwechsel übereinstimmen.</t>
  </si>
  <si>
    <t>Neubau:</t>
  </si>
  <si>
    <t>Ja</t>
  </si>
  <si>
    <t>Automatische Fensterlüftung</t>
  </si>
  <si>
    <t>Nein</t>
  </si>
  <si>
    <t>Lüftungsanlagentyp</t>
  </si>
  <si>
    <t>WRGtyp4</t>
  </si>
  <si>
    <r>
      <t>Lüfung</t>
    </r>
    <r>
      <rPr>
        <b/>
        <sz val="10"/>
        <color indexed="9"/>
        <rFont val="Symbol"/>
        <family val="1"/>
        <charset val="2"/>
      </rPr>
      <t xml:space="preserve">  b</t>
    </r>
  </si>
  <si>
    <t>nL50</t>
  </si>
  <si>
    <t>[1/h]</t>
  </si>
  <si>
    <r>
      <t>A</t>
    </r>
    <r>
      <rPr>
        <b/>
        <vertAlign val="subscript"/>
        <sz val="10"/>
        <color indexed="9"/>
        <rFont val="Arial"/>
        <family val="2"/>
      </rPr>
      <t>netto</t>
    </r>
    <r>
      <rPr>
        <b/>
        <sz val="10"/>
        <color indexed="9"/>
        <rFont val="Arial"/>
        <family val="2"/>
      </rPr>
      <t xml:space="preserve"> /</t>
    </r>
  </si>
  <si>
    <r>
      <t>A</t>
    </r>
    <r>
      <rPr>
        <b/>
        <vertAlign val="subscript"/>
        <sz val="10"/>
        <color indexed="9"/>
        <rFont val="Arial"/>
        <family val="2"/>
      </rPr>
      <t>EBF</t>
    </r>
  </si>
  <si>
    <t>Wärmerückgewinnungs-Wärmetauscher</t>
  </si>
  <si>
    <t>Kreislauf-KVS</t>
  </si>
  <si>
    <t>Fehlermld</t>
  </si>
  <si>
    <t>deutsch</t>
  </si>
  <si>
    <t>französisch</t>
  </si>
  <si>
    <t>italienisch</t>
  </si>
  <si>
    <t>Uebersetzungsliste</t>
  </si>
  <si>
    <t>Energiebezugsfläche EBF</t>
  </si>
  <si>
    <r>
      <t>A</t>
    </r>
    <r>
      <rPr>
        <vertAlign val="subscript"/>
        <sz val="8"/>
        <rFont val="Arial"/>
        <family val="2"/>
      </rPr>
      <t>E</t>
    </r>
  </si>
  <si>
    <t>Energiebezugsfläche EBF, muss aus der Rechnung SIA 380/1 übernommen werden.</t>
  </si>
  <si>
    <t>Energiebedarf Kühlung</t>
  </si>
  <si>
    <t>Strombedarf Klima und Befeuchtung</t>
  </si>
  <si>
    <t>V'</t>
  </si>
  <si>
    <t>Kühlung oder Befeuchtung vorhanden?</t>
  </si>
  <si>
    <t>Wird eine Kühlung verwendet oder Befeuchtung verwendet?</t>
  </si>
  <si>
    <t>Elektro-Wassererwärmer</t>
  </si>
  <si>
    <t>Wasser-Wärmepumpe, Heizung</t>
  </si>
  <si>
    <t>Solarenergie thermisch, Heizung + WW</t>
  </si>
  <si>
    <t>Erdsonden-WP, Heizung</t>
  </si>
  <si>
    <t>Erdsonden-WP, Warmwasser</t>
  </si>
  <si>
    <t>Abwasser-WP (direkt), Heizung</t>
  </si>
  <si>
    <t>Abwasser-WP direkt, Warmwasser</t>
  </si>
  <si>
    <t>Wasser-WP, Warmwasser</t>
  </si>
  <si>
    <t>Standardlüftung</t>
  </si>
  <si>
    <t>Remarque: dans la feuille 'Entrée' une installation de ventilation avec PAC intégrée a été choisie
-&gt; choisir une PAC avec air fourni comme mode de production de chaleur</t>
  </si>
  <si>
    <r>
      <t>Q</t>
    </r>
    <r>
      <rPr>
        <vertAlign val="subscript"/>
        <sz val="8"/>
        <rFont val="Arial"/>
        <family val="2"/>
      </rPr>
      <t>e,B</t>
    </r>
  </si>
  <si>
    <t>Besoins d'électricité exploitation</t>
  </si>
  <si>
    <t>Biomasse, connectée</t>
  </si>
  <si>
    <t>Biomasse, connectée au réseau hydraulique</t>
  </si>
  <si>
    <r>
      <t>Q</t>
    </r>
    <r>
      <rPr>
        <vertAlign val="subscript"/>
        <sz val="8"/>
        <rFont val="Arial"/>
        <family val="2"/>
      </rPr>
      <t>e</t>
    </r>
  </si>
  <si>
    <r>
      <t>kWh/m</t>
    </r>
    <r>
      <rPr>
        <vertAlign val="superscript"/>
        <sz val="8"/>
        <rFont val="Arial"/>
        <family val="2"/>
      </rPr>
      <t>2</t>
    </r>
  </si>
  <si>
    <t>Wärmeerzeugung:</t>
  </si>
  <si>
    <t>zone1</t>
  </si>
  <si>
    <t>zone2</t>
  </si>
  <si>
    <t>zone3</t>
  </si>
  <si>
    <t>zone4</t>
  </si>
  <si>
    <t>Objektwert</t>
  </si>
  <si>
    <t>Optimierter Betrieb Hallenbad</t>
  </si>
  <si>
    <t xml:space="preserve">EBF1 = </t>
  </si>
  <si>
    <t xml:space="preserve">EBF2 = </t>
  </si>
  <si>
    <t xml:space="preserve">EBF3 = </t>
  </si>
  <si>
    <t xml:space="preserve">EBF4 = </t>
  </si>
  <si>
    <t xml:space="preserve">EBFo1 = </t>
  </si>
  <si>
    <t xml:space="preserve">EBFo2 = </t>
  </si>
  <si>
    <t xml:space="preserve">EBFo3 = </t>
  </si>
  <si>
    <t xml:space="preserve">EBFo4 = </t>
  </si>
  <si>
    <t>Gebäudehüllzahl</t>
  </si>
  <si>
    <t>Auswahl:</t>
  </si>
  <si>
    <t>Bad-Mischn.</t>
  </si>
  <si>
    <t>andere</t>
  </si>
  <si>
    <t>Für Online Plattform</t>
  </si>
  <si>
    <t>Strombedarf Lüftung + Vereisungsschutz</t>
  </si>
  <si>
    <t>Kleinanlagen mit Standardwerten</t>
  </si>
  <si>
    <r>
      <t>Nachweisformular zum MINERGIE</t>
    </r>
    <r>
      <rPr>
        <sz val="10"/>
        <rFont val="Arial"/>
        <family val="2"/>
      </rPr>
      <t>-Antrag</t>
    </r>
  </si>
  <si>
    <t>Nachweisformular zum MINERGIE-P-Antrag</t>
  </si>
  <si>
    <t>Nachweisformular zum MINERGIE-A-Antrag</t>
  </si>
  <si>
    <t>Elektrospeicher-Zentralheizung</t>
  </si>
  <si>
    <t>Zusätzlich Elektro-Wassererwärmer wählen</t>
  </si>
  <si>
    <t xml:space="preserve">Wohnen MFH </t>
  </si>
  <si>
    <t>für Minergie-P</t>
  </si>
  <si>
    <t>eff. Heizwärmebedarf mit Lüftungsanlage</t>
  </si>
  <si>
    <t>MJ/m2</t>
  </si>
  <si>
    <t>Heizwärmebedarf Standard qhs:</t>
  </si>
  <si>
    <t>Zonenfehler:</t>
  </si>
  <si>
    <t>(0: noch keine gültige Eingabe)</t>
  </si>
  <si>
    <t>Abwärme aus gewerblicher Kälte</t>
  </si>
  <si>
    <t>Komfortlüftung mit Abluftwärmepumpe</t>
  </si>
  <si>
    <t>Lüftung Zone4:</t>
  </si>
  <si>
    <t>Einzelraum-Komfortlüftung</t>
  </si>
  <si>
    <t xml:space="preserve"> </t>
  </si>
  <si>
    <t>Gebäudedaten, Lüftung und Grenzwert:</t>
  </si>
  <si>
    <t>Text</t>
  </si>
  <si>
    <t>g</t>
  </si>
  <si>
    <t>Ölfeuerung</t>
  </si>
  <si>
    <t>Gasfeuerung</t>
  </si>
  <si>
    <t>Gas - Wassererwärmer</t>
  </si>
  <si>
    <t>Jahresmittel</t>
  </si>
  <si>
    <t>Zone2</t>
  </si>
  <si>
    <t>Zone3</t>
  </si>
  <si>
    <t>Zone4</t>
  </si>
  <si>
    <t>WRG</t>
  </si>
  <si>
    <t>Anzahl Räume mit Zuluft</t>
  </si>
  <si>
    <t>gesamt</t>
  </si>
  <si>
    <t>kWh/m2a</t>
  </si>
  <si>
    <t>keine WRG</t>
  </si>
  <si>
    <t>Industrienutzung:</t>
  </si>
  <si>
    <t>n.a.</t>
  </si>
  <si>
    <t>nurBadnutzung</t>
  </si>
  <si>
    <t>Wasser-Wärmepumpe, nur Warmwasser</t>
  </si>
  <si>
    <t>Wärmepumpe, Grundwasser, direkt, nur Heizung</t>
  </si>
  <si>
    <t>Wärmepumpe, Grundwasser, direkt, nur Warmwasser</t>
  </si>
  <si>
    <t>Wärmepumpe, Grundwasser, indirekt, nur Heizung</t>
  </si>
  <si>
    <t>Wärmepumpe, Grundwasser, indirekt, nur Warmwaser</t>
  </si>
  <si>
    <t>Wärmepumpe Erdregister, nur Heizung</t>
  </si>
  <si>
    <t>Wärmepumpe Erdregister, nur Warmwasser</t>
  </si>
  <si>
    <t>Solarenergie thermisch, nur Heizung</t>
  </si>
  <si>
    <t>Solarenergie thermisch, nur Warmwasser</t>
  </si>
  <si>
    <t>VII</t>
  </si>
  <si>
    <t>VIII</t>
  </si>
  <si>
    <t>IX</t>
  </si>
  <si>
    <t>X</t>
  </si>
  <si>
    <t>XI</t>
  </si>
  <si>
    <t>Station</t>
  </si>
  <si>
    <t>Temp.</t>
  </si>
  <si>
    <t>Zone 3</t>
  </si>
  <si>
    <t>Zone 4</t>
  </si>
  <si>
    <t>Gewichtung</t>
  </si>
  <si>
    <t>Verkauf</t>
  </si>
  <si>
    <t>Spitäler</t>
  </si>
  <si>
    <t>Lager</t>
  </si>
  <si>
    <t>Sportbau</t>
  </si>
  <si>
    <t>Grenzwerte</t>
  </si>
  <si>
    <t>h</t>
  </si>
  <si>
    <t>Heizung</t>
  </si>
  <si>
    <t>Warmwasser</t>
  </si>
  <si>
    <t xml:space="preserve">Vx = </t>
  </si>
  <si>
    <r>
      <t>m</t>
    </r>
    <r>
      <rPr>
        <vertAlign val="superscript"/>
        <sz val="8"/>
        <rFont val="Arial"/>
        <family val="2"/>
      </rPr>
      <t>3</t>
    </r>
    <r>
      <rPr>
        <sz val="8"/>
        <rFont val="Arial"/>
        <family val="2"/>
      </rPr>
      <t>/m</t>
    </r>
    <r>
      <rPr>
        <vertAlign val="superscript"/>
        <sz val="8"/>
        <rFont val="Arial"/>
        <family val="2"/>
      </rPr>
      <t>2</t>
    </r>
    <r>
      <rPr>
        <sz val="8"/>
        <rFont val="Arial"/>
        <family val="2"/>
      </rPr>
      <t>h</t>
    </r>
  </si>
  <si>
    <t>Kt.</t>
  </si>
  <si>
    <t>Klima-</t>
  </si>
  <si>
    <t>Höhe</t>
  </si>
  <si>
    <t>zone</t>
  </si>
  <si>
    <t>m.ü.M.</t>
  </si>
  <si>
    <t>Basel-Binningen</t>
  </si>
  <si>
    <t>BL</t>
  </si>
  <si>
    <t>Surface de référence énergétique AE, doit être reprise du calcul SIA 380/1.</t>
  </si>
  <si>
    <t>Installations de ventilation et de climatisation</t>
  </si>
  <si>
    <t>Besoins d'électricité pour la climatisation et l'humidification</t>
  </si>
  <si>
    <t>Rafraîchissement et/ou humidification ?</t>
  </si>
  <si>
    <t>Y aura-t-il un rafraîchissement ou une humidification?</t>
  </si>
  <si>
    <t>Erdregister-WP, Heizung</t>
  </si>
  <si>
    <t>Erdregister-WP, Warmwasser</t>
  </si>
  <si>
    <t>Grundwasser-WP, indir, Heizung</t>
  </si>
  <si>
    <t>Hinweis: Im Blatt 'Eingaben' wurde ein Lüftungsgerät mit integrierter Wärmepumpe gewählt
-&gt;  Wärmeerzeugung mit Abluft-WP wählen</t>
  </si>
  <si>
    <t>Solothurn</t>
  </si>
  <si>
    <t>MINERGIE-Gebühr</t>
  </si>
  <si>
    <t>EBF:</t>
  </si>
  <si>
    <t>Meldung für Standardlüftung</t>
  </si>
  <si>
    <t>2) Externe Berechnung beilegen und Werte in Zeilen E24 - E27 eintragen.</t>
  </si>
  <si>
    <t>1) Blatt Lüftung oder externe Berechnung beilegen und Werte in Zeilen E24-E27 eintragen.</t>
  </si>
  <si>
    <t>Auswahl Häckchen für "Zutreffendes ankreuzen"</t>
  </si>
  <si>
    <t>NE</t>
  </si>
  <si>
    <t>BE</t>
  </si>
  <si>
    <t>AG</t>
  </si>
  <si>
    <t>TG</t>
  </si>
  <si>
    <t>Schaffhausen</t>
  </si>
  <si>
    <t>SH</t>
  </si>
  <si>
    <t>St. Gallen</t>
  </si>
  <si>
    <t>SG</t>
  </si>
  <si>
    <t>Zürich SMA</t>
  </si>
  <si>
    <t>ZH</t>
  </si>
  <si>
    <t>Bern</t>
  </si>
  <si>
    <t>Luzern</t>
  </si>
  <si>
    <t>LU</t>
  </si>
  <si>
    <t>Fribourg</t>
  </si>
  <si>
    <t>Genève</t>
  </si>
  <si>
    <t>GE</t>
  </si>
  <si>
    <t>VD</t>
  </si>
  <si>
    <t>Neuchâtel</t>
  </si>
  <si>
    <t>Glarus</t>
  </si>
  <si>
    <t>GL</t>
  </si>
  <si>
    <t>Altdorf</t>
  </si>
  <si>
    <t>UR</t>
  </si>
  <si>
    <t>Engelberg</t>
  </si>
  <si>
    <t>OW</t>
  </si>
  <si>
    <t>Interlaken</t>
  </si>
  <si>
    <t>GR</t>
  </si>
  <si>
    <t>Chur</t>
  </si>
  <si>
    <t>Davos</t>
  </si>
  <si>
    <t>Disentis</t>
  </si>
  <si>
    <t>VS</t>
  </si>
  <si>
    <t>Gr. St. Bernhard</t>
  </si>
  <si>
    <t>Montana</t>
  </si>
  <si>
    <t>Sion</t>
  </si>
  <si>
    <t>Zermatt</t>
  </si>
  <si>
    <t>Schuls</t>
  </si>
  <si>
    <t>TI</t>
  </si>
  <si>
    <t>Locarno-Monti</t>
  </si>
  <si>
    <t>Lugano</t>
  </si>
  <si>
    <t>Robbia</t>
  </si>
  <si>
    <t xml:space="preserve">Vo = </t>
  </si>
  <si>
    <t>ja</t>
  </si>
  <si>
    <t>nein</t>
  </si>
  <si>
    <t>Zone</t>
  </si>
  <si>
    <t>MINERGIE</t>
  </si>
  <si>
    <t>Anzahl Zonen</t>
  </si>
  <si>
    <t>Deckungsgrad [%]</t>
  </si>
  <si>
    <t>Nutzungsgrad</t>
  </si>
  <si>
    <t>Wärmeerzeugung</t>
  </si>
  <si>
    <t>Holzfeuerung</t>
  </si>
  <si>
    <t>Photovoltaik</t>
  </si>
  <si>
    <t>Andere</t>
  </si>
  <si>
    <t>m2</t>
  </si>
  <si>
    <t>Solarenergie thermisch, Heizung</t>
  </si>
  <si>
    <t>Zusatzanforderungen</t>
  </si>
  <si>
    <t>Wärmeerzeugung A</t>
  </si>
  <si>
    <t>Wärmeerzeugung D</t>
  </si>
  <si>
    <t>Wärmeerzeugung C</t>
  </si>
  <si>
    <t>Wärmeerzeugung B</t>
  </si>
  <si>
    <t>Tag
B31</t>
  </si>
  <si>
    <t>oui</t>
  </si>
  <si>
    <t>non</t>
  </si>
  <si>
    <t>Gebäudekategorie</t>
  </si>
  <si>
    <t>MFH</t>
  </si>
  <si>
    <t>EFH</t>
  </si>
  <si>
    <t>Stand. Luftw.</t>
  </si>
  <si>
    <t>Lüftung Zone2:</t>
  </si>
  <si>
    <t>[MJ/m2a]</t>
  </si>
  <si>
    <t>[m2/P]</t>
  </si>
  <si>
    <t>(Tab links)</t>
  </si>
  <si>
    <t>Ventilatorantrieb mit</t>
  </si>
  <si>
    <t>Schule</t>
  </si>
  <si>
    <t>Index</t>
  </si>
  <si>
    <t>Dichtheit der Gebäudehülle</t>
  </si>
  <si>
    <t>Bemerkungen</t>
  </si>
  <si>
    <t>Wirkungsgrad Wärmerückgewinnung</t>
  </si>
  <si>
    <r>
      <t>h</t>
    </r>
    <r>
      <rPr>
        <vertAlign val="subscript"/>
        <sz val="8"/>
        <rFont val="Arial"/>
        <family val="2"/>
      </rPr>
      <t>WRG</t>
    </r>
  </si>
  <si>
    <t xml:space="preserve">Mittel </t>
  </si>
  <si>
    <t>AH</t>
  </si>
  <si>
    <t>Wärmeabgabe</t>
  </si>
  <si>
    <t>Heizkörper</t>
  </si>
  <si>
    <t>Luftheizung</t>
  </si>
  <si>
    <t>Lüftungsgerät mit Abluft-Wärmepumpe (keine Zuluft)</t>
  </si>
  <si>
    <t>Kreuzstrom</t>
  </si>
  <si>
    <t>Gegenstrom</t>
  </si>
  <si>
    <t>WRGtyp1</t>
  </si>
  <si>
    <t>WRGtyp2</t>
  </si>
  <si>
    <t>WRGtyp3</t>
  </si>
  <si>
    <t>Kompakt-WP ohne WRG, WW</t>
  </si>
  <si>
    <t>Kompakt-WP mit Zu- &amp; Abluft / WW plus WRG</t>
  </si>
  <si>
    <t>Komfortlüftung mit WRG</t>
  </si>
  <si>
    <t>Version geändert</t>
  </si>
  <si>
    <t>Auswahl Lüftung:</t>
  </si>
  <si>
    <t>WW-Bonus</t>
  </si>
  <si>
    <t xml:space="preserve">WWBonus: </t>
  </si>
  <si>
    <t>Mit Warmwasser ?</t>
  </si>
  <si>
    <t>Reihenfolge</t>
  </si>
  <si>
    <t>in Pulldown</t>
  </si>
  <si>
    <t>Text in Pulldown (eff. Reihenf.)</t>
  </si>
  <si>
    <t>Wahl</t>
  </si>
  <si>
    <t>Luftheizung?</t>
  </si>
  <si>
    <t>Kühlung</t>
  </si>
  <si>
    <t>Kompakt-WP mit Zu- &amp; Abluft / WW ohne WRG (nur Heizung)</t>
  </si>
  <si>
    <t>Kompakt-WP mit Zu- &amp; Abluft / WW ohne WRG (nur WW)</t>
  </si>
  <si>
    <t>Lüftungsgerät mit Abluft / Zuluft - Wärmepumpe ohne WRG</t>
  </si>
  <si>
    <t>Lüftungsgerät mit Abluft / Zuluft - Wärmepumpe plus WRG</t>
  </si>
  <si>
    <t>Ab- / Zuluft-WP + WRG</t>
  </si>
  <si>
    <t>Ab- / Zuluft-WP ohne WRG</t>
  </si>
  <si>
    <t>Kompakt-WP + WRG</t>
  </si>
  <si>
    <t>Kompakt-WP ohne WRG, Heizteil</t>
  </si>
  <si>
    <t>für Minergie-A</t>
  </si>
  <si>
    <t>Minergie-A ?</t>
  </si>
  <si>
    <t>B38</t>
  </si>
  <si>
    <t>MINERGIE - A</t>
  </si>
  <si>
    <t>Graue Energie</t>
  </si>
  <si>
    <t>WKK - thermischer+elektr. Anteil</t>
  </si>
  <si>
    <t>E7</t>
  </si>
  <si>
    <t>E8</t>
  </si>
  <si>
    <t>E9</t>
  </si>
  <si>
    <t>E10</t>
  </si>
  <si>
    <t>E11</t>
  </si>
  <si>
    <t>E13</t>
  </si>
  <si>
    <t>E16</t>
  </si>
  <si>
    <t>E17</t>
  </si>
  <si>
    <t>E18</t>
  </si>
  <si>
    <t>E19</t>
  </si>
  <si>
    <t>E21</t>
  </si>
  <si>
    <t>E23</t>
  </si>
  <si>
    <t>E24</t>
  </si>
  <si>
    <t>E30</t>
  </si>
  <si>
    <t>E31</t>
  </si>
  <si>
    <t>E32</t>
  </si>
  <si>
    <t>E33</t>
  </si>
  <si>
    <t>E34</t>
  </si>
  <si>
    <t>E35</t>
  </si>
  <si>
    <t>N1</t>
  </si>
  <si>
    <t>N2</t>
  </si>
  <si>
    <t>N3</t>
  </si>
  <si>
    <t>N4</t>
  </si>
  <si>
    <t>N6</t>
  </si>
  <si>
    <t>N7</t>
  </si>
  <si>
    <t>N8</t>
  </si>
  <si>
    <t>N9</t>
  </si>
  <si>
    <t>N10</t>
  </si>
  <si>
    <t>N11</t>
  </si>
  <si>
    <t>N12</t>
  </si>
  <si>
    <t>N13</t>
  </si>
  <si>
    <t>N14</t>
  </si>
  <si>
    <t>N15</t>
  </si>
  <si>
    <t>N16</t>
  </si>
  <si>
    <t>N17</t>
  </si>
  <si>
    <t>N18</t>
  </si>
  <si>
    <t>N19</t>
  </si>
  <si>
    <t>N20</t>
  </si>
  <si>
    <t>N21</t>
  </si>
  <si>
    <t>N22</t>
  </si>
  <si>
    <t>N23</t>
  </si>
  <si>
    <t>N35</t>
  </si>
  <si>
    <t>N38</t>
  </si>
  <si>
    <t>N39</t>
  </si>
  <si>
    <t>N40</t>
  </si>
  <si>
    <t>N41</t>
  </si>
  <si>
    <t>E36</t>
  </si>
  <si>
    <t>Wallis</t>
  </si>
  <si>
    <t>Zug</t>
  </si>
  <si>
    <t>Zürich</t>
  </si>
  <si>
    <t>Thurgau</t>
  </si>
  <si>
    <t>Jura</t>
  </si>
  <si>
    <t>Neuenburg</t>
  </si>
  <si>
    <t>Grundwasser-WP, indir, Warmw.</t>
  </si>
  <si>
    <t>B37</t>
  </si>
  <si>
    <t>Berechnung mit Standardwerten zulässig</t>
  </si>
  <si>
    <t>Auswahl Standardwerte</t>
  </si>
  <si>
    <t>Gebäudekategorie gewählt</t>
  </si>
  <si>
    <t>Auswahl Standardwete darstellen</t>
  </si>
  <si>
    <t>Zone2:</t>
  </si>
  <si>
    <t>Zone3:</t>
  </si>
  <si>
    <t>Zone4:</t>
  </si>
  <si>
    <t>Graue Energie Eingabe [MJ/m2]</t>
  </si>
  <si>
    <t>Grenzwert:</t>
  </si>
  <si>
    <t>Externe Berechnung beilegen</t>
  </si>
  <si>
    <t>Schwyz</t>
  </si>
  <si>
    <t>Obwalden</t>
  </si>
  <si>
    <t>Nidwalden</t>
  </si>
  <si>
    <t>Uri</t>
  </si>
  <si>
    <t>Graubünden</t>
  </si>
  <si>
    <t>Tessin</t>
  </si>
  <si>
    <t>Wärmepumpe, Abwasser, nur Heizung</t>
  </si>
  <si>
    <t>Wärmepumpe, Abwasser, nur Warmwasser</t>
  </si>
  <si>
    <t>Wasser-Wärmepumpe, nur Heizung</t>
  </si>
  <si>
    <t>WKK (Holz) - thermischer + elektrischer Anteil</t>
  </si>
  <si>
    <t>WKK Holz - therm.+elektr. Anteil</t>
  </si>
  <si>
    <t>Einzelraumlüft.</t>
  </si>
  <si>
    <t>Auto Fensterl.</t>
  </si>
  <si>
    <t>Abluftanlage mit Aussenluftdurchlässen</t>
  </si>
  <si>
    <t>Externe Eingabe Ausenluftrate zulässig</t>
  </si>
  <si>
    <t>Externe Eingabe Strom Lüftung zulässig</t>
  </si>
  <si>
    <t>möglich?</t>
  </si>
  <si>
    <t>B14</t>
  </si>
  <si>
    <t>mit WW</t>
  </si>
  <si>
    <t>MIN mit WW?</t>
  </si>
  <si>
    <t>Kurztext:</t>
  </si>
  <si>
    <t>Verknüpfung Typenwahl</t>
  </si>
  <si>
    <t>Ölheizung kondensierend</t>
  </si>
  <si>
    <t>Ölfeuerung kondens. Warmwasser</t>
  </si>
  <si>
    <t>Gasheizung kondensierend</t>
  </si>
  <si>
    <t>Gas kondensierend Warmwasser</t>
  </si>
  <si>
    <t>Luft-Wärmepumpe, Heizung</t>
  </si>
  <si>
    <t>Luft-Wärmepumpe, Warmwasser</t>
  </si>
  <si>
    <t>Klimazuschlag</t>
  </si>
  <si>
    <t xml:space="preserve">Lüftung: </t>
  </si>
  <si>
    <t>Bemerkung (Kurzform)</t>
  </si>
  <si>
    <t>typ1:</t>
  </si>
  <si>
    <t>typ2:</t>
  </si>
  <si>
    <t>Abluftanlage mit Abluftwärmepumpe</t>
  </si>
  <si>
    <t>N24</t>
  </si>
  <si>
    <t>Wärmeabgabesystem</t>
  </si>
  <si>
    <t>Neu-/Umbau</t>
  </si>
  <si>
    <t>Strombedarf Hilfsbetriebe</t>
  </si>
  <si>
    <t>B39</t>
  </si>
  <si>
    <t>B19</t>
  </si>
  <si>
    <t>Gebäudedaten</t>
  </si>
  <si>
    <t>Summe</t>
  </si>
  <si>
    <t>Industrie</t>
  </si>
  <si>
    <t>(Mittel)</t>
  </si>
  <si>
    <t>EBF</t>
  </si>
  <si>
    <t>Anforderung</t>
  </si>
  <si>
    <t>Strombedarf Lüftungsanlage</t>
  </si>
  <si>
    <t>B25</t>
  </si>
  <si>
    <t>Biomasse, eingebunden</t>
  </si>
  <si>
    <t>Biomasse, hydraulisch eingebunden</t>
  </si>
  <si>
    <t>Minergie-A</t>
  </si>
  <si>
    <t>Biomasse, hydr.</t>
  </si>
  <si>
    <t>therm. Solar</t>
  </si>
  <si>
    <t>Therm. Solar</t>
  </si>
  <si>
    <t>Deckungsgrad Heizung Solar</t>
  </si>
  <si>
    <t>Deckungsgrad WW Solar</t>
  </si>
  <si>
    <t xml:space="preserve">Total:  </t>
  </si>
  <si>
    <t xml:space="preserve">Minimalwert:  </t>
  </si>
  <si>
    <t xml:space="preserve">Minergie-A-Grenzwert erhöht?  </t>
  </si>
  <si>
    <t>Deckungsgrad Heizung Biomasse</t>
  </si>
  <si>
    <t>Deckungsgrad WW Biomasse</t>
  </si>
  <si>
    <t>Deckungsgrad Biomasse hydr.</t>
  </si>
  <si>
    <t>Deckungsgrad Solar WW+Heiz</t>
  </si>
  <si>
    <t>Strom Klima + Hilfsbetriebe</t>
  </si>
  <si>
    <t>B31</t>
  </si>
  <si>
    <t>Lüftung-Klima-Kälteanlagen</t>
  </si>
  <si>
    <t>Bauteilheizung</t>
  </si>
  <si>
    <t>Kombination</t>
  </si>
  <si>
    <t>System:</t>
  </si>
  <si>
    <t>Bodenheizung</t>
  </si>
  <si>
    <t>Deckenheiz.</t>
  </si>
  <si>
    <t>Grundwasser-WP direkt, Heizung</t>
  </si>
  <si>
    <t>Grundwasser-WP dir. Warmwasser</t>
  </si>
  <si>
    <t>Solarenergie therm. Warmwasser</t>
  </si>
  <si>
    <t>Solarenergie Heizung + WW</t>
  </si>
  <si>
    <t>kWh/m2</t>
  </si>
  <si>
    <t>ww</t>
  </si>
  <si>
    <t>heiz</t>
  </si>
  <si>
    <t>1=Ja</t>
  </si>
  <si>
    <t>WRG mit WP bei Lüftung, WRG aus Badwasser</t>
  </si>
  <si>
    <t>Auswahl Venti-Antrieb der Standardlüftung</t>
  </si>
  <si>
    <t>Datum</t>
  </si>
  <si>
    <t>geprüft durch</t>
  </si>
  <si>
    <r>
      <t>A</t>
    </r>
    <r>
      <rPr>
        <vertAlign val="subscript"/>
        <sz val="8"/>
        <rFont val="Arial"/>
        <family val="2"/>
      </rPr>
      <t>th</t>
    </r>
    <r>
      <rPr>
        <sz val="8"/>
        <rFont val="Arial"/>
        <family val="2"/>
      </rPr>
      <t>/A</t>
    </r>
    <r>
      <rPr>
        <vertAlign val="subscript"/>
        <sz val="8"/>
        <rFont val="Arial"/>
        <family val="2"/>
      </rPr>
      <t>E</t>
    </r>
  </si>
  <si>
    <r>
      <t>V'/A</t>
    </r>
    <r>
      <rPr>
        <vertAlign val="subscript"/>
        <sz val="8"/>
        <rFont val="Arial"/>
        <family val="2"/>
      </rPr>
      <t>E</t>
    </r>
  </si>
  <si>
    <t>Angabe fehlt</t>
  </si>
  <si>
    <t>Thermisch wirksame Aussenluftrate</t>
  </si>
  <si>
    <t>Grenzwerte:</t>
  </si>
  <si>
    <t>Calcul externe annexé</t>
  </si>
  <si>
    <t>Donnée manque</t>
  </si>
  <si>
    <t>Remarque: dans la feuille 'Entrée' une installation de ventilation avec PAC intégrée a été choisie</t>
  </si>
  <si>
    <t>Taux de couverture trop haut</t>
  </si>
  <si>
    <t>Chauffage choisi</t>
  </si>
  <si>
    <t>Eau chaude choisie</t>
  </si>
  <si>
    <t>Calcul annexé</t>
  </si>
  <si>
    <t>Choisir un chauffage électrique complémentaire de l'ECS</t>
  </si>
  <si>
    <t>Primäranforderungen</t>
  </si>
  <si>
    <t>Minergie</t>
  </si>
  <si>
    <t>Spezial</t>
  </si>
  <si>
    <t>A125</t>
  </si>
  <si>
    <t>B21</t>
  </si>
  <si>
    <t>B23</t>
  </si>
  <si>
    <t>B24</t>
  </si>
  <si>
    <t>WWSoll</t>
  </si>
  <si>
    <t>Nenn-Luftvolumenstrom</t>
  </si>
  <si>
    <t>Massgebender Grenzwert</t>
  </si>
  <si>
    <t>Zone 1</t>
  </si>
  <si>
    <t>Zone 2</t>
  </si>
  <si>
    <t xml:space="preserve">  </t>
  </si>
  <si>
    <t>Argovie</t>
  </si>
  <si>
    <t>Appenzell Rhodes-Intérieures</t>
  </si>
  <si>
    <t>Berne</t>
  </si>
  <si>
    <t>Bâle-Campagne</t>
  </si>
  <si>
    <t>Bâle-Ville</t>
  </si>
  <si>
    <t>Glaris</t>
  </si>
  <si>
    <t>Lucerne</t>
  </si>
  <si>
    <t>Nidwald</t>
  </si>
  <si>
    <t>Obwald</t>
  </si>
  <si>
    <t>St-Gall</t>
  </si>
  <si>
    <t>Schaffhouse</t>
  </si>
  <si>
    <t>Soleure</t>
  </si>
  <si>
    <t>Schwytz</t>
  </si>
  <si>
    <t>Thurgovie</t>
  </si>
  <si>
    <t>Vaud</t>
  </si>
  <si>
    <t>Valais</t>
  </si>
  <si>
    <t>Zoug</t>
  </si>
  <si>
    <t>Zurich</t>
  </si>
  <si>
    <t>Principauté du Liechtenstein</t>
  </si>
  <si>
    <t>spécial</t>
  </si>
  <si>
    <t>Aération avec PAC air repris/fourni et récup. de chaleur</t>
  </si>
  <si>
    <t>Aération avec PAC air repris/fourni sans récup. de chaleur</t>
  </si>
  <si>
    <t>Aération air repris avec PAC (sans air fourni)</t>
  </si>
  <si>
    <t>m3/hm2</t>
  </si>
  <si>
    <t>m3/h</t>
  </si>
  <si>
    <t>m3/m2h</t>
  </si>
  <si>
    <t xml:space="preserve"> kWh/m2</t>
  </si>
  <si>
    <t>PAC air fourni/repris avec récup. de chaleur</t>
  </si>
  <si>
    <t>PAC air fourni/repris sans récup. de chaleur</t>
  </si>
  <si>
    <t>PAC air repris sans air fourni</t>
  </si>
  <si>
    <t>PAC compacte avec récup. de chaleur</t>
  </si>
  <si>
    <t>PAC compacte sans récup. de chaleur, chauffage</t>
  </si>
  <si>
    <t>G56</t>
  </si>
  <si>
    <t>Klima nach SIA 2028</t>
  </si>
  <si>
    <t>Adelboden</t>
  </si>
  <si>
    <t>Aigle</t>
  </si>
  <si>
    <t>Bern  Liebefeld</t>
  </si>
  <si>
    <t>Buchs Aarau</t>
  </si>
  <si>
    <t>Güttingen</t>
  </si>
  <si>
    <t>La Chaux-de-Fonds</t>
  </si>
  <si>
    <t>La Frêtaz</t>
  </si>
  <si>
    <t>Magadino</t>
  </si>
  <si>
    <t>Payerne</t>
  </si>
  <si>
    <t>Piotta</t>
  </si>
  <si>
    <t>Pully</t>
  </si>
  <si>
    <t>Rünenberg</t>
  </si>
  <si>
    <t>Samedan</t>
  </si>
  <si>
    <t>San Bernardino</t>
  </si>
  <si>
    <t>Ulrichen</t>
  </si>
  <si>
    <t>Vaduz</t>
  </si>
  <si>
    <t>Wynau</t>
  </si>
  <si>
    <t>Zürich-Kloten</t>
  </si>
  <si>
    <t>Aargau</t>
  </si>
  <si>
    <t>Appenzell Innerrhoden</t>
  </si>
  <si>
    <t>Appenzell Ausserrhoden</t>
  </si>
  <si>
    <t>Basel Land</t>
  </si>
  <si>
    <t>Basel Stadt</t>
  </si>
  <si>
    <t>Waadt</t>
  </si>
  <si>
    <t>Fürstentum Liechtenstein</t>
  </si>
  <si>
    <t>Kanton:</t>
  </si>
  <si>
    <t>BS</t>
  </si>
  <si>
    <t>FL</t>
  </si>
  <si>
    <t>Blatt</t>
  </si>
  <si>
    <t>Zelle</t>
  </si>
  <si>
    <t>Standardwerte</t>
  </si>
  <si>
    <t>Choisir "Aération avec PAC air repris/fourni avec récup. de chaleur" ou PAC compacte avec air fourni/repris et ECS avec récup. de chaleur"</t>
  </si>
  <si>
    <t>Apport annuel net par kWp (valeur standard)</t>
  </si>
  <si>
    <t xml:space="preserve">Zone1: </t>
  </si>
  <si>
    <t xml:space="preserve">Zone2: </t>
  </si>
  <si>
    <t xml:space="preserve">Zone3: </t>
  </si>
  <si>
    <t xml:space="preserve">Zone4: </t>
  </si>
  <si>
    <t>Wechselstrom - Motor</t>
  </si>
  <si>
    <t>Gleichstrom/EC - Motor</t>
  </si>
  <si>
    <t>Rotations-WT</t>
  </si>
  <si>
    <t>Kategorie</t>
  </si>
  <si>
    <t>Kategorie:</t>
  </si>
  <si>
    <t>Standard-Lüftungsanlagentyp</t>
  </si>
  <si>
    <t xml:space="preserve">Zone1 = </t>
  </si>
  <si>
    <t xml:space="preserve">Zone2 = </t>
  </si>
  <si>
    <t xml:space="preserve">Zone3 = </t>
  </si>
  <si>
    <t xml:space="preserve">Zone4 = </t>
  </si>
  <si>
    <t>Auswahl Pulldown:</t>
  </si>
  <si>
    <t>Lüftung Zone1:</t>
  </si>
  <si>
    <t>Personenfläche</t>
  </si>
  <si>
    <t>Lüftung</t>
  </si>
  <si>
    <t>AC-Motor</t>
  </si>
  <si>
    <t>DC/EC-Motor</t>
  </si>
  <si>
    <t>kein Ventilator</t>
  </si>
  <si>
    <t>(Heizung + Warmwasser)</t>
  </si>
  <si>
    <t>Klimastation + Nutzungen</t>
  </si>
  <si>
    <t xml:space="preserve">Total/Mittel </t>
  </si>
  <si>
    <t>Aussenluftvolumenstrom durch Gebäudehülle</t>
  </si>
  <si>
    <t>Neubau</t>
  </si>
  <si>
    <t>Altbau</t>
  </si>
  <si>
    <t>MINERGIE-P</t>
  </si>
  <si>
    <t xml:space="preserve">Zone 1  </t>
  </si>
  <si>
    <t xml:space="preserve">Zone 2  </t>
  </si>
  <si>
    <t xml:space="preserve">Zone 3  </t>
  </si>
  <si>
    <t xml:space="preserve">Zone 4  </t>
  </si>
  <si>
    <t>Grenzwert</t>
  </si>
  <si>
    <t>Heizleist.qh</t>
  </si>
  <si>
    <t>max. spez.</t>
  </si>
  <si>
    <t>Betriebszeit</t>
  </si>
  <si>
    <t>Minergie-P ?</t>
  </si>
  <si>
    <t>Auswahl Minergie oder Minergie-P</t>
  </si>
  <si>
    <t>Minergie-P</t>
  </si>
  <si>
    <t>möglich ?</t>
  </si>
  <si>
    <t>Wahl Warmwasser auf "Eingaben"</t>
  </si>
  <si>
    <t>Text:</t>
  </si>
  <si>
    <t>Logik:</t>
  </si>
  <si>
    <t>Liste:</t>
  </si>
  <si>
    <t>Qww</t>
  </si>
  <si>
    <t>Qww*EBF</t>
  </si>
  <si>
    <t>Qww, Mittel</t>
  </si>
  <si>
    <t>kWh</t>
  </si>
  <si>
    <t>WW-Reduktion</t>
  </si>
  <si>
    <t>Auswahl, ob Nutzungszone mit Warmwasser gerechnet wird.</t>
  </si>
  <si>
    <t>Warmwasser in Erzeugung</t>
  </si>
  <si>
    <t>erfüllt</t>
  </si>
  <si>
    <t>nicht erfüllt</t>
  </si>
  <si>
    <t>E27</t>
  </si>
  <si>
    <t>Einfache Berechnung zulässig</t>
  </si>
  <si>
    <t>Plausibilität und Meldungen auf Blatt "Eingaben"</t>
  </si>
  <si>
    <t>Lüftung:</t>
  </si>
  <si>
    <t>Klima:</t>
  </si>
  <si>
    <t>Zusatzanforderungen:</t>
  </si>
  <si>
    <t>Kategorien:</t>
  </si>
  <si>
    <t>Übertrag</t>
  </si>
  <si>
    <t>total:</t>
  </si>
  <si>
    <t>Klimazuschlag   [kWh/m2]</t>
  </si>
  <si>
    <t>Therm. Aussenluftvolumenstrom</t>
  </si>
  <si>
    <t>Wahl Wärmeerzeugung:</t>
  </si>
  <si>
    <t>Deckungsgrad</t>
  </si>
  <si>
    <t>Total:</t>
  </si>
  <si>
    <t>oder JAZ</t>
  </si>
  <si>
    <t>[kWh/m2]</t>
  </si>
  <si>
    <t>MINERGIE (neu)</t>
  </si>
  <si>
    <t>MINERGIE (alt)</t>
  </si>
  <si>
    <t>Beleuchtung</t>
  </si>
  <si>
    <t>Zusatzanforderung</t>
  </si>
  <si>
    <t>Auswahl</t>
  </si>
  <si>
    <t>Ausgewählte Kategorien</t>
  </si>
  <si>
    <t>Zusatzanforderung erfüllt?</t>
  </si>
  <si>
    <t>Übertrag weitere Wärmeerzeugungen</t>
  </si>
  <si>
    <t>Heizwärmebedarf mit Standardluftwechsel</t>
  </si>
  <si>
    <r>
      <t>Q</t>
    </r>
    <r>
      <rPr>
        <vertAlign val="subscript"/>
        <sz val="8"/>
        <rFont val="Arial"/>
        <family val="2"/>
      </rPr>
      <t>e,L</t>
    </r>
  </si>
  <si>
    <r>
      <t>Q</t>
    </r>
    <r>
      <rPr>
        <vertAlign val="subscript"/>
        <sz val="8"/>
        <rFont val="Arial"/>
        <family val="2"/>
      </rPr>
      <t>e,K</t>
    </r>
  </si>
  <si>
    <t>B44</t>
  </si>
  <si>
    <t>Nachweis</t>
  </si>
  <si>
    <t>WKK (fossil) - thermischer + elektrischer Anteil</t>
  </si>
  <si>
    <t>keine</t>
  </si>
  <si>
    <t>Pulldown:</t>
  </si>
  <si>
    <t>L7</t>
  </si>
  <si>
    <r>
      <t>Q</t>
    </r>
    <r>
      <rPr>
        <vertAlign val="subscript"/>
        <sz val="8"/>
        <rFont val="Arial"/>
        <family val="2"/>
      </rPr>
      <t>h,korr</t>
    </r>
  </si>
  <si>
    <t>Schulnutzung</t>
  </si>
  <si>
    <t>Verkaufsnutzung</t>
  </si>
  <si>
    <t>Bueronutzung</t>
  </si>
  <si>
    <t xml:space="preserve"> - bei laufender Lüftungsanlage:</t>
  </si>
  <si>
    <t xml:space="preserve"> - bei stillstehender Lüftungsanlage:</t>
  </si>
  <si>
    <t>Zone1</t>
  </si>
  <si>
    <t>Standard-Luftwechsel:</t>
  </si>
  <si>
    <t>Klimastation:</t>
  </si>
  <si>
    <t>XII</t>
  </si>
  <si>
    <t>Kurztext</t>
  </si>
  <si>
    <r>
      <t>EBF</t>
    </r>
    <r>
      <rPr>
        <vertAlign val="subscript"/>
        <sz val="8"/>
        <rFont val="Arial"/>
        <family val="2"/>
      </rPr>
      <t>0</t>
    </r>
  </si>
  <si>
    <t>[m3/m2/h]</t>
  </si>
  <si>
    <t>Lüftung Zone3:</t>
  </si>
  <si>
    <t>ungewichtet</t>
  </si>
  <si>
    <t>gewichtet</t>
  </si>
  <si>
    <t>Solaranlagen</t>
  </si>
  <si>
    <t>WKK</t>
  </si>
  <si>
    <t>Wärme</t>
  </si>
  <si>
    <t>Endenergie</t>
  </si>
  <si>
    <t>Strom</t>
  </si>
  <si>
    <t>Farbe Deckungsgrad</t>
  </si>
  <si>
    <t>Stromprod.</t>
  </si>
  <si>
    <t>Standard</t>
  </si>
  <si>
    <t>max.</t>
  </si>
  <si>
    <t>heiz+ww</t>
  </si>
  <si>
    <t>nur</t>
  </si>
  <si>
    <t>Fehler /</t>
  </si>
  <si>
    <t>Eingabe</t>
  </si>
  <si>
    <t>Rechenwert</t>
  </si>
  <si>
    <t>Heiz</t>
  </si>
  <si>
    <t>WW</t>
  </si>
  <si>
    <t>Nutzungsg.</t>
  </si>
  <si>
    <t>max. Nutzun.</t>
  </si>
  <si>
    <t>Deckungsgrad total:</t>
  </si>
  <si>
    <t>.</t>
  </si>
  <si>
    <r>
      <rPr>
        <b/>
        <sz val="10"/>
        <color indexed="9"/>
        <rFont val="Symbol"/>
        <family val="1"/>
        <charset val="2"/>
      </rPr>
      <t>h</t>
    </r>
    <r>
      <rPr>
        <b/>
        <sz val="10"/>
        <color indexed="9"/>
        <rFont val="Arial"/>
        <family val="2"/>
      </rPr>
      <t xml:space="preserve"> max</t>
    </r>
  </si>
  <si>
    <t>Text 1</t>
  </si>
  <si>
    <t>Text 2</t>
  </si>
  <si>
    <t>Nutzungsgrad elektrisch (Berechnung beilegen)</t>
  </si>
  <si>
    <t>Absorberfläche [m2]</t>
  </si>
  <si>
    <t>Netto-Ertrag pro m2 Absorberfläche  [kWh/m2]</t>
  </si>
  <si>
    <t>Nennleistung [kWp]</t>
  </si>
  <si>
    <t>Nr</t>
  </si>
  <si>
    <t>Energienachweis</t>
  </si>
  <si>
    <t>EN-101b</t>
  </si>
  <si>
    <t>Rechnerische Lösung</t>
  </si>
  <si>
    <t>Beilagen (alle Beilagen der linken Spalte einreichen)</t>
  </si>
  <si>
    <t>Zutreffendes ankreuzen</t>
  </si>
  <si>
    <t>Externe Berechnung der Kälteanlage</t>
  </si>
  <si>
    <t xml:space="preserve">                Schema der Lüftung</t>
  </si>
  <si>
    <t>Unterschriften</t>
  </si>
  <si>
    <t xml:space="preserve"> Nachweis erarbeitet durch:</t>
  </si>
  <si>
    <t xml:space="preserve"> Nachweisprüfung / Private Kontrolle:</t>
  </si>
  <si>
    <t xml:space="preserve"> Die Richtigkeit bescheinigt</t>
  </si>
  <si>
    <t>Name und Adresse</t>
  </si>
  <si>
    <t>bzw. Firmenstempel</t>
  </si>
  <si>
    <t>Sachbearbeiter/-in, Tel.:</t>
  </si>
  <si>
    <t>Ort, Datum, Unterschrift:</t>
  </si>
  <si>
    <t>Ausführungskontrolle:</t>
  </si>
  <si>
    <t xml:space="preserve">                Pläne 1:100 mit Bezeichnung der Bauteile, Situation, Details</t>
  </si>
  <si>
    <t>Externe Berechnung</t>
  </si>
  <si>
    <t>Auswahl Lüftungsart</t>
  </si>
  <si>
    <t xml:space="preserve">                Schema Heizung und Lüftung</t>
  </si>
  <si>
    <t>Schema Heizung und Lüftung</t>
  </si>
  <si>
    <t>Externe Berechnungen und Datenblätter</t>
  </si>
  <si>
    <t>x</t>
  </si>
  <si>
    <t>Nutzungsgrad / JAZ</t>
  </si>
  <si>
    <t>Gleiche Person</t>
  </si>
  <si>
    <t>oder:</t>
  </si>
  <si>
    <t>Zugeführte Elektrizität (ungewichtet)</t>
  </si>
  <si>
    <t>Zugeführte Energie (ohne Strom, gewichtet)</t>
  </si>
  <si>
    <t>Versammlungslokale</t>
  </si>
  <si>
    <t>MUKEN</t>
  </si>
  <si>
    <t>Höhenkorrektur</t>
  </si>
  <si>
    <t>mit</t>
  </si>
  <si>
    <r>
      <t>EBF</t>
    </r>
    <r>
      <rPr>
        <vertAlign val="subscript"/>
        <sz val="9"/>
        <rFont val="Arial"/>
        <family val="2"/>
      </rPr>
      <t>MUKEN</t>
    </r>
  </si>
  <si>
    <t>ohne Warmwasser falls abgewählt</t>
  </si>
  <si>
    <r>
      <t>qh</t>
    </r>
    <r>
      <rPr>
        <vertAlign val="subscript"/>
        <sz val="9"/>
        <rFont val="Arial"/>
        <family val="2"/>
      </rPr>
      <t>MUKEN</t>
    </r>
  </si>
  <si>
    <r>
      <t>qw</t>
    </r>
    <r>
      <rPr>
        <vertAlign val="subscript"/>
        <sz val="9"/>
        <rFont val="Arial"/>
        <family val="2"/>
      </rPr>
      <t>MUKEN</t>
    </r>
  </si>
  <si>
    <t>kWh/m2  (Klimastationen in gleicher Reihenfolge wie oben)</t>
  </si>
  <si>
    <t>Klimakorrektur MUKEN 2014:</t>
  </si>
  <si>
    <t>Rest,</t>
  </si>
  <si>
    <t>Versamml.</t>
  </si>
  <si>
    <t>Spital</t>
  </si>
  <si>
    <t>Sport</t>
  </si>
  <si>
    <t>Hallenbad</t>
  </si>
  <si>
    <t xml:space="preserve">Gemeinde:             </t>
  </si>
  <si>
    <t xml:space="preserve">Bauvorhaben:            </t>
  </si>
  <si>
    <t xml:space="preserve">Geb.-Nr.:  </t>
  </si>
  <si>
    <t xml:space="preserve">Parz.-Nr.:  </t>
  </si>
  <si>
    <t>20% erneuerb.</t>
  </si>
  <si>
    <t>N25</t>
  </si>
  <si>
    <t>Warmwasser mit mindestens 20% erneuerbarer Energie erzeugt (für Restaurants / Sportbauten / Hallenbäder)</t>
  </si>
  <si>
    <t>Einheiten</t>
  </si>
  <si>
    <t>max.m2</t>
  </si>
  <si>
    <t>Kleinanlagen</t>
  </si>
  <si>
    <t>Ja/Nein</t>
  </si>
  <si>
    <t>keine Lüftung</t>
  </si>
  <si>
    <t>Lüftung+WRG</t>
  </si>
  <si>
    <t>keine Lüftungsanlage</t>
  </si>
  <si>
    <t>Lüftung ohne WRG</t>
  </si>
  <si>
    <t>Lüftung+WP</t>
  </si>
  <si>
    <t>Abluft - WP</t>
  </si>
  <si>
    <t>Zu- / Abluft</t>
  </si>
  <si>
    <t>nur Abluft</t>
  </si>
  <si>
    <t>Luftmenge/Einheit</t>
  </si>
  <si>
    <t>Luftwechsel</t>
  </si>
  <si>
    <t>h/a</t>
  </si>
  <si>
    <t>Nennluft/Einheit</t>
  </si>
  <si>
    <t>v min</t>
  </si>
  <si>
    <t>Motor</t>
  </si>
  <si>
    <t>spezifischer Strombedarf der Lüftung (Standardwerte für Kleinanlagen mit AC-Motor)</t>
  </si>
  <si>
    <t>AC/EC-Motor:</t>
  </si>
  <si>
    <t>Strombedarf Standardlüftung</t>
  </si>
  <si>
    <t>Laufzeit Standardlüftung</t>
  </si>
  <si>
    <r>
      <t>Q</t>
    </r>
    <r>
      <rPr>
        <vertAlign val="subscript"/>
        <sz val="8"/>
        <rFont val="Arial"/>
        <family val="2"/>
      </rPr>
      <t>el</t>
    </r>
  </si>
  <si>
    <t>WT der Standardlüftung</t>
  </si>
  <si>
    <t>( aus SIA 380/1 )</t>
  </si>
  <si>
    <t>Art des Nachweises</t>
  </si>
  <si>
    <t>behördlicher Nachweis</t>
  </si>
  <si>
    <t>MINERGIE-A</t>
  </si>
  <si>
    <t xml:space="preserve">Gebäudestandort: </t>
  </si>
  <si>
    <t xml:space="preserve">Art des Nachweises: </t>
  </si>
  <si>
    <t>Restaurant</t>
  </si>
  <si>
    <t>Vers.-Lokal</t>
  </si>
  <si>
    <t>Fehler:</t>
  </si>
  <si>
    <t>fehlende Eingabe</t>
  </si>
  <si>
    <t>falsche Eingabe</t>
  </si>
  <si>
    <t xml:space="preserve">Angaben bei Standard-Lüftungsanlagen </t>
  </si>
  <si>
    <r>
      <t>Q</t>
    </r>
    <r>
      <rPr>
        <vertAlign val="subscript"/>
        <sz val="8"/>
        <rFont val="Arial"/>
        <family val="2"/>
      </rPr>
      <t>h,eff</t>
    </r>
  </si>
  <si>
    <t>Canton:</t>
  </si>
  <si>
    <t>H13</t>
  </si>
  <si>
    <t>Sprache:</t>
  </si>
  <si>
    <t>Calcul externe</t>
  </si>
  <si>
    <t>K1</t>
  </si>
  <si>
    <t>G2</t>
  </si>
  <si>
    <t>G3</t>
  </si>
  <si>
    <t>G4</t>
  </si>
  <si>
    <t>B7</t>
  </si>
  <si>
    <t>H7</t>
  </si>
  <si>
    <t>H14</t>
  </si>
  <si>
    <t>B8</t>
  </si>
  <si>
    <t>B13</t>
  </si>
  <si>
    <t>E14</t>
  </si>
  <si>
    <t>G13</t>
  </si>
  <si>
    <t>B15</t>
  </si>
  <si>
    <t>B16</t>
  </si>
  <si>
    <t>B17</t>
  </si>
  <si>
    <t>Y47</t>
  </si>
  <si>
    <t>Y48</t>
  </si>
  <si>
    <t>Y49</t>
  </si>
  <si>
    <t>Y50</t>
  </si>
  <si>
    <t>AA47</t>
  </si>
  <si>
    <t>AA48</t>
  </si>
  <si>
    <t>A108</t>
  </si>
  <si>
    <t>H15</t>
  </si>
  <si>
    <t>K15</t>
  </si>
  <si>
    <t>K16</t>
  </si>
  <si>
    <t>B27</t>
  </si>
  <si>
    <t>B28</t>
  </si>
  <si>
    <t>B29</t>
  </si>
  <si>
    <t>B30</t>
  </si>
  <si>
    <t>Räume mit Zuluft oder Anzahl Personen</t>
  </si>
  <si>
    <t>B32</t>
  </si>
  <si>
    <t>B42</t>
  </si>
  <si>
    <t>B41</t>
  </si>
  <si>
    <t>B40</t>
  </si>
  <si>
    <t>J114</t>
  </si>
  <si>
    <t>J115</t>
  </si>
  <si>
    <t>J116</t>
  </si>
  <si>
    <t>J117</t>
  </si>
  <si>
    <t>B43</t>
  </si>
  <si>
    <t>B45</t>
  </si>
  <si>
    <t>B46</t>
  </si>
  <si>
    <t>Tag
B39</t>
  </si>
  <si>
    <t>Tag
B45</t>
  </si>
  <si>
    <t>Zwingende Eingabe Qh,eff oder Qh,korr:
Heizwärmebedarf Qh,eff mit effektivem, thermisch wirksamen Aussenluftvolumenstrom Vth aus der Berechnung SIA 380/1:2009 übertragen.</t>
  </si>
  <si>
    <t>Tag
B46</t>
  </si>
  <si>
    <t>Resultate aus externer Berechnung, z.B. externes Lüftungsblatt, in diesem Abschnitt einfügen.
Zwingende Eingabe bei Klimaanlagen.</t>
  </si>
  <si>
    <t>Tag
B38</t>
  </si>
  <si>
    <t>Tag
B19</t>
  </si>
  <si>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t>
  </si>
  <si>
    <t>Tag
B17</t>
  </si>
  <si>
    <t>Tag
B21</t>
  </si>
  <si>
    <t>Tag
B27</t>
  </si>
  <si>
    <t>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t>
  </si>
  <si>
    <t>Eingabe nur bei Nutzungen EFH und MFH bis 2'000 m2 oder bei Verwaltung und Schulen bis 1'000 m2 möglich.</t>
  </si>
  <si>
    <t>Tag
B30</t>
  </si>
  <si>
    <t>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t>
  </si>
  <si>
    <t>Tag
B32</t>
  </si>
  <si>
    <t>Anzahl Räume mit Zuluft:
Nur bei Wohnnutzung (EFH oder MFH) erforderliche Eingabe
Anzahl Personen (total pro Zone):
Eingabe bei Verwaltung oder Schulen erforderlich.
Wird für die Berechnung der Zuluftmenge verwendet.</t>
  </si>
  <si>
    <t>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t>
  </si>
  <si>
    <t>Tag
B34</t>
  </si>
  <si>
    <t>Eingabe bei Kleinanlagen mit Standardwerten:
Verwendete Motoren für die Lüftungsventilatoren: Wechselstrom (AC) oder Gleichstrom (DC)</t>
  </si>
  <si>
    <t>Tag
B35</t>
  </si>
  <si>
    <t>AF40</t>
  </si>
  <si>
    <t>AF41</t>
  </si>
  <si>
    <t>Primäranforde- rung nicht erf.</t>
  </si>
  <si>
    <t>K24</t>
  </si>
  <si>
    <t>Anforderung 2 nicht erfüllt</t>
  </si>
  <si>
    <t>BC37</t>
  </si>
  <si>
    <t>BC38</t>
  </si>
  <si>
    <t>BC39</t>
  </si>
  <si>
    <t>BC40</t>
  </si>
  <si>
    <t>BC41</t>
  </si>
  <si>
    <t>BC42</t>
  </si>
  <si>
    <t>BC43</t>
  </si>
  <si>
    <t>BC44</t>
  </si>
  <si>
    <t>BC45</t>
  </si>
  <si>
    <t>BC46</t>
  </si>
  <si>
    <t>BC47</t>
  </si>
  <si>
    <t>BC48</t>
  </si>
  <si>
    <t>O36</t>
  </si>
  <si>
    <t>O37</t>
  </si>
  <si>
    <t>O38</t>
  </si>
  <si>
    <t>O39</t>
  </si>
  <si>
    <t>O40</t>
  </si>
  <si>
    <t>O41</t>
  </si>
  <si>
    <t>O42</t>
  </si>
  <si>
    <t>O43</t>
  </si>
  <si>
    <t>N55</t>
  </si>
  <si>
    <t>N56</t>
  </si>
  <si>
    <t>N57</t>
  </si>
  <si>
    <t>N58</t>
  </si>
  <si>
    <t>N59</t>
  </si>
  <si>
    <t>AB47</t>
  </si>
  <si>
    <t>AB48</t>
  </si>
  <si>
    <t>B48</t>
  </si>
  <si>
    <t>C48</t>
  </si>
  <si>
    <t>G48</t>
  </si>
  <si>
    <t>G49</t>
  </si>
  <si>
    <t>B51</t>
  </si>
  <si>
    <t>B52</t>
  </si>
  <si>
    <t>B55</t>
  </si>
  <si>
    <t>B56</t>
  </si>
  <si>
    <t>B58</t>
  </si>
  <si>
    <t>B57</t>
  </si>
  <si>
    <t>B60</t>
  </si>
  <si>
    <t>B61</t>
  </si>
  <si>
    <t>C60</t>
  </si>
  <si>
    <t>F60</t>
  </si>
  <si>
    <t>D38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</si>
  <si>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</si>
  <si>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</si>
  <si>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</si>
  <si>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</si>
  <si>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</si>
  <si>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</si>
  <si>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</si>
  <si>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</si>
  <si>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</si>
  <si>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</si>
  <si>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</si>
  <si>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</si>
  <si>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</si>
  <si>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</si>
  <si>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</si>
  <si>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</si>
  <si>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</si>
  <si>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</si>
  <si>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</si>
  <si>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</si>
  <si>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</si>
  <si>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</si>
  <si>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</si>
  <si>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</si>
  <si>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</si>
  <si>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</si>
  <si>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</si>
  <si>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</si>
  <si>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</si>
  <si>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</si>
  <si>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</si>
  <si>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</si>
  <si>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</si>
  <si>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</si>
  <si>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</si>
  <si>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</si>
  <si>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</si>
  <si>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</si>
  <si>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</si>
  <si>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</si>
  <si>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</si>
  <si>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</si>
  <si>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</si>
  <si>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</si>
  <si>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</si>
  <si>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</si>
  <si>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</si>
  <si>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</si>
  <si>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</si>
  <si>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</si>
  <si>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</si>
  <si>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</si>
  <si>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</si>
  <si>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</si>
  <si>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</si>
  <si>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</si>
  <si>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</si>
  <si>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</si>
  <si>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</si>
  <si>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</si>
  <si>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</si>
  <si>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</si>
  <si>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</si>
  <si>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</si>
  <si>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</si>
  <si>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</si>
  <si>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</si>
  <si>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</si>
  <si>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</si>
  <si>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</si>
  <si>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</si>
  <si>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</si>
  <si>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</si>
  <si>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</si>
  <si>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</si>
  <si>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</si>
  <si>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</si>
  <si>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</si>
  <si>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</si>
  <si>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</si>
  <si>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</si>
  <si>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</si>
  <si>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</si>
  <si>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</si>
  <si>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</si>
  <si>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</si>
  <si>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</si>
  <si>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</si>
  <si>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</si>
  <si>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</si>
  <si>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B6</t>
  </si>
  <si>
    <t>AD122</t>
  </si>
  <si>
    <t>AD138</t>
  </si>
  <si>
    <t>AD141</t>
  </si>
  <si>
    <t>AE138</t>
  </si>
  <si>
    <t>AE141</t>
  </si>
  <si>
    <t>H6</t>
  </si>
  <si>
    <t>J6</t>
  </si>
  <si>
    <t>J7</t>
  </si>
  <si>
    <t>B11</t>
  </si>
  <si>
    <t>I7</t>
  </si>
  <si>
    <t>I27</t>
  </si>
  <si>
    <t>L29</t>
  </si>
  <si>
    <t>Heizwärmebedarf Qh,eff</t>
  </si>
  <si>
    <t>Qh mit effektivem Luftwechsel</t>
  </si>
  <si>
    <t>Strom Hilfsbetriebe / Kühlung</t>
  </si>
  <si>
    <t>E46</t>
  </si>
  <si>
    <t>Gewich-tung</t>
  </si>
  <si>
    <t>F45</t>
  </si>
  <si>
    <t>G45</t>
  </si>
  <si>
    <t>gew. Endenergie kWh/m2</t>
  </si>
  <si>
    <t>I45</t>
  </si>
  <si>
    <t>I46</t>
  </si>
  <si>
    <t>J46</t>
  </si>
  <si>
    <t>L45</t>
  </si>
  <si>
    <t>B53</t>
  </si>
  <si>
    <t>B54</t>
  </si>
  <si>
    <t>I56</t>
  </si>
  <si>
    <t>Minergie - Kennzahl Wärme</t>
  </si>
  <si>
    <t>Grenzwert MINERGIE - P</t>
  </si>
  <si>
    <t>L56</t>
  </si>
  <si>
    <t>weitere Wärmeerzeuger</t>
  </si>
  <si>
    <t>I61</t>
  </si>
  <si>
    <t>C63</t>
  </si>
  <si>
    <t>C64</t>
  </si>
  <si>
    <t xml:space="preserve">Bedarf nicht gedeckt  </t>
  </si>
  <si>
    <t>F58</t>
  </si>
  <si>
    <t>ohne Hallenbad</t>
  </si>
  <si>
    <t>B59</t>
  </si>
  <si>
    <t>Zwingende Eingabe Qh,eff oder Qh,korr:
Heizwärmebedarf Qh,eff mit effektivem, thermisch wirksamen Aussenluftvolumenstrom Vth aus der Berechnung SIA 380/1:2009 übertragen.
Fakultativ darf anstelle von Qh,eff auch der raumhöhenkorrigierte Wert Qh,korr (Korrektur gemäss Angaben MINERGIE) hier eingetragen werden.</t>
  </si>
  <si>
    <t>Entrée obligatoire: Qh,eff ou Qh,corr
à reporter du calcul SIA 380/1:2009 les besoins de chaleur pour le chauffage Qh,eff avec débit d’air neuf thermiquement actif Vth.
Facultatif: la valeur corrigée pour la hauteur d'étage Qh,corr (correction selon indications MINERGIE) peut être introduite à la place de Qh,eff</t>
  </si>
  <si>
    <t>Aenderungen / Geprüfter Bereich</t>
  </si>
  <si>
    <t>Version 0.8 erstellt</t>
  </si>
  <si>
    <t>B1</t>
  </si>
  <si>
    <t>Parz.-Nr.</t>
  </si>
  <si>
    <t>Gebäudestandort m.ü.M.</t>
  </si>
  <si>
    <t>Sprachversion</t>
  </si>
  <si>
    <t>Gebäudekategorie1</t>
  </si>
  <si>
    <t>Gebäudekategorie4</t>
  </si>
  <si>
    <t>Gebäudekategorie3</t>
  </si>
  <si>
    <t>Gebäudekategorie2</t>
  </si>
  <si>
    <t>Warmwasser1</t>
  </si>
  <si>
    <t>Warmwasser2</t>
  </si>
  <si>
    <t>Warmwasser3</t>
  </si>
  <si>
    <t>Warmwasser4</t>
  </si>
  <si>
    <t>EBF1</t>
  </si>
  <si>
    <t>EBF2</t>
  </si>
  <si>
    <t>EBF3</t>
  </si>
  <si>
    <t>EBF4</t>
  </si>
  <si>
    <t>Neubau1</t>
  </si>
  <si>
    <t>Neubau4</t>
  </si>
  <si>
    <t>Neubau3</t>
  </si>
  <si>
    <t>Neubau2</t>
  </si>
  <si>
    <t>Standardlüftung1</t>
  </si>
  <si>
    <t>Standardlüftung4</t>
  </si>
  <si>
    <t>Standardlüftung3</t>
  </si>
  <si>
    <t>Standardlüftung2</t>
  </si>
  <si>
    <t>Räume mit Zuluft oder Anzahl Personen Nr.1</t>
  </si>
  <si>
    <t>Räume mit Zuluft oder Anzahl Personen Nr.4</t>
  </si>
  <si>
    <t>Räume mit Zuluft oder Anzahl Personen Nr.3</t>
  </si>
  <si>
    <t>Räume mit Zuluft oder Anzahl Personen Nr.2</t>
  </si>
  <si>
    <t>Kühlung oder Befeuchtung 1</t>
  </si>
  <si>
    <t>Kühlung oder Befeuchtung 4</t>
  </si>
  <si>
    <t>Kühlung oder Befeuchtung 3</t>
  </si>
  <si>
    <t>Kühlung oder Befeuchtung 2</t>
  </si>
  <si>
    <t>Thermisch Wirksame Aussenluftrate1</t>
  </si>
  <si>
    <t>Thermisch Wirksame Aussenluftrate2</t>
  </si>
  <si>
    <t>Thermisch Wirksame Aussenluftrate3</t>
  </si>
  <si>
    <t>Thermisch Wirksame Aussenluftrate4</t>
  </si>
  <si>
    <t>Strom Lüftung1</t>
  </si>
  <si>
    <t>Strom Lüftung2</t>
  </si>
  <si>
    <t>Strom Lüftung3</t>
  </si>
  <si>
    <t>Strom Lüftung4</t>
  </si>
  <si>
    <t xml:space="preserve">1) Externe Berechnung beilegen und Werte in Zellen F40 - I43 eintragen </t>
  </si>
  <si>
    <t>1) Joindre un calcul externe et introduire les valeurs aux cellules F40 - I43</t>
  </si>
  <si>
    <t>Strom Klima und Befeuchtung1</t>
  </si>
  <si>
    <t>Strom Klima und Befeuchtung2</t>
  </si>
  <si>
    <t>Strom Klima und Befeuchtung3</t>
  </si>
  <si>
    <t>Strom Klima und Befeuchtung4</t>
  </si>
  <si>
    <t>Ström Wärme und Kälteförderung1</t>
  </si>
  <si>
    <t>Ström Wärme und Kälteförderung2</t>
  </si>
  <si>
    <t>Ström Wärme und Kälteförderung3</t>
  </si>
  <si>
    <t>Ström Wärme und Kälteförderung4</t>
  </si>
  <si>
    <t>Einheit Heizwärmebedarf Qh und Qh,eff</t>
  </si>
  <si>
    <t>WärmeerzeugungA</t>
  </si>
  <si>
    <t>WärmeerzeugungB</t>
  </si>
  <si>
    <t>WärmeerzeugungC</t>
  </si>
  <si>
    <t>WärmeerzeugungD</t>
  </si>
  <si>
    <t>Eingabewert Nutzungsgrad Wärmeerzeugung A</t>
  </si>
  <si>
    <t>Eingabewert Nutzungsgrad Wärmeerzeugung B</t>
  </si>
  <si>
    <t>Eingabewert Nutzungsgrad Wärmeerzeugung C</t>
  </si>
  <si>
    <t>Eingabewert Nutzungsgrad Wärmeerzeugung D</t>
  </si>
  <si>
    <t>Deckungsgrad Heizung Wärmeerzeugung A</t>
  </si>
  <si>
    <t>Deckungsgrad Warmwasser Wärmeerzeugung A</t>
  </si>
  <si>
    <t>Deckungsgrad Heizung Wärmeerzeugung B</t>
  </si>
  <si>
    <t>Deckungsgrad Warmwasser Wärmeerzeugung B</t>
  </si>
  <si>
    <t>Deckungsgrad Heizung Wärmeerzeugung C</t>
  </si>
  <si>
    <t>Deckungsgrad Warmwasser Wärmeerzeugung C</t>
  </si>
  <si>
    <t>Deckungsgrad Heizung Wärmeerzeugung D</t>
  </si>
  <si>
    <t>Deckungsgrad Warmwasser Wärmeerzeugung D</t>
  </si>
  <si>
    <t>Zusatzangabe1 Wärmeerzeugung A (Absorberfläche, WKK-Nutzungsgrad elektrisch, Nennleistung kWp)</t>
  </si>
  <si>
    <t>Zusatzangabe2 Wärmeerzeugung A (Ertrag pro m2 Absorberfläche, Ertrag pro kWp)</t>
  </si>
  <si>
    <t>Zusatzangabe1 Wärmeerzeugung B (Absorberfläche, WKK-Nutzungsgrad elektrisch, Nennleistung kWp)</t>
  </si>
  <si>
    <t>Zusatzangabe2 Wärmeerzeugung B (Ertrag pro m2 Absorberfläche, Ertrag pro kWp)</t>
  </si>
  <si>
    <t>Zusatzangabe1 Wärmeerzeugung C (Absorberfläche, WKK-Nutzungsgrad elektrisch, Nennleistung kWp)</t>
  </si>
  <si>
    <t>Zusatzangabe2 Wärmeerzeugung C (Ertrag pro m2 Absorberfläche, Ertrag pro kWp)</t>
  </si>
  <si>
    <t>Zusatzangabe1 Wärmeerzeugung D (Absorberfläche, WKK-Nutzungsgrad elektrisch, Nennleistung kWp)</t>
  </si>
  <si>
    <t>Zusatzangabe2 Wärmeerzeugung D (Ertrag pro m2 Absorberfläche, Ertrag pro kWp)</t>
  </si>
  <si>
    <t>Deckungsgrad &lt;&gt; 100%</t>
  </si>
  <si>
    <t>J28</t>
  </si>
  <si>
    <t>Netto-Jahresertrag [kWh/kWp] (Berechnung beilegen)</t>
  </si>
  <si>
    <t>Deckungsgrad Heizung weitere Wärmeerzeugung</t>
  </si>
  <si>
    <t>Deckungsgrad Warmwasser weitere Wärmeerzeugung</t>
  </si>
  <si>
    <t>Zugeführter Strom weitere Wärmeerzeugung</t>
  </si>
  <si>
    <t>Zugeführte Energie (gewichtet) weitere Wärmeerzeugung</t>
  </si>
  <si>
    <t>Beilage Schema Heizung und Lüftung (x=beiliegend)</t>
  </si>
  <si>
    <t>Beilage externe Berechnungen und Datenblätter (x=beiliegend)</t>
  </si>
  <si>
    <t>Beilage 3 (x=beiliegend)</t>
  </si>
  <si>
    <t>Bezeichnung Beilage 3</t>
  </si>
  <si>
    <t>Beilage 4 (x=beiliegend)</t>
  </si>
  <si>
    <t>Bezeichnung Beilage 4</t>
  </si>
  <si>
    <t>Rechenwert Nutzungsgrad / JAZ Wärmeerzeugung A</t>
  </si>
  <si>
    <t>Rechenwert Nutzungsgrad / JAZ Wärmeerzeugung B</t>
  </si>
  <si>
    <t>Rechenwert Nutzungsgrad / JAZ Wärmeerzeugung C</t>
  </si>
  <si>
    <t>Rechenwert Nutzungsgrad / JAZ Wärmeerzeugung D</t>
  </si>
  <si>
    <t>Deckungsgrad Heizung total</t>
  </si>
  <si>
    <t>Deckungsgrad Warmwasser total</t>
  </si>
  <si>
    <t>Qh mit effektivem Luftwechsel Zone1  [kWh/m2]</t>
  </si>
  <si>
    <t>Qh mit effektivem Luftwechsel Zone2  [kWh/m2]</t>
  </si>
  <si>
    <t>Qh mit effektivem Luftwechsel Zone3  [kWh/m2]</t>
  </si>
  <si>
    <t>Qh mit effektivem Luftwechsel Zone4  [kWh/m2]</t>
  </si>
  <si>
    <t>Qh mit effektivem Luftwechsel total [kWh/m2]</t>
  </si>
  <si>
    <t>Qww Wärmebedarf Warmwasser Zone1  [kWh/m2]</t>
  </si>
  <si>
    <t>Qww Wärmebedarf Warmwasser Zone2  [kWh/m2]</t>
  </si>
  <si>
    <t>Qww Wärmebedarf Warmwasser Zone3  [kWh/m2]</t>
  </si>
  <si>
    <t>Qww Wärmebedarf Warmwasser Zone4  [kWh/m2]</t>
  </si>
  <si>
    <t>Qww Wärmebedarf Warmwasser total  [kWh/m2]</t>
  </si>
  <si>
    <t>Strombedarf Lüftungsanlage Zone1 [kWh/m2]</t>
  </si>
  <si>
    <t>Strombedarf Lüftungsanlage Zone2 [kWh/m2]</t>
  </si>
  <si>
    <t>Strombedarf Lüftungsanlage Zone3 [kWh/m2]</t>
  </si>
  <si>
    <t>Strombedarf Lüftungsanlage Zone4 [kWh/m2]</t>
  </si>
  <si>
    <t>Strombedarf Lüftungsanlage total [kWh/m2]</t>
  </si>
  <si>
    <t>Strombedarf für Klima + Hilfsbetriebe</t>
  </si>
  <si>
    <t>Strombedarf für Klima + Hilfsbetriebe Zone1  [kWh/m2]</t>
  </si>
  <si>
    <t>Strombedarf für Klima + Hilfsbetriebe Zone2  [kWh/m2]</t>
  </si>
  <si>
    <t>Strombedarf für Klima + Hilfsbetriebe Zone3  [kWh/m2]</t>
  </si>
  <si>
    <t>Strombedarf für Klima + Hilfsbetriebe Zone4  [kWh/m2]</t>
  </si>
  <si>
    <t>Strombedarf für Klima + Hilfsbetriebe total  [kWh/m2]</t>
  </si>
  <si>
    <t>Massgebender Grenzwert total  [kWh/m2]</t>
  </si>
  <si>
    <t>Strom für Klima + Hilfsbetriebe</t>
  </si>
  <si>
    <t>Rechenwert Deckungsgrad Heizung Wärmeerzeugung A</t>
  </si>
  <si>
    <t>Rechenwert Deckungsgrad Heizung Wärmeerzeugung B</t>
  </si>
  <si>
    <t>Rechenwert Deckungsgrad Heizung Wärmeerzeugung D</t>
  </si>
  <si>
    <t>Rechenwert Deckungsgrad Heizung Wärmeerzeugung C</t>
  </si>
  <si>
    <t>Rechenwert Deckungsgrad Heizung weitere Wärmeerzeuger</t>
  </si>
  <si>
    <t>Rechenwert Deckungsgrad Warmwasser Wärmeerzeugung A</t>
  </si>
  <si>
    <t>Rechenwert Deckungsgrad Warmwasser Wärmeerzeugung D</t>
  </si>
  <si>
    <t>Rechenwert Deckungsgrad Warmwasser Wärmeerzeugung B</t>
  </si>
  <si>
    <t>Rechenwert Deckungsgrad Warmwasser Wärmeerzeugung C</t>
  </si>
  <si>
    <t>Rechenwert Deckungsgrad Warmwasser weitere Wärmeerzeuger</t>
  </si>
  <si>
    <t>Gewichtungsfaktor Wärmeerzeugung A</t>
  </si>
  <si>
    <t>Gewichtungsfaktor Wärmeerzeugung B</t>
  </si>
  <si>
    <t>Gewichtungsfaktor Wärmeerzeugung C</t>
  </si>
  <si>
    <t>Gewichtungsfaktor Wärmeerzeugung D</t>
  </si>
  <si>
    <t>Mind. 20% erneuerbare Energie für WW bei Rest. / Sportbauten / Hallenbäder</t>
  </si>
  <si>
    <t>J8</t>
  </si>
  <si>
    <t xml:space="preserve">EGID:  </t>
  </si>
  <si>
    <t>G7</t>
  </si>
  <si>
    <t>ohne Strom</t>
  </si>
  <si>
    <t>Blatt Nachweis, P8, P12, P16, P20, J47-J50: gewichtete Endenergie neu ohne Strom</t>
  </si>
  <si>
    <t>Blatt Nachweis, N24: Formel korrigiert</t>
  </si>
  <si>
    <t>falsche Einheit bei Qh. Korrigiert.</t>
  </si>
  <si>
    <t>Blatt Standardwerte: Klimakorrektur-Werte wie in MINERGIE-Nachweis eingefüllt</t>
  </si>
  <si>
    <t>Klima-Korrektur - Tabellen bisher beim MUKEN-Nachweis noch nicht eingefüllt</t>
  </si>
  <si>
    <t>Blatt Standardwerte: AB153 auf 1 gesetzt</t>
  </si>
  <si>
    <t>Bei Fernwärme &gt; 75% erneuerbar erscheint WW nicht gelb</t>
  </si>
  <si>
    <t>Aussenluftvolumenstrom vo</t>
  </si>
  <si>
    <t>Aussenluftvolumenstrom vo neu als Variable _vo eingeführt</t>
  </si>
  <si>
    <t>Blatt Eingaben: F45-I45, vo neu als Variable, Blatt Standardwerte: U3, Definition von _vo</t>
  </si>
  <si>
    <t>Energienachweis:
Im Energienachweis werden nur die Neubauten berücksichtigt.
Minergie:
Baujahr (Bauvollendung) ab 2000.</t>
  </si>
  <si>
    <t>Fernwärme (&gt;75% nicht erneuerbar)</t>
  </si>
  <si>
    <t>Fernwärme (&lt;=25% nicht erneuerbar)</t>
  </si>
  <si>
    <t>Fernwärme (&lt;=75% nicht erneuerbar)</t>
  </si>
  <si>
    <t>Fernwärme (inkl. Abwärme aus KVA,ARA), &lt;=25% nicht erneuerbar</t>
  </si>
  <si>
    <t>Fernwärme (inkl. Abwärme aus KVA,ARA), &lt;=75% nicht erneuerbar</t>
  </si>
  <si>
    <t>Fernwärme (inkl. Abwärme aus KVA,ARA), &gt;75% nicht erneuerbar</t>
  </si>
  <si>
    <t>Fernwärme (&lt;=50% nicht erneuerbar)</t>
  </si>
  <si>
    <t>Fernwärme (inkl. Abwärme aus KVA,ARA), &lt;=50% nicht erneuerbar</t>
  </si>
  <si>
    <t>Blatt Standardwerte: Reihenfolge bei der Fermwärme gemäss MuKEN angepasst</t>
  </si>
  <si>
    <t>Reihenfolge und Text bei der Erzeugung sollen möglichst nahe an der MuKEn sein.</t>
  </si>
  <si>
    <t>AD118</t>
  </si>
  <si>
    <t>Strom für Wärmepumpen ist doppelt zu gewichten</t>
  </si>
  <si>
    <t>Bemerkung</t>
  </si>
  <si>
    <t>Nr.</t>
  </si>
  <si>
    <t>2=Ja</t>
  </si>
  <si>
    <t>Neu Bemerkungsfeld in Nachweis einprogrammiert / Bezug auf Standardwert AL108:AL153</t>
  </si>
  <si>
    <t>Blatt Nachweis: A9, A13, A17, A21: Wenn 2, dann keine Eingabe (gelb) in Kolonne G</t>
  </si>
  <si>
    <t>Verifica energetica</t>
  </si>
  <si>
    <t>Soluzione tramite calcolo</t>
  </si>
  <si>
    <t>Comune:</t>
  </si>
  <si>
    <t>Part. n.:</t>
  </si>
  <si>
    <t>Fabbr. n.:</t>
  </si>
  <si>
    <t>Cantone:</t>
  </si>
  <si>
    <t>Oggetto:</t>
  </si>
  <si>
    <t>Dati dell'edificio</t>
  </si>
  <si>
    <t>Altitudine:</t>
  </si>
  <si>
    <t>msm</t>
  </si>
  <si>
    <t>(secondo la SIA 380/1)</t>
  </si>
  <si>
    <t>Tipo di verifica</t>
  </si>
  <si>
    <t>Verifica regolare</t>
  </si>
  <si>
    <t>rispettato</t>
  </si>
  <si>
    <t>non rispettato</t>
  </si>
  <si>
    <t>si</t>
  </si>
  <si>
    <t>no</t>
  </si>
  <si>
    <t>Staz. climatica</t>
  </si>
  <si>
    <t>Somma</t>
  </si>
  <si>
    <t>Categoria d'edificio</t>
  </si>
  <si>
    <t>Con acqua calda?</t>
  </si>
  <si>
    <t>Superficie di riferimento energetico AE</t>
  </si>
  <si>
    <t>Edificio nuovo</t>
  </si>
  <si>
    <t>(media)</t>
  </si>
  <si>
    <t>Fabb. risc. con ricambio d'aria standard</t>
  </si>
  <si>
    <t>La portata d'aria esterna termicamente determinante secondo F45-I45 è da inserire nel calcolo del fabbisogno termico (SIA 380/1)</t>
  </si>
  <si>
    <t>Scambiatore con recupero di calore</t>
  </si>
  <si>
    <t xml:space="preserve">Portata d'aria nominale </t>
  </si>
  <si>
    <t xml:space="preserve">Azionamento dei ventilatori con </t>
  </si>
  <si>
    <t>Piccoli impianti con valori standard</t>
  </si>
  <si>
    <t>Fabb. elettricità per aerazione e antigelo</t>
  </si>
  <si>
    <t>Fabbisogno di elettricità per ausiliari</t>
  </si>
  <si>
    <t>Calcolo esterno</t>
  </si>
  <si>
    <t>Qh con portata d'aria esterna termicamente determinante</t>
  </si>
  <si>
    <t>Portata d'aria esterna termicamente determinante Vth secondo la SIA 380/1. Questo valore deve corrispondere al dato per il calcolo del fabbisogno termico con portata d'aria esterna termicamente determinante.</t>
  </si>
  <si>
    <t>Fabb. calore effettivo per il risc. con aeraz.</t>
  </si>
  <si>
    <t>Valore richiesto per Qh,eff. o Qh,corr.:
inserire fabbisogno di calore per il riscaldamento Qh,eff. con portata d'aria esterna termicamente determinante Vth secondo calcolo SIA 380/1:2009.</t>
  </si>
  <si>
    <t>Risultati da calcoli esterni, es. foglio di calcolo esterno per l'aerazione, sono da inserire in questa parte.
Sono richiesti i valori per gli impianti di climatizzazione.</t>
  </si>
  <si>
    <t>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</si>
  <si>
    <t>Verifica energetica:
Nella verifica energetica vengono considerati unicamente gli edifici nuovi.
Minergie: anno di costruzione (completamento dei lavori)  a partire dal 2000</t>
  </si>
  <si>
    <t>La superficie di riferimento energetico AE deve essere ripresa dal calcolo secondo la SIA 380/1</t>
  </si>
  <si>
    <t>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</si>
  <si>
    <t>Solo per le categorie monofamiliari e plurifamiliari con AE fino a 2'000 m2 o per amministrazione e scuole fino a 1'000 m2.</t>
  </si>
  <si>
    <t>Scelta dell'aerazione: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</si>
  <si>
    <t>Numero di locali con immissione d'aria:
dato necessario solo per categorie abitazioni monofamiliari o plurifamiliari.
Numero di persone (totale per zona):
dato necessario per categorie amministrazione o scuole.
Il dato è utilizzato per calcolare il volume d'aria immessa.</t>
  </si>
  <si>
    <t>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</si>
  <si>
    <t>Dato di inserimento per piccoli impianti con valori standard: motori utilizzati per i ventilatori d'aerazione: corrente alternata (AC) o corrente continua (DC).</t>
  </si>
  <si>
    <t>Dato mancante</t>
  </si>
  <si>
    <t>Dato errato</t>
  </si>
  <si>
    <t>Requisito primario</t>
  </si>
  <si>
    <t>Requisito 2 non rispettato.</t>
  </si>
  <si>
    <t>Nota: nel foglio "Dati" è stato scelto un impianto di ventilazione con PdC integrata</t>
  </si>
  <si>
    <t>Raffreddam.</t>
  </si>
  <si>
    <t>Umidificaz.</t>
  </si>
  <si>
    <t>Raffr.+Umidif.</t>
  </si>
  <si>
    <t>nessuno</t>
  </si>
  <si>
    <t>Ab. plurif.</t>
  </si>
  <si>
    <t>Ab. monof.</t>
  </si>
  <si>
    <t>Amministraz.</t>
  </si>
  <si>
    <t>Scuole</t>
  </si>
  <si>
    <t>Negozi</t>
  </si>
  <si>
    <t>Ristoranti</t>
  </si>
  <si>
    <t>Locali pubblici</t>
  </si>
  <si>
    <t>Ospedali</t>
  </si>
  <si>
    <t>Magazzini</t>
  </si>
  <si>
    <t>Impianti sport.</t>
  </si>
  <si>
    <t>Piscine</t>
  </si>
  <si>
    <t>No ventil.</t>
  </si>
  <si>
    <t>Immiss./estraz.</t>
  </si>
  <si>
    <t>Ventil.+RC</t>
  </si>
  <si>
    <t>Ventil.+PdC</t>
  </si>
  <si>
    <t>Solo estraz.</t>
  </si>
  <si>
    <t>Estraz.+PdC</t>
  </si>
  <si>
    <t>Aeraz. per loc.</t>
  </si>
  <si>
    <t>Finestre,autom.</t>
  </si>
  <si>
    <t>nessun RC</t>
  </si>
  <si>
    <t>flusso incrociato</t>
  </si>
  <si>
    <t>controcorrente</t>
  </si>
  <si>
    <t>scambiatore rotativo</t>
  </si>
  <si>
    <t>scambiatore di calore a circuito chiuso</t>
  </si>
  <si>
    <t>Motore AC</t>
  </si>
  <si>
    <t>Motore DC/EC</t>
  </si>
  <si>
    <t>Tasso di copertura troppo alto</t>
  </si>
  <si>
    <t>Riscaldamento scelto</t>
  </si>
  <si>
    <t>Acqua calda scelta</t>
  </si>
  <si>
    <t>Allegare il calcolo</t>
  </si>
  <si>
    <t>Scegliere uno scaldacqua elettrico aggiuntivo per ACS</t>
  </si>
  <si>
    <t>Allegare calcolo esterno</t>
  </si>
  <si>
    <t>Nota: nel foglio "Dati" è stasto scelto un impianto di ventilazione con PdC integrata
-&gt; scegliere una produzione di calore con PdC con immissione d'aria</t>
  </si>
  <si>
    <t>1) Allegare un calcolo eterno e inserire i valori nelle celle F40 - I43</t>
  </si>
  <si>
    <t>EGID:</t>
  </si>
  <si>
    <t>Argovia</t>
  </si>
  <si>
    <t>Appenzello interno</t>
  </si>
  <si>
    <t>Appenzello esterno</t>
  </si>
  <si>
    <t>Berna</t>
  </si>
  <si>
    <t>Basilea Campagna</t>
  </si>
  <si>
    <t>Basilea Città</t>
  </si>
  <si>
    <t>Friborgo</t>
  </si>
  <si>
    <t>Ginevra</t>
  </si>
  <si>
    <t>Glarona</t>
  </si>
  <si>
    <t>Grigioni</t>
  </si>
  <si>
    <t>Giura</t>
  </si>
  <si>
    <t>Lucerna</t>
  </si>
  <si>
    <t>Nidvaldo</t>
  </si>
  <si>
    <t>Obvaldo</t>
  </si>
  <si>
    <t>San Gallo</t>
  </si>
  <si>
    <t>Sciaffusa</t>
  </si>
  <si>
    <t>Soletta</t>
  </si>
  <si>
    <t>Svitto</t>
  </si>
  <si>
    <t>Turgovia</t>
  </si>
  <si>
    <t>Ticino</t>
  </si>
  <si>
    <t>Vallese</t>
  </si>
  <si>
    <t>Zugo</t>
  </si>
  <si>
    <t>Zurigo</t>
  </si>
  <si>
    <t xml:space="preserve">Principato del Liechtenstein </t>
  </si>
  <si>
    <t>speciale</t>
  </si>
  <si>
    <t>Firme</t>
  </si>
  <si>
    <t>Verifica elaborata da:</t>
  </si>
  <si>
    <t>Controllo della verifica/Controllo esterno:</t>
  </si>
  <si>
    <t>Si attesta la correttezza</t>
  </si>
  <si>
    <t>Nome e indirizzo</t>
  </si>
  <si>
    <t>risp. timbro della ditta</t>
  </si>
  <si>
    <t>Responsabile, tel.:</t>
  </si>
  <si>
    <t>Luogo, data, firma:</t>
  </si>
  <si>
    <t>Controllo esecuzione:</t>
  </si>
  <si>
    <t>stessa persona</t>
  </si>
  <si>
    <t>oppure:</t>
  </si>
  <si>
    <t>Caldaia a gasolio</t>
  </si>
  <si>
    <t>Caldaia a gasolio con condensazione, solo riscaldamento</t>
  </si>
  <si>
    <t>Caldaia a gasolio con condensazione, solo ACS</t>
  </si>
  <si>
    <t>Caldaia a gas</t>
  </si>
  <si>
    <t>Caldaia a gas con condensazione, solo riscaldamento</t>
  </si>
  <si>
    <t>Caldaia a gas con condensazione, solo ACS</t>
  </si>
  <si>
    <t>Scaldacqua a gas</t>
  </si>
  <si>
    <t>Riscaldamento a legna</t>
  </si>
  <si>
    <t>Riscaldamento a pellet</t>
  </si>
  <si>
    <t>Riscaldamento elettrico diretto centralizzato</t>
  </si>
  <si>
    <t>Elettrico diretto</t>
  </si>
  <si>
    <t>Scaldacqua elettrico</t>
  </si>
  <si>
    <t>Cogenerazione (fossile) - termico + elettrico</t>
  </si>
  <si>
    <t>Cogenerazione (legna) - termico + elettrico</t>
  </si>
  <si>
    <t>PdC con sonde geotermiche, solo riscaldamento</t>
  </si>
  <si>
    <t>PdC con sonde geotermiche, solo ACS</t>
  </si>
  <si>
    <t>PdC con acqua di scarico, solo riscaldamento</t>
  </si>
  <si>
    <t>PdC con acqua di scarico, solo ACS</t>
  </si>
  <si>
    <t>PdC con acqua di falda, diretto, solo riscaldamento</t>
  </si>
  <si>
    <t>PdC con acqua di falda, diretto, solo ACS</t>
  </si>
  <si>
    <t>PdC con acqua di falda, indiretto, solo riscaldamento</t>
  </si>
  <si>
    <t>PdC con acqua di falda, indiretto, solo ACS</t>
  </si>
  <si>
    <t>PdC con fasci di tubi orizzontali, solo riscaldamento</t>
  </si>
  <si>
    <t>PdC con fasci di tubi orizzontali, solo ACS</t>
  </si>
  <si>
    <t>Energia solare termica, solo riscaldamento</t>
  </si>
  <si>
    <t>Energia solare termica, solo ACS</t>
  </si>
  <si>
    <t>Energia solare termica, risc. + ACS</t>
  </si>
  <si>
    <t>Fotovoltaico</t>
  </si>
  <si>
    <t>Altro</t>
  </si>
  <si>
    <t>Riporto</t>
  </si>
  <si>
    <t>Impianto di immissione e espulsione dell'aria con recupero di calore e PdC sull'aspirazione dell'aria</t>
  </si>
  <si>
    <t>Impianto di immissione e espulsione dell'aria senza recupero di calore e con PdC sull'aspirazione dell'aria</t>
  </si>
  <si>
    <t>Impianto d'estrazione dell'aria, senza immissione, con PdC sull'aspirazione dell'aria.</t>
  </si>
  <si>
    <t>PdC aria-acqua compatta con immissione e espulsione dell'aria, con recupero di calore</t>
  </si>
  <si>
    <t>PdC aria-acqua compatta con immissione e espulsione dell'aria, senza recupero di calore (solo riscaldamento)</t>
  </si>
  <si>
    <t>PdC aria-acqua compatta con immissione e espulsione dell'aria, senza recupero di calore (solo ACS)</t>
  </si>
  <si>
    <t>Biomassa, collegata alla rete idraulica</t>
  </si>
  <si>
    <t>Caldaia a gasolio con condensazione</t>
  </si>
  <si>
    <t>Scaldacqua a gasolio con condensazione</t>
  </si>
  <si>
    <t>Caldaia a gas con condensazione</t>
  </si>
  <si>
    <t>Scaldacqua a gas con condensazione</t>
  </si>
  <si>
    <t>Caldaia a legna</t>
  </si>
  <si>
    <t>Caldaia a pellet</t>
  </si>
  <si>
    <t>Cogenerazione - termico+elettrico</t>
  </si>
  <si>
    <t>Cogenerazione a legna - termico+elettrico</t>
  </si>
  <si>
    <t>PdC ad aria, riscaldamento</t>
  </si>
  <si>
    <t>PdC ad aria, ACS</t>
  </si>
  <si>
    <t>PdC con sonde geotermiche, riscaldamento</t>
  </si>
  <si>
    <t>PdC con sonde geotermiche, ACS</t>
  </si>
  <si>
    <t>PdC con acqua di scarico, riscaldamento</t>
  </si>
  <si>
    <t>PdC con acqua di scarico, ACS</t>
  </si>
  <si>
    <t>PdC ad acqua, riscaldamento</t>
  </si>
  <si>
    <t>PdC ad acqua, ACS</t>
  </si>
  <si>
    <t>PdC con acqua di falda, diretto, riscaldamento</t>
  </si>
  <si>
    <t>PdC con acqua di falda, diretto, ACS</t>
  </si>
  <si>
    <t>PdC con acqua di falda, indiretto, riscaldamento</t>
  </si>
  <si>
    <t>PdC con acqua di falda, indiretto, ACS</t>
  </si>
  <si>
    <t>PdC con fasci di tubi orizzontali, riscaldamento</t>
  </si>
  <si>
    <t>PdC con fasci di tubi orizzontali, ACS</t>
  </si>
  <si>
    <t>Energia solare termica per riscaldamento</t>
  </si>
  <si>
    <t>Energia solare termica per ACS</t>
  </si>
  <si>
    <t>Energia solare per riscaldamento + ACS</t>
  </si>
  <si>
    <t>Impianto d'estrazione dell'aria, senza immissione, con PdC sull'aspirazione dell'aria</t>
  </si>
  <si>
    <t>PdC compatta + RC</t>
  </si>
  <si>
    <t>PdC compatta senza RC, risc.</t>
  </si>
  <si>
    <t>PdC compatta senza RC, ACS</t>
  </si>
  <si>
    <t>Biomassa, collegata</t>
  </si>
  <si>
    <t>Rendimento elettrico (allegare il calcolo)</t>
  </si>
  <si>
    <t>Superficie dell'assorbitore [m2]</t>
  </si>
  <si>
    <t>Potenza nominale (kWp)</t>
  </si>
  <si>
    <t>Produzione netta per m2 di assorbitore [kWh/m2]</t>
  </si>
  <si>
    <t>Produzione annuale netta [kWh/kWp] (allegare il calcolo)</t>
  </si>
  <si>
    <t>Produzione di calore:</t>
  </si>
  <si>
    <t>Tasso di copertura [%]</t>
  </si>
  <si>
    <t>Produzione di calore A</t>
  </si>
  <si>
    <t>Produzione di calore B</t>
  </si>
  <si>
    <t>Produzione di calore C</t>
  </si>
  <si>
    <t>Produzione di calore D</t>
  </si>
  <si>
    <t>Valore</t>
  </si>
  <si>
    <t>Valore utilizz.</t>
  </si>
  <si>
    <t>Riscaldam.</t>
  </si>
  <si>
    <t>Acqua calda</t>
  </si>
  <si>
    <t>Riporto da altre produzioni di calore</t>
  </si>
  <si>
    <t>Elettricità fornita (non ponderata)</t>
  </si>
  <si>
    <t>Energia fornita (escluso elettricità, ponderata)</t>
  </si>
  <si>
    <t>Copertura totale:</t>
  </si>
  <si>
    <t>Dati dell'edificio, ventilazione e valori limite</t>
  </si>
  <si>
    <t>Tot./media</t>
  </si>
  <si>
    <t>Fabbisogno termico per il riscaldamento Qh,eff</t>
  </si>
  <si>
    <t>Qh con ricambio d'aria effettivo</t>
  </si>
  <si>
    <t>Fabbisogno elettrico per ventilazione</t>
  </si>
  <si>
    <t>Elettricità per ausiliari/climatizzazione</t>
  </si>
  <si>
    <t>Fabbisogno elettrico per climatizzazione e ausiliari</t>
  </si>
  <si>
    <t>Valore limite determinante</t>
  </si>
  <si>
    <t>(Riscaldamento+ACS)</t>
  </si>
  <si>
    <t>o COP</t>
  </si>
  <si>
    <t>Tasso di copertura</t>
  </si>
  <si>
    <t>Fabb. fin. pond. kWh/m2</t>
  </si>
  <si>
    <t>Elettricità</t>
  </si>
  <si>
    <t>altro</t>
  </si>
  <si>
    <t>Calore</t>
  </si>
  <si>
    <t>Fabb. elettricità impianti di aerazione</t>
  </si>
  <si>
    <t>Elettricità per climatizzazione + ausiliari</t>
  </si>
  <si>
    <t>Totale:</t>
  </si>
  <si>
    <t>Rispetto delle esigenze:</t>
  </si>
  <si>
    <t>Esigenza</t>
  </si>
  <si>
    <t>Valore calcolato</t>
  </si>
  <si>
    <t>Indice termico MINERGIE</t>
  </si>
  <si>
    <t>Valore limite MINERGIE - P</t>
  </si>
  <si>
    <t>Valore limite</t>
  </si>
  <si>
    <t>Rispettato?</t>
  </si>
  <si>
    <t>altri produttori di calore</t>
  </si>
  <si>
    <t>Allegati (presentare tutti gli allegati della colonna a sinistra)</t>
  </si>
  <si>
    <t>Crociare gli allegati da presentare</t>
  </si>
  <si>
    <t>Schema riscaldamento e ventilazione</t>
  </si>
  <si>
    <t>Calcoli e schede tecniche</t>
  </si>
  <si>
    <t>Fabbisogno non coperto</t>
  </si>
  <si>
    <t>senza piscina</t>
  </si>
  <si>
    <t>ACS prodotta con almeno 20% di energie rinnovabili (per ristoranti/impianti sportivi/piscine)</t>
  </si>
  <si>
    <t>Copertura &lt;&gt; 100%</t>
  </si>
  <si>
    <t>Apporto annuale netto per kWp (valore standard)</t>
  </si>
  <si>
    <t>Valore richiesto per Qh,eff. O Qh,corr.:
inserire fabbisogno di calore per il riscaldamento Qh,eff. con portata d'aria esterna termicamente determinante Vth secondo calcolo SIA 380/1:2009.
Facoltativo: invece di Qh,eff. può essere inserito Qh,corr. che considera anche la correzione dell'altezza del locale (corrzione secondo indicazioni MINERGIE)</t>
  </si>
  <si>
    <t>Scegliere "Impianto d'estrazione dell'aria, con PdC sull'aspirazione dell'aria".</t>
  </si>
  <si>
    <t>Scegliere "Impianto di immissione e espulsione dell'aria senza recupero di calore e con PdC sull'aspirazione dell'aria" oppure "PdC aria-acqua compatta con immissione e espulsione dell'aria, senza recupero di calore"</t>
  </si>
  <si>
    <t>Scegliere "Impianto di immissione e espulsione dell'aria con recupero di calore e  PdC sull'aspirazione dell'aria" oppure "PdC aria-acqua compatta con immissione e espulsione dell'aria e ACS, con recupero di calore"</t>
  </si>
  <si>
    <t>Teleriscaldamento (&lt;=50% di energie non rinnovabili)</t>
  </si>
  <si>
    <t>Teleriscaldamento (&gt;75% di energie non rinnovabili)</t>
  </si>
  <si>
    <t>Teleriscaldamento (&lt;=75% di energie non rinnovabili)</t>
  </si>
  <si>
    <t>Teleriscaldamento (&lt;=25% di energie non rinnovabili)</t>
  </si>
  <si>
    <t>Teleriscaldamento (&lt;=50% non rinnovabili)</t>
  </si>
  <si>
    <t>Teleriscaldamento (&gt;75% non rinnovabili)</t>
  </si>
  <si>
    <t>Teleriscaldamento (&lt;=75% non rinnovabili)</t>
  </si>
  <si>
    <t>Teleriscaldamento (&lt;=25% non rinnovabili)</t>
  </si>
  <si>
    <t>L'elettricità per la PdC ha un fattore di ponderazione g=2</t>
  </si>
  <si>
    <t>Justificatif énergétique</t>
  </si>
  <si>
    <t>Preuve calculée</t>
  </si>
  <si>
    <t>Commune:</t>
  </si>
  <si>
    <t>N° cadastre:</t>
  </si>
  <si>
    <t>N° bâtiment:</t>
  </si>
  <si>
    <t>Objet:</t>
  </si>
  <si>
    <t>Données sur le bâtiment</t>
  </si>
  <si>
    <t xml:space="preserve">Altitude: </t>
  </si>
  <si>
    <t>m</t>
  </si>
  <si>
    <t>(Selon la norme SIA 380/1)</t>
  </si>
  <si>
    <t>Justificatif pour:</t>
  </si>
  <si>
    <t>Preuve officielle</t>
  </si>
  <si>
    <t>satisfait</t>
  </si>
  <si>
    <t>non satisfait</t>
  </si>
  <si>
    <t>Station climat.</t>
  </si>
  <si>
    <t>Somme</t>
  </si>
  <si>
    <t>Catégorie d'ouvrage</t>
  </si>
  <si>
    <t>Avec eau chaude?</t>
  </si>
  <si>
    <t>Surface de référence énergétique SRE</t>
  </si>
  <si>
    <t>Nouvelle construction</t>
  </si>
  <si>
    <t>(moyenne)</t>
  </si>
  <si>
    <t>Besoins pour chauffage avec renouvellement d'air normal</t>
  </si>
  <si>
    <t>Données pour installation de ventilation standard</t>
  </si>
  <si>
    <t>Type d'installation de ventilation standard</t>
  </si>
  <si>
    <t>Locaux avec air fourni ou nombre de personnes</t>
  </si>
  <si>
    <t>Nombre de locaux avec air fourni</t>
  </si>
  <si>
    <t>Nombre de personnes</t>
  </si>
  <si>
    <t>Récupération de chaleur-Echangeur de chaleur</t>
  </si>
  <si>
    <t>Débit d'air nominal</t>
  </si>
  <si>
    <t>Entrainement de ventilateur avec</t>
  </si>
  <si>
    <t>Petite installation avec valeurs standard</t>
  </si>
  <si>
    <t>Débit d'air neuf thermiquement actif</t>
  </si>
  <si>
    <t>Besoins d'électricité pour la ventilation et la protection antigel</t>
  </si>
  <si>
    <t>Besoins pour le chauffage effectif avec l'installation de ventilation</t>
  </si>
  <si>
    <t xml:space="preserve">Entrée obligatoire: Qh,eff ou Qh,corr
à reporter du calcul SIA 380/1:2009 les besoins de chaleur pour le chauffage Qh,eff avec débit d’air neuf thermiquement actif Vth.
</t>
  </si>
  <si>
    <t>Indiquer ici le résulat d'un calcul externe (sur une feuille séparée).
Entrée obligatoire pour les installation de climatisation.</t>
  </si>
  <si>
    <t>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t>
  </si>
  <si>
    <t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</si>
  <si>
    <t>Entrée possible que pour l'habitat jusqu'à 2000 m2 et l'administration et les écoles jusqu'à 1000 m2.</t>
  </si>
  <si>
    <t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</si>
  <si>
    <t>Nombre de pièces avec air fourni:
Données obligatoires que pour l'habitat.
Nombre de personnes (total par zone).
Données obligatoires pour administration ou écoles.
Seront utilisées pour le calcul de l'air fourni.</t>
  </si>
  <si>
    <t>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t>
  </si>
  <si>
    <t>Données pour les petites installations avec des valeurs standard:
Moteurs des ventilateurs: à courant alternatif (AC) ou à courant continu (DC)</t>
  </si>
  <si>
    <t>donnée manquante</t>
  </si>
  <si>
    <t>donnée fausse</t>
  </si>
  <si>
    <t>Exigence primaire pas requise</t>
  </si>
  <si>
    <t>Exigence 2 pas satisfaite</t>
  </si>
  <si>
    <t>aucune</t>
  </si>
  <si>
    <t>Habitat individuel</t>
  </si>
  <si>
    <t>Habitat collectif</t>
  </si>
  <si>
    <t>Administration</t>
  </si>
  <si>
    <t>Ecole</t>
  </si>
  <si>
    <t>Commerce</t>
  </si>
  <si>
    <t>Lieu de rassemblement</t>
  </si>
  <si>
    <t>Hôpital</t>
  </si>
  <si>
    <t>Entrepôt</t>
  </si>
  <si>
    <t>Installation sportive</t>
  </si>
  <si>
    <t>Piscine couverte</t>
  </si>
  <si>
    <t>Pas de ventilation</t>
  </si>
  <si>
    <t>Fourni/repris</t>
  </si>
  <si>
    <t>Double flux</t>
  </si>
  <si>
    <t>FOU/REP+PAC</t>
  </si>
  <si>
    <t>REP</t>
  </si>
  <si>
    <t>REP+PAC</t>
  </si>
  <si>
    <t>Local</t>
  </si>
  <si>
    <t>Fen. auto</t>
  </si>
  <si>
    <t>Pas de récup.</t>
  </si>
  <si>
    <t>Courant croisé</t>
  </si>
  <si>
    <t>Contre-courant</t>
  </si>
  <si>
    <t>Rotatif</t>
  </si>
  <si>
    <t>Circulation-KVS</t>
  </si>
  <si>
    <t>Moteur AC</t>
  </si>
  <si>
    <t>Moteur DC/EC</t>
  </si>
  <si>
    <t>Signature</t>
  </si>
  <si>
    <t>Justificatif établi par:</t>
  </si>
  <si>
    <t>Contrôle du justificatif/Contrôle privé:</t>
  </si>
  <si>
    <t>Certifié complet et correct</t>
  </si>
  <si>
    <t>Nom et adresse</t>
  </si>
  <si>
    <t>ou tampon de l'entreprise</t>
  </si>
  <si>
    <t>Responsable, tél.:</t>
  </si>
  <si>
    <t>Lieu, date, signature:</t>
  </si>
  <si>
    <t>Contrôle d'exécution</t>
  </si>
  <si>
    <t>même personne</t>
  </si>
  <si>
    <t>ou:</t>
  </si>
  <si>
    <t>Chaudière à mazout</t>
  </si>
  <si>
    <t>Chaudière à mazout à condensation, que chauffage</t>
  </si>
  <si>
    <t xml:space="preserve">Chaudière à mazout à condensation, qu'eau chaude </t>
  </si>
  <si>
    <t>Chaudière à gaz</t>
  </si>
  <si>
    <t>Chaudière à gaz à condensation, que chauffage</t>
  </si>
  <si>
    <t>Chaudière à gaz à condensation, qu'eau chaude</t>
  </si>
  <si>
    <t>Chauffe-eau à gaz</t>
  </si>
  <si>
    <t>Chauffage au bois</t>
  </si>
  <si>
    <t>Chauffage au pellets</t>
  </si>
  <si>
    <t>Chaleur à distance (min. 50% énergies ren., rejets, CCF)</t>
  </si>
  <si>
    <t>Chauffage central électrique</t>
  </si>
  <si>
    <t>Chauffage électrique direct</t>
  </si>
  <si>
    <t>Chauffe-eau électrique</t>
  </si>
  <si>
    <t>CCF (fossile) - part thermique et électrique</t>
  </si>
  <si>
    <t>CCF (bois) - part thermique et électrique</t>
  </si>
  <si>
    <t>Pompe à chaleur géothermique, que chauffage</t>
  </si>
  <si>
    <t>Pompe à chaleur géothermique, qu'eau chaude</t>
  </si>
  <si>
    <t>Pompe à chaleur eau usée, que chauffage</t>
  </si>
  <si>
    <t>Pompe à chaleur eau usée, qu'eau chaude</t>
  </si>
  <si>
    <t>Pompe à chaleur eau-eau, que chauffage</t>
  </si>
  <si>
    <t>Pompe à chaleur eau-eau, qu'eau chaude</t>
  </si>
  <si>
    <t>Pompe à chaleur eau souterraine, directe, que chauffage</t>
  </si>
  <si>
    <t>Pompe à chaleur eau souterraine, directe, qu'eau chaude</t>
  </si>
  <si>
    <t>Pompe à chaleur eau souterraine, indirecte, que chauffage</t>
  </si>
  <si>
    <t>Pompe à chaleur eau souterraine, indirecte, qu'eau chaude</t>
  </si>
  <si>
    <t>Pompe à chaleur registre terrestre, que chauffage</t>
  </si>
  <si>
    <t>Pompe à chaleur registre terrestre, qu'eau chaude</t>
  </si>
  <si>
    <t>Capteurs solaires thermiques, que chauffage</t>
  </si>
  <si>
    <t>Capteurs solaires thermiques, qu'eau chaude</t>
  </si>
  <si>
    <t>Capteurs solaires thermiques, chauffage et eau chaude</t>
  </si>
  <si>
    <t>Installation photovoltaïque</t>
  </si>
  <si>
    <t>Autre</t>
  </si>
  <si>
    <t>Report</t>
  </si>
  <si>
    <t>PAC compacte avec air fourni/repris avec récup. de chaleur</t>
  </si>
  <si>
    <t>PAC compacte avec air fourni/repris sans récup. de chaleur (que chauffage)</t>
  </si>
  <si>
    <t>PAC compacte avec air fourni/repris sans récup. de chaleur (qu'eau chaude)</t>
  </si>
  <si>
    <t>Chaleur à distance (max. 25% énergies ren., rejets, CCF)</t>
  </si>
  <si>
    <t>Chaleur à distance (min. 25% énergies ren., rejets, CCF)</t>
  </si>
  <si>
    <t>Chaleur à distance (min. 75% énergies ren., rejets, CCF)</t>
  </si>
  <si>
    <t>Chaudière à mazout à condensation</t>
  </si>
  <si>
    <t xml:space="preserve">Chaudière à mazout à condensation. Eau chaude. </t>
  </si>
  <si>
    <t>Chaudière à gaz à condensation</t>
  </si>
  <si>
    <t>Chaudière à gaz à condensation. Eau chaude</t>
  </si>
  <si>
    <t>Chaleur à distance (min. 50% énergies ren.)</t>
  </si>
  <si>
    <t>Pompe à chaleur air-air, chauffage</t>
  </si>
  <si>
    <t>Pompe à chaleur air-air, eau chaude</t>
  </si>
  <si>
    <t>Pompe à chaleur géothermique, chauffage</t>
  </si>
  <si>
    <t>Pompe à chaleur géothermique, eau chaude</t>
  </si>
  <si>
    <t>Pompe à chaleur eau usée (directe), chauffage</t>
  </si>
  <si>
    <t>Pompe à chaleur eau usée directe, eau chaude</t>
  </si>
  <si>
    <t>Pompe à chaleur eau-eau, chauffage</t>
  </si>
  <si>
    <t>Pompe à chaleur eau-eau, eau chaude</t>
  </si>
  <si>
    <t>Pompe à chaleur eau souterraine, directe, chauffage</t>
  </si>
  <si>
    <t>Pompe à chaleur eau souterraine, directe, eau chaude</t>
  </si>
  <si>
    <t>Pompe à chaleur eau souterraine, indirecte, chauffage</t>
  </si>
  <si>
    <t>Pompe à chaleur eau souterraine, indirecte, eau chaude</t>
  </si>
  <si>
    <t>Pompe à chaleur registre terrestre, chauffage</t>
  </si>
  <si>
    <t>Pompe à chaleur registre terrestre, eau chaude</t>
  </si>
  <si>
    <t>Capteurs solaires thermiques, chauffage</t>
  </si>
  <si>
    <t>Capteurs solaires thermiques, eau chaude</t>
  </si>
  <si>
    <t>PAC compacte sans récup. de chaleur, eau chaude</t>
  </si>
  <si>
    <t>Chaleur à distance (&lt;=25% renouvelable)</t>
  </si>
  <si>
    <t>Chaleur à distance (&gt;25% renouvelable)</t>
  </si>
  <si>
    <t>Chaleur à distance (&gt;75% renouvelable)</t>
  </si>
  <si>
    <t>Rendement électrique (joindre calcul)</t>
  </si>
  <si>
    <t>Surface d'absorbeur [m2]</t>
  </si>
  <si>
    <t>Puissance nominale [kWp]</t>
  </si>
  <si>
    <t>Apport net par m2 d'absorbeur [kWh/m2]</t>
  </si>
  <si>
    <t>Apport net annuel [kWh/kWp] (joindre clacul)</t>
  </si>
  <si>
    <t>Production de chaleur:</t>
  </si>
  <si>
    <t>Rendement / COPa</t>
  </si>
  <si>
    <t>Taux de couverture [%]</t>
  </si>
  <si>
    <t>Production de chaleur A</t>
  </si>
  <si>
    <t>Production de chaleur B</t>
  </si>
  <si>
    <t>Production de chaleur C</t>
  </si>
  <si>
    <t>Production de chaleur D</t>
  </si>
  <si>
    <t>Entrée</t>
  </si>
  <si>
    <t>Valeur calculée</t>
  </si>
  <si>
    <t>Chauffage</t>
  </si>
  <si>
    <t>Eau chaude</t>
  </si>
  <si>
    <t>Report autres productions de chaleur</t>
  </si>
  <si>
    <t>Electricité fournie (non pondérée)</t>
  </si>
  <si>
    <t>Energie fournie (sans électricité, pondérée)</t>
  </si>
  <si>
    <t>Taux de couverture total</t>
  </si>
  <si>
    <t>Données du bâtiment, ventilation et valeur limite</t>
  </si>
  <si>
    <t>Besoin pour chauffage Qh,eff</t>
  </si>
  <si>
    <t>Qh avec renouvelement d'air effectif</t>
  </si>
  <si>
    <t>Besoin en électricité pour la ventilation</t>
  </si>
  <si>
    <t>Electricité pour les auxiliaires / le refroidissement</t>
  </si>
  <si>
    <t>Besoin en électricité pour la climatisation + auxiliaires</t>
  </si>
  <si>
    <t>Valeur limite déterminante</t>
  </si>
  <si>
    <t>(chauffage et eau chaude)</t>
  </si>
  <si>
    <t>ou COPa</t>
  </si>
  <si>
    <t>Pondération</t>
  </si>
  <si>
    <t>Taux de couverture</t>
  </si>
  <si>
    <t>Energie finale pondérée kWh/m2</t>
  </si>
  <si>
    <t>Courant</t>
  </si>
  <si>
    <t>autre</t>
  </si>
  <si>
    <t>Chaleur</t>
  </si>
  <si>
    <t>Besoin d'électricité ventilation</t>
  </si>
  <si>
    <t>Electricité climatisation + auxiliaires</t>
  </si>
  <si>
    <t>Respect des exigences:</t>
  </si>
  <si>
    <t>Exigences</t>
  </si>
  <si>
    <t>Minergie - Indice chaleur</t>
  </si>
  <si>
    <t>Valeur limite MINERGIE-P</t>
  </si>
  <si>
    <t>Valeur limite</t>
  </si>
  <si>
    <t>Respectée?</t>
  </si>
  <si>
    <t>autre production de chaleur</t>
  </si>
  <si>
    <t>Annexes (déposer toute celles de la colonne de gauche)</t>
  </si>
  <si>
    <t>Marquer d'une croix ce qui convient</t>
  </si>
  <si>
    <t>Schéma chauffage et ventilation</t>
  </si>
  <si>
    <t>Calculs externes et fiches techniques</t>
  </si>
  <si>
    <t>Besoin pas couvert</t>
  </si>
  <si>
    <t>sans piscine couverte</t>
  </si>
  <si>
    <t>Eau chaude avec min. 20% d'énergie renouvelable (pour restaurants, installations sportives, piscines couvertes)</t>
  </si>
  <si>
    <t>Taux de couverture &lt;&gt; 100%</t>
  </si>
  <si>
    <t>L'électricité pour les PAC doit être pondérée double</t>
  </si>
  <si>
    <t>Definitive Version 1.0 in deutsch, französisch und italienisch erstellt.</t>
  </si>
  <si>
    <t>1.0</t>
  </si>
  <si>
    <t>Verifica</t>
  </si>
  <si>
    <t>Dati</t>
  </si>
  <si>
    <t>Entrées</t>
  </si>
  <si>
    <t>Justificatif</t>
  </si>
  <si>
    <t>Energiebedarf</t>
  </si>
  <si>
    <t>Besoin d'énergie</t>
  </si>
  <si>
    <t>Fabbisogno energetico</t>
  </si>
  <si>
    <t>Qh mit effektivem, thermisch wirksamem Aussenluftvolumenstrom</t>
  </si>
  <si>
    <t>Minergie-Kennzahl (MKZ)</t>
  </si>
  <si>
    <t>Der thermisch wirksame Aussenluft-Volumenstrom ist in der Heizwärmebedarfsberechnung (SIA 380/1) entsprechend F45 - I45 einzusetzen</t>
  </si>
  <si>
    <t>Minergie-P Grenzwert</t>
  </si>
  <si>
    <t>Erneuerung</t>
  </si>
  <si>
    <t>Höhen-</t>
  </si>
  <si>
    <t>korrektur</t>
  </si>
  <si>
    <t>K</t>
  </si>
  <si>
    <t>Ehwlk</t>
  </si>
  <si>
    <t>kWh/m²</t>
  </si>
  <si>
    <t>Grenzwert (ev. ohne WW)</t>
  </si>
  <si>
    <t>Blatt Nachweis: T2, Formel angepasst. EBF_MUKEN neu immer ohne Altbauten</t>
  </si>
  <si>
    <t>Bei Altbauten wurde bisher EBF mitgezählt.</t>
  </si>
  <si>
    <t>Elektrizität</t>
  </si>
  <si>
    <t>Alle Kühl- und Gefrierschränke A+++</t>
  </si>
  <si>
    <t>Alle Geschirrspüler Klasse A+++</t>
  </si>
  <si>
    <t>Alle Waschmaschinen Klasse A+++</t>
  </si>
  <si>
    <t>Alle Wäschetrockner Klasse A+++</t>
  </si>
  <si>
    <t>Alles Induktionskochherde</t>
  </si>
  <si>
    <t>Feste Wohnungsbeleuchtung LED A++</t>
  </si>
  <si>
    <t>Allg. Beleuchtung LED A++ &amp; Regelung</t>
  </si>
  <si>
    <t>Angaben für Wohnungsnutzung:</t>
  </si>
  <si>
    <t>Photovoltaik-Anlage</t>
  </si>
  <si>
    <t>Jahresertrag [kWh/m2]</t>
  </si>
  <si>
    <t>Zusatzangaben für den</t>
  </si>
  <si>
    <t>Blatt Nachweis: AA10,AA14,AA18,AA22,X8,X12,X16,X20,X10,X14,X18,X22,Y10,Y14,Y18,Y22 angepasst.</t>
  </si>
  <si>
    <t>Formeln für Solarertrag nach MINERGIE, Qh falsch von MJ in kWh umgerechnet.</t>
  </si>
  <si>
    <t>Appenzell Rhodes-Extérieures</t>
  </si>
  <si>
    <t>Grisons</t>
  </si>
  <si>
    <t>Pompe à chaleur air-eau, que chauffage</t>
  </si>
  <si>
    <t>Pompe à chaleur air-eau, qu'eau chaude</t>
  </si>
  <si>
    <t>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t>
  </si>
  <si>
    <t>Die Globalbeurteilung gilt für Zonen in denen in allen Räumen folgende Bedingungen eingehalten sind:</t>
  </si>
  <si>
    <t>Rollläden</t>
  </si>
  <si>
    <t>- keine Oblichter oder Dachflächenfenster mit Glasflächen &gt; 0.5 m2, grössere Glasflächen können in vertikale Flächen
  umgerechnet werden -&gt; siehe Anwendungshilfe</t>
  </si>
  <si>
    <t>- Nachtauskühlung mit Fensterlüftung ist möglich;</t>
  </si>
  <si>
    <t>S4</t>
  </si>
  <si>
    <t>- interne Wärmelasten nicht höher als die Standardwerte im Merkblatt SIA 2024.</t>
  </si>
  <si>
    <t>Prüfung ob nicht alle Eingaben "n.a."</t>
  </si>
  <si>
    <t xml:space="preserve">  Zone</t>
  </si>
  <si>
    <t>Erfüllen die Räume in der Zone die Kriterien?</t>
  </si>
  <si>
    <t>S10</t>
  </si>
  <si>
    <t>Aussenliegender beweglicher Sonnenschutz. Bei "andere" hier deklarieren:</t>
  </si>
  <si>
    <t>Wohnen (EFH, MFH), Räume mit 1 Fassade, Betondecke (&gt;80% frei):
- Glasanteil &lt;70%</t>
  </si>
  <si>
    <t>Wohnen (EFH,MFH), Eckzimmer; Betondecke (&gt;80% frei):
- Glasanteil pro Fassade &lt;50%</t>
  </si>
  <si>
    <t>Wohnen (EFH, MFH), 1 Fassade oder Eckzimmer. Holzdecke und Zementunterlagsboden mit min. 6 cm oder Anhydrit min. 5 cm Stärke:
- Glasanteil &lt;40%</t>
  </si>
  <si>
    <t>Wohnen (EFH, MFH), Räume mit 1 Fassade, Betondecke (&gt;80% frei) oder Zement-unterlagsboden mit min. 6 cm oder Anhydrit min. 5 cmStärke. Süd-Orientierung und Verschattung durch Balkon von min. 1 m Tiefe. 
- Glasanteil &lt;100%</t>
  </si>
  <si>
    <t>"n.a.":    Nicht vorhanden. Ein solcher Raumtyp existiert nicht.
"ja":       Ein solcher Raumtyp ist vorhanden und alle Kriterien sind erfüllt.
"nein":   Ein solcher Raumtyp ist vorhanden, aber die Kriterien sind nicht erfüllt (z.B. zu hoher Glasanteil)</t>
  </si>
  <si>
    <t>Variante 2: Externer Nachweis der Kriterien gemäss SIA382/1 (ohne Kühlung)</t>
  </si>
  <si>
    <t>Die Erfüllung dieser Kriterien wird in Beilagen beschrieben und dokumentiert.</t>
  </si>
  <si>
    <t>SIA 382/1 Ziffer</t>
  </si>
  <si>
    <t>S21</t>
  </si>
  <si>
    <t>2.1.3</t>
  </si>
  <si>
    <t>Anforderungen an den Sonnenschutz sind gemäss Zusatzformular sommerlicher Wärmeschutz erfüllt.</t>
  </si>
  <si>
    <t>S22</t>
  </si>
  <si>
    <t>S23</t>
  </si>
  <si>
    <t>S24</t>
  </si>
  <si>
    <t>S25</t>
  </si>
  <si>
    <t>S26</t>
  </si>
  <si>
    <t>Bemerkungen zum externen Nachweis (Art, Beilage, z.B. Hilfskriterien gemäss Anwendungshilfe):</t>
  </si>
  <si>
    <t>Die sommerlichen Raumlufttemperaturen wurden gemäss SIA 382/1, Zif. 4.4.4 berechnet. Die Grenzwertkurve wird ohne Kühlung an weniger als 100 h überschritten.</t>
  </si>
  <si>
    <t>S32</t>
  </si>
  <si>
    <t>Die Zone ist gekühlt und der Energiebedarf wurde berechnet. 
Es treten keinen hohen sommerlichen Raumlufttemperaturen auf.</t>
  </si>
  <si>
    <t>S33</t>
  </si>
  <si>
    <t>S34</t>
  </si>
  <si>
    <t>erfüllt?</t>
  </si>
  <si>
    <t>Gemäss Deklaration sind Anforderungen an den sommerlichen Wärmeschutz erfüllt.</t>
  </si>
  <si>
    <t>Sommer</t>
  </si>
  <si>
    <t>Register</t>
  </si>
  <si>
    <t>B2</t>
  </si>
  <si>
    <t>Variante 1: Globalbeurteilung von Standardfällen für die Nutzungen Wohnen, Einzelbüro, Gruppenbüro, Sitzungszimmer und Lager (ohne Kühlung)</t>
  </si>
  <si>
    <t>B10</t>
  </si>
  <si>
    <t>B12</t>
  </si>
  <si>
    <t>B18</t>
  </si>
  <si>
    <t>g-Wert und Produktebezeichnung</t>
  </si>
  <si>
    <t>B20</t>
  </si>
  <si>
    <t>B22</t>
  </si>
  <si>
    <t>Einzelbüro, Gruppenbüro, Sitzungszimmer mit 1 Fassade, Betondecke (&gt;80% frei):
- Glasanteil &lt;50% und automat. Steuerung des Sonnenschutzes</t>
  </si>
  <si>
    <t>Einzelbüro, Gruppenbüro, Sitzungszimmer als Eckzimmer, Betondecke (&gt;80% frei):
- Glasanteil &lt;35% und automat. Steuerung des Sonnenschutzes</t>
  </si>
  <si>
    <t>Lager mit geringen internen Wärmelasten</t>
  </si>
  <si>
    <t>B26</t>
  </si>
  <si>
    <t>Wenn S14 zutrifft, ist in S11 n.a. anzuwählen.</t>
  </si>
  <si>
    <t>Tag
B20</t>
  </si>
  <si>
    <t>Wenn Beschreibung zutrifft, ist Bedingung 'Glasanteil' nicht relevant. Wenn eine der beschriebenen Eigenschaften nicht zutrifft, ist n.a. anzuwählen.</t>
  </si>
  <si>
    <t>Tag
B23</t>
  </si>
  <si>
    <t>B33</t>
  </si>
  <si>
    <t>C35</t>
  </si>
  <si>
    <t>Variante 3: Externer Nachweis der Kriterien gemäss SIA382/1 (mit Kühlung)</t>
  </si>
  <si>
    <t>B47</t>
  </si>
  <si>
    <t>P11</t>
  </si>
  <si>
    <t>P12</t>
  </si>
  <si>
    <t>Rafflamellen</t>
  </si>
  <si>
    <t>P13</t>
  </si>
  <si>
    <t>P14</t>
  </si>
  <si>
    <t>Blatt Sommer eingefügt, Uebersetzungstext in Blatt Übersetzung</t>
  </si>
  <si>
    <t>Projektname:</t>
  </si>
  <si>
    <t>I8</t>
  </si>
  <si>
    <t xml:space="preserve">MOP - Nr.: </t>
  </si>
  <si>
    <t>Gebäudeadresse:</t>
  </si>
  <si>
    <t>Grenzwert für Endenergiebedarf ohne PV</t>
  </si>
  <si>
    <t>Grenzwert für Minergie-Kennzahl MKZ</t>
  </si>
  <si>
    <t>nach SIA 380/1:2009</t>
  </si>
  <si>
    <t>Verwaltung1</t>
  </si>
  <si>
    <t>Schulen1</t>
  </si>
  <si>
    <t>Verkauf1,2</t>
  </si>
  <si>
    <t>Restaurants1</t>
  </si>
  <si>
    <t>Versammlung1</t>
  </si>
  <si>
    <t>Spitäler1</t>
  </si>
  <si>
    <t>Industrie1</t>
  </si>
  <si>
    <t>Lager1</t>
  </si>
  <si>
    <t>Sportbauten1</t>
  </si>
  <si>
    <t xml:space="preserve">Gebäudekategorie </t>
  </si>
  <si>
    <t>Minergiekennzahl MKZ:</t>
  </si>
  <si>
    <t>B36</t>
  </si>
  <si>
    <t>Übrige Nutzungen: Angaben zur Beleuchtung</t>
  </si>
  <si>
    <t>B49</t>
  </si>
  <si>
    <t>Uebrsicht</t>
  </si>
  <si>
    <t>Uebersicht</t>
  </si>
  <si>
    <t>AF6</t>
  </si>
  <si>
    <t>AF7</t>
  </si>
  <si>
    <t>AF8</t>
  </si>
  <si>
    <t>AF9</t>
  </si>
  <si>
    <t>AF10</t>
  </si>
  <si>
    <t>Nutzung der Abwärme</t>
  </si>
  <si>
    <t>AF11</t>
  </si>
  <si>
    <t>AF12</t>
  </si>
  <si>
    <t>BA8</t>
  </si>
  <si>
    <t>BA6</t>
  </si>
  <si>
    <t>Wird die Abwärme genutzt?</t>
  </si>
  <si>
    <t>BA11</t>
  </si>
  <si>
    <t>BA12</t>
  </si>
  <si>
    <t>BA13</t>
  </si>
  <si>
    <t>Anforderung Beleuchtung eingehalten?</t>
  </si>
  <si>
    <t>Weitere Anforderungen</t>
  </si>
  <si>
    <r>
      <t>MKZ</t>
    </r>
    <r>
      <rPr>
        <vertAlign val="subscript"/>
        <sz val="9"/>
        <rFont val="Arial"/>
        <family val="2"/>
      </rPr>
      <t>HLK</t>
    </r>
    <r>
      <rPr>
        <sz val="9"/>
        <rFont val="Arial"/>
        <family val="2"/>
      </rPr>
      <t xml:space="preserve"> = </t>
    </r>
  </si>
  <si>
    <t>Zone =</t>
  </si>
  <si>
    <r>
      <t>MKZ</t>
    </r>
    <r>
      <rPr>
        <vertAlign val="subscript"/>
        <sz val="9"/>
        <rFont val="Arial"/>
        <family val="2"/>
      </rPr>
      <t>ww</t>
    </r>
    <r>
      <rPr>
        <sz val="9"/>
        <rFont val="Arial"/>
        <family val="2"/>
      </rPr>
      <t xml:space="preserve"> = </t>
    </r>
  </si>
  <si>
    <r>
      <t>f</t>
    </r>
    <r>
      <rPr>
        <vertAlign val="subscript"/>
        <sz val="9"/>
        <rFont val="Arial"/>
        <family val="2"/>
      </rPr>
      <t>A</t>
    </r>
    <r>
      <rPr>
        <sz val="9"/>
        <rFont val="Arial"/>
        <family val="2"/>
      </rPr>
      <t xml:space="preserve"> =</t>
    </r>
  </si>
  <si>
    <r>
      <t>f</t>
    </r>
    <r>
      <rPr>
        <vertAlign val="subscript"/>
        <sz val="9"/>
        <rFont val="Arial"/>
        <family val="2"/>
      </rPr>
      <t>W</t>
    </r>
    <r>
      <rPr>
        <sz val="9"/>
        <rFont val="Arial"/>
        <family val="2"/>
      </rPr>
      <t xml:space="preserve"> =</t>
    </r>
  </si>
  <si>
    <r>
      <t>f</t>
    </r>
    <r>
      <rPr>
        <vertAlign val="subscript"/>
        <sz val="8"/>
        <rFont val="Arial"/>
        <family val="2"/>
      </rPr>
      <t>w</t>
    </r>
    <r>
      <rPr>
        <sz val="8"/>
        <rFont val="Arial"/>
        <family val="2"/>
      </rPr>
      <t xml:space="preserve"> = 0.9</t>
    </r>
  </si>
  <si>
    <r>
      <t>f</t>
    </r>
    <r>
      <rPr>
        <vertAlign val="subscript"/>
        <sz val="8"/>
        <rFont val="Arial"/>
        <family val="2"/>
      </rPr>
      <t xml:space="preserve">A </t>
    </r>
    <r>
      <rPr>
        <sz val="8"/>
        <rFont val="Arial"/>
        <family val="2"/>
      </rPr>
      <t>= 0.9</t>
    </r>
  </si>
  <si>
    <t xml:space="preserve"> - Abminderung Armaturen</t>
  </si>
  <si>
    <t xml:space="preserve"> - Abminderung Warmhaltung</t>
  </si>
  <si>
    <r>
      <t>g/</t>
    </r>
    <r>
      <rPr>
        <sz val="9"/>
        <rFont val="Symbol"/>
        <family val="1"/>
        <charset val="2"/>
      </rPr>
      <t>h</t>
    </r>
    <r>
      <rPr>
        <sz val="9"/>
        <rFont val="Arial"/>
        <family val="2"/>
      </rPr>
      <t xml:space="preserve"> (qh)</t>
    </r>
  </si>
  <si>
    <r>
      <t>g/</t>
    </r>
    <r>
      <rPr>
        <sz val="9"/>
        <rFont val="Symbol"/>
        <family val="1"/>
        <charset val="2"/>
      </rPr>
      <t>h</t>
    </r>
    <r>
      <rPr>
        <sz val="9"/>
        <rFont val="Arial"/>
        <family val="2"/>
      </rPr>
      <t>(qww)</t>
    </r>
  </si>
  <si>
    <t>Mittelwert</t>
  </si>
  <si>
    <t>Qww Wärmebedarf Warmwasser alt</t>
  </si>
  <si>
    <t>Energieeff.</t>
  </si>
  <si>
    <t>Geschirrsp.</t>
  </si>
  <si>
    <t>Kühlschrank</t>
  </si>
  <si>
    <t>Waschm.</t>
  </si>
  <si>
    <t>Wäschetr.</t>
  </si>
  <si>
    <t>Induktionsk.</t>
  </si>
  <si>
    <t>LED</t>
  </si>
  <si>
    <t>allg. LED:</t>
  </si>
  <si>
    <t>Wohnung:</t>
  </si>
  <si>
    <t>EBF wohnen:</t>
  </si>
  <si>
    <r>
      <t>E</t>
    </r>
    <r>
      <rPr>
        <vertAlign val="subscript"/>
        <sz val="9"/>
        <rFont val="Arial"/>
        <family val="2"/>
      </rPr>
      <t>Aufzug</t>
    </r>
  </si>
  <si>
    <t xml:space="preserve"> - Länge Warmhaltebänder</t>
  </si>
  <si>
    <r>
      <t>E</t>
    </r>
    <r>
      <rPr>
        <vertAlign val="subscript"/>
        <sz val="9"/>
        <rFont val="Arial"/>
        <family val="2"/>
      </rPr>
      <t>Heizband</t>
    </r>
    <r>
      <rPr>
        <sz val="9"/>
        <rFont val="Arial"/>
        <family val="2"/>
      </rPr>
      <t xml:space="preserve"> =</t>
    </r>
  </si>
  <si>
    <t>Wohnfl. Aw</t>
  </si>
  <si>
    <t>Mittelwert / 
Summe</t>
  </si>
  <si>
    <r>
      <t>MKZ</t>
    </r>
    <r>
      <rPr>
        <vertAlign val="subscript"/>
        <sz val="9"/>
        <rFont val="Arial"/>
        <family val="2"/>
      </rPr>
      <t>El,Wohnen</t>
    </r>
    <r>
      <rPr>
        <sz val="9"/>
        <rFont val="Arial"/>
        <family val="2"/>
      </rPr>
      <t xml:space="preserve"> = </t>
    </r>
  </si>
  <si>
    <t>Wohnbauten:</t>
  </si>
  <si>
    <t>Beleuchtung: Umfassende Sanierung?</t>
  </si>
  <si>
    <t>B50</t>
  </si>
  <si>
    <t>K62</t>
  </si>
  <si>
    <t>I62</t>
  </si>
  <si>
    <t>D62</t>
  </si>
  <si>
    <t>B62</t>
  </si>
  <si>
    <t>G54</t>
  </si>
  <si>
    <t>Q13</t>
  </si>
  <si>
    <t>R13</t>
  </si>
  <si>
    <r>
      <t>MKZ</t>
    </r>
    <r>
      <rPr>
        <vertAlign val="subscript"/>
        <sz val="9"/>
        <rFont val="Arial"/>
        <family val="2"/>
      </rPr>
      <t>Bel,gross</t>
    </r>
  </si>
  <si>
    <r>
      <t>r</t>
    </r>
    <r>
      <rPr>
        <vertAlign val="subscript"/>
        <sz val="9"/>
        <rFont val="Arial"/>
        <family val="2"/>
      </rPr>
      <t>Bel</t>
    </r>
    <r>
      <rPr>
        <sz val="9"/>
        <rFont val="Arial"/>
        <family val="2"/>
      </rPr>
      <t xml:space="preserve"> =</t>
    </r>
  </si>
  <si>
    <r>
      <t>MKZ</t>
    </r>
    <r>
      <rPr>
        <vertAlign val="subscript"/>
        <sz val="9"/>
        <rFont val="Arial"/>
        <family val="2"/>
      </rPr>
      <t>Bel,Standard</t>
    </r>
  </si>
  <si>
    <t>Geräte</t>
  </si>
  <si>
    <t>Geräte bei Zweckbauten</t>
  </si>
  <si>
    <r>
      <t>MKZ</t>
    </r>
    <r>
      <rPr>
        <vertAlign val="subscript"/>
        <sz val="9"/>
        <color theme="1"/>
        <rFont val="Arial"/>
        <family val="2"/>
      </rPr>
      <t>Geräte</t>
    </r>
    <r>
      <rPr>
        <sz val="9"/>
        <color theme="1"/>
        <rFont val="Arial"/>
        <family val="2"/>
      </rPr>
      <t xml:space="preserve"> =</t>
    </r>
  </si>
  <si>
    <t>Allgemeine Gebäudetechnik</t>
  </si>
  <si>
    <r>
      <t>MKZ</t>
    </r>
    <r>
      <rPr>
        <vertAlign val="subscript"/>
        <sz val="9"/>
        <color theme="1"/>
        <rFont val="Arial"/>
        <family val="2"/>
      </rPr>
      <t>AGT</t>
    </r>
    <r>
      <rPr>
        <sz val="9"/>
        <color theme="1"/>
        <rFont val="Arial"/>
        <family val="2"/>
      </rPr>
      <t xml:space="preserve"> =</t>
    </r>
  </si>
  <si>
    <t>Strom-Eigenproduktion</t>
  </si>
  <si>
    <r>
      <t>MKZ</t>
    </r>
    <r>
      <rPr>
        <vertAlign val="subscript"/>
        <sz val="9"/>
        <color theme="1"/>
        <rFont val="Arial"/>
        <family val="2"/>
      </rPr>
      <t>Prod</t>
    </r>
    <r>
      <rPr>
        <sz val="9"/>
        <color theme="1"/>
        <rFont val="Arial"/>
        <family val="2"/>
      </rPr>
      <t xml:space="preserve"> =</t>
    </r>
  </si>
  <si>
    <r>
      <t>E</t>
    </r>
    <r>
      <rPr>
        <vertAlign val="subscript"/>
        <sz val="10"/>
        <rFont val="Arial"/>
        <family val="2"/>
      </rPr>
      <t>EB</t>
    </r>
    <r>
      <rPr>
        <sz val="10"/>
        <rFont val="Arial"/>
        <family val="2"/>
      </rPr>
      <t xml:space="preserve"> =</t>
    </r>
  </si>
  <si>
    <r>
      <t>E</t>
    </r>
    <r>
      <rPr>
        <vertAlign val="subscript"/>
        <sz val="10"/>
        <rFont val="Arial"/>
        <family val="2"/>
      </rPr>
      <t>Netz</t>
    </r>
    <r>
      <rPr>
        <sz val="10"/>
        <rFont val="Arial"/>
        <family val="2"/>
      </rPr>
      <t xml:space="preserve"> =</t>
    </r>
  </si>
  <si>
    <t>kWp</t>
  </si>
  <si>
    <t>W/m2</t>
  </si>
  <si>
    <t>spezifische, installierte Leistung pro m2 EBF:</t>
  </si>
  <si>
    <t xml:space="preserve">MKZ = </t>
  </si>
  <si>
    <t>Berechnung Objkektwert der MINERGIE-Kennzahl:</t>
  </si>
  <si>
    <t>Berechnung des Grenzwertes der MINERGIE-Kennzahl:</t>
  </si>
  <si>
    <r>
      <t>MKZ</t>
    </r>
    <r>
      <rPr>
        <vertAlign val="subscript"/>
        <sz val="9"/>
        <rFont val="Arial"/>
        <family val="2"/>
      </rPr>
      <t>li</t>
    </r>
    <r>
      <rPr>
        <sz val="9"/>
        <rFont val="Arial"/>
        <family val="2"/>
      </rPr>
      <t xml:space="preserve"> = </t>
    </r>
  </si>
  <si>
    <r>
      <t>E</t>
    </r>
    <r>
      <rPr>
        <vertAlign val="subscript"/>
        <sz val="9"/>
        <rFont val="Arial"/>
        <family val="2"/>
      </rPr>
      <t>Bel,Standard</t>
    </r>
    <r>
      <rPr>
        <sz val="9"/>
        <rFont val="Arial"/>
        <family val="2"/>
      </rPr>
      <t xml:space="preserve"> =</t>
    </r>
  </si>
  <si>
    <r>
      <t>E</t>
    </r>
    <r>
      <rPr>
        <vertAlign val="subscript"/>
        <sz val="9"/>
        <rFont val="Arial"/>
        <family val="2"/>
      </rPr>
      <t>SIA380/4,ta</t>
    </r>
    <r>
      <rPr>
        <sz val="9"/>
        <rFont val="Arial"/>
        <family val="2"/>
      </rPr>
      <t xml:space="preserve"> =</t>
    </r>
  </si>
  <si>
    <r>
      <t>MKZ</t>
    </r>
    <r>
      <rPr>
        <vertAlign val="subscript"/>
        <sz val="9"/>
        <rFont val="Arial"/>
        <family val="2"/>
      </rPr>
      <t>li,ZB</t>
    </r>
  </si>
  <si>
    <r>
      <t>E</t>
    </r>
    <r>
      <rPr>
        <vertAlign val="subscript"/>
        <sz val="8"/>
        <rFont val="Arial"/>
        <family val="2"/>
      </rPr>
      <t xml:space="preserve">SIA380/4,ta  </t>
    </r>
  </si>
  <si>
    <r>
      <t>E</t>
    </r>
    <r>
      <rPr>
        <vertAlign val="subscript"/>
        <sz val="8"/>
        <rFont val="Arial"/>
        <family val="2"/>
      </rPr>
      <t xml:space="preserve">SIA380/4,Bel  </t>
    </r>
  </si>
  <si>
    <t>Klimazu. =</t>
  </si>
  <si>
    <r>
      <t>MKZ</t>
    </r>
    <r>
      <rPr>
        <vertAlign val="subscript"/>
        <sz val="9"/>
        <rFont val="Arial"/>
        <family val="2"/>
      </rPr>
      <t>li,o</t>
    </r>
    <r>
      <rPr>
        <sz val="9"/>
        <rFont val="Arial"/>
        <family val="2"/>
      </rPr>
      <t xml:space="preserve"> = </t>
    </r>
  </si>
  <si>
    <t>Blatt Standardwerte, Zelle Z123, neu 0.5</t>
  </si>
  <si>
    <t>Gewichtungsfaktor WKK Holz von 0.7 auf 0.5 geändert.</t>
  </si>
  <si>
    <t>Übersicht</t>
  </si>
  <si>
    <t>Anleitung</t>
  </si>
  <si>
    <t xml:space="preserve">Dieses Nachweisformular dient zum Nachweis der Standards Minergie, Minergie-P und Minergie-A. Der entsprechende Standard </t>
  </si>
  <si>
    <t>kann im Blatt "Eingabe" ausgewählt werden. Der ausgefüllte Nachweis wird auf der Minergie-Online-Plattform (MOP) hochgeladen.</t>
  </si>
  <si>
    <t>Das Antragsformular wird nach der Einreichung auf der MOP automatisch generiert. Der unterschriebene Antrag, dieses Nachweis-</t>
  </si>
  <si>
    <t>formular, sowie weitere auf dem Antrag vermerkte Unterlagen sind der zuständigen Zertifizierungsstelle schriftlich einzureichen.</t>
  </si>
  <si>
    <t>Folgende Farbcodierung ist beim Ausfüllen des Nachweisformulars zu beachten:</t>
  </si>
  <si>
    <t>Eingabefeld (Pflicht)</t>
  </si>
  <si>
    <t>Eingabefeld (Fakultativ)</t>
  </si>
  <si>
    <t>Auswahlfeld (Pflicht)</t>
  </si>
  <si>
    <t>Projekt</t>
  </si>
  <si>
    <t>Erfüllung der Hauptanforderung</t>
  </si>
  <si>
    <t>Minergie-Kennzahl in kWh/m2</t>
  </si>
  <si>
    <t>B9</t>
  </si>
  <si>
    <t>D17</t>
  </si>
  <si>
    <t>H17</t>
  </si>
  <si>
    <t>Primäranforderungen MINERGIE</t>
  </si>
  <si>
    <t>Berechnung der Primäranforderung MINERGIE:</t>
  </si>
  <si>
    <t>MUKEN 2014</t>
  </si>
  <si>
    <r>
      <t>D</t>
    </r>
    <r>
      <rPr>
        <b/>
        <sz val="9"/>
        <color theme="0"/>
        <rFont val="Arial"/>
        <family val="2"/>
      </rPr>
      <t>Qh,li</t>
    </r>
  </si>
  <si>
    <t>Grenzwert Qh,li0  [kWh/m2]</t>
  </si>
  <si>
    <r>
      <t xml:space="preserve">Grenzwert </t>
    </r>
    <r>
      <rPr>
        <b/>
        <sz val="9"/>
        <color indexed="9"/>
        <rFont val="Symbol"/>
        <family val="1"/>
        <charset val="2"/>
      </rPr>
      <t>D</t>
    </r>
    <r>
      <rPr>
        <b/>
        <sz val="9"/>
        <color indexed="9"/>
        <rFont val="Arial"/>
        <family val="2"/>
      </rPr>
      <t>Qh,li  [kWh/m2]</t>
    </r>
  </si>
  <si>
    <r>
      <t>Q</t>
    </r>
    <r>
      <rPr>
        <vertAlign val="subscript"/>
        <sz val="9"/>
        <rFont val="Arial"/>
        <family val="2"/>
      </rPr>
      <t>h,li</t>
    </r>
    <r>
      <rPr>
        <sz val="9"/>
        <rFont val="Arial"/>
        <family val="2"/>
      </rPr>
      <t xml:space="preserve"> = </t>
    </r>
  </si>
  <si>
    <r>
      <t>Q</t>
    </r>
    <r>
      <rPr>
        <vertAlign val="subscript"/>
        <sz val="9"/>
        <rFont val="Arial"/>
        <family val="2"/>
      </rPr>
      <t>h,li</t>
    </r>
    <r>
      <rPr>
        <sz val="9"/>
        <rFont val="Arial"/>
        <family val="2"/>
      </rPr>
      <t xml:space="preserve"> (Neu)</t>
    </r>
  </si>
  <si>
    <t>Anforderung Heizwärmebedarf Qh:</t>
  </si>
  <si>
    <t>M42</t>
  </si>
  <si>
    <t>M43</t>
  </si>
  <si>
    <t>M44</t>
  </si>
  <si>
    <t>M45</t>
  </si>
  <si>
    <t>M46</t>
  </si>
  <si>
    <t>Endenergiebedarf</t>
  </si>
  <si>
    <t>M49</t>
  </si>
  <si>
    <t>M50</t>
  </si>
  <si>
    <t>M47</t>
  </si>
  <si>
    <t>M51</t>
  </si>
  <si>
    <t>M52</t>
  </si>
  <si>
    <t>M55</t>
  </si>
  <si>
    <t>M57</t>
  </si>
  <si>
    <t>Bedarf</t>
  </si>
  <si>
    <t>M39</t>
  </si>
  <si>
    <t>Optimierungspotential</t>
  </si>
  <si>
    <t>M59</t>
  </si>
  <si>
    <t>M58</t>
  </si>
  <si>
    <t>PV Eigenverbrauch</t>
  </si>
  <si>
    <t>PV Anteil Einspeisung</t>
  </si>
  <si>
    <t>Se si riscontra questa situazione, la percentuale di vetro non è rilevante. Se una delle caratteristiche elencate non è presente, bisogna rispondere n.a.</t>
  </si>
  <si>
    <t>Tag
B65</t>
  </si>
  <si>
    <t>Gilt für Kategorien ‚Restaurants’, ‚Sportbauten’ und ‚Hallenbäder’:
20% mit erneuerbarer Energie erbringen.</t>
  </si>
  <si>
    <t>20% mit erneuerbarer Energie gedeckt?</t>
  </si>
  <si>
    <t>Gilt für Kategorie "Hallenbad"</t>
  </si>
  <si>
    <t>Tag
B69</t>
  </si>
  <si>
    <t>Eigenstromerzeugung:</t>
  </si>
  <si>
    <t>EBF Neubau:</t>
  </si>
  <si>
    <t>EBF Altbau:</t>
  </si>
  <si>
    <t>PV-befreit:</t>
  </si>
  <si>
    <t>Min-Anforder:</t>
  </si>
  <si>
    <t>Luftdichtigkeit der Hüllfläche, Neubau</t>
  </si>
  <si>
    <t>Luftdichtigkeit der Hüllfläche, Erneuerung</t>
  </si>
  <si>
    <t>BA9</t>
  </si>
  <si>
    <t>BA10</t>
  </si>
  <si>
    <t>Einsatz erneuerbarer Energien</t>
  </si>
  <si>
    <t>Maximal 30% fossile Spitzenlast?</t>
  </si>
  <si>
    <t>Monitoringkonzept</t>
  </si>
  <si>
    <t>Monitoringkonzept:</t>
  </si>
  <si>
    <t>AF13, AF14</t>
  </si>
  <si>
    <t>Grosse Eingriffe in  Gebäudetechnik?</t>
  </si>
  <si>
    <t>Monitor?</t>
  </si>
  <si>
    <t>BA14</t>
  </si>
  <si>
    <t>Monitoringkonzept beigelegt?</t>
  </si>
  <si>
    <t>Blatt "Uebersicht" und "MINERGIE" eingefügt</t>
  </si>
  <si>
    <t>MINERGIE-Nachweis-Anpassungen</t>
  </si>
  <si>
    <t>Art des Nachweises, Auswahl-Nr. (1=behördlicher Nachweis, 2=MINERGIE, 3=MINERGIE-P, 4=MINERGIE-A)</t>
  </si>
  <si>
    <t>Projektname (MINERGIE) / Gemeinde (behördlicher Nachweis)</t>
  </si>
  <si>
    <t>MOP-Nr. (MINERGIE) / Geb.-Nr. (behördlicher Nachweis)</t>
  </si>
  <si>
    <t>EGID (behördlicher Nachweis)</t>
  </si>
  <si>
    <t>Gebäudeadresse (MINERGIE) / Bauvorhaben (behördlicher Nachweis)</t>
  </si>
  <si>
    <t>Klimastation, Auswahl-Nr. (1: leer; 2: Adelboden; etc.)</t>
  </si>
  <si>
    <t>Gebäudehüllzahl1</t>
  </si>
  <si>
    <t>Gebäudehüllzahl2</t>
  </si>
  <si>
    <t>Gebäudehüllzahl3</t>
  </si>
  <si>
    <t>Gebäudehüllzahl4</t>
  </si>
  <si>
    <t>Heizwärmebedarf mit Standardluftwechsel, Qh1  (kWh/m2)</t>
  </si>
  <si>
    <t>Heizwärmebedarf mit Standardluftwechsel, Qh2  (kWh/m2)</t>
  </si>
  <si>
    <t>Heizwärmebedarf mit Standardluftwechsel, Qh3  (kWh/m2)</t>
  </si>
  <si>
    <t>Heizwärmebedarf mit Standardluftwechsel, Qh4  (kWh/m2)</t>
  </si>
  <si>
    <t>Lüftungsart1 (nur wenn Standardlüftung1 = wahr)</t>
  </si>
  <si>
    <t>Lüftungsart2 (nur wenn Standardlüftung2 = wahr)</t>
  </si>
  <si>
    <t>Lüftungsart3 (nur wenn Standardlüftung3 = wahr)</t>
  </si>
  <si>
    <t>Lüftungsart4 (nur wenn Standardlüftung4 = wahr)</t>
  </si>
  <si>
    <t>WRG1 (nur wenn Standardlüftung1 = wahr)</t>
  </si>
  <si>
    <t>WRG2 (nur wenn Standardlüftung1 = wahr)</t>
  </si>
  <si>
    <t>WRG3 (nur wenn Standardlüftung1 = wahr)</t>
  </si>
  <si>
    <t>WRG4 (nur wenn Standardlüftung1 = wahr)</t>
  </si>
  <si>
    <t>Ventilator-Motortyp1 (nur wenn Standardlüftung1 = wahr)</t>
  </si>
  <si>
    <t>Ventilator-Motortyp4 (nur wenn Standardlüftung4 = wahr)</t>
  </si>
  <si>
    <t>Ventilator-Motortyp2 (nur wenn Standardlüftung2 = wahr)</t>
  </si>
  <si>
    <t>Ventilator-Motortyp3 (nur wenn Standardlüftung3 = wahr)</t>
  </si>
  <si>
    <t>Einheit Heizwärmebedarf Qh  und Qh,eff, Auswahl-Nr.  (1: MJ/m2;  2: kWh/m2)</t>
  </si>
  <si>
    <t>eff. Heizwärmebedarf mit Lüftungsanlage, Qh,eff1  (kWh/m2)</t>
  </si>
  <si>
    <t>eff. Heizwärmebedarf mit Lüftungsanlage, Qh,eff2  (kWh/m2)</t>
  </si>
  <si>
    <t>eff. Heizwärmebedarf mit Lüftungsanlage, Qh,eff3  (kWh/m2)</t>
  </si>
  <si>
    <t>eff. Heizwärmebedarf mit Lüftungsanlage, Qh,eff4  (kWh/m2)</t>
  </si>
  <si>
    <t>Thermisch wirksamer Aussenluft-Volumenstrom1</t>
  </si>
  <si>
    <t>Thermisch wirksamer Aussenluft-Volumenstrom4</t>
  </si>
  <si>
    <t>Thermisch wirksamer Aussenluft-Volumenstrom3</t>
  </si>
  <si>
    <t>Thermisch wirksamer Aussenluft-Volumenstrom2</t>
  </si>
  <si>
    <t>Übertrag weitere Wärmeerzeugung: Bezeichnung</t>
  </si>
  <si>
    <t>Massgebender Grenzwert Zone1 für Endenergiebedarf ohne PV [kWh/m2]</t>
  </si>
  <si>
    <t>Massgebender Grenzwert Zone2  für Endenergiebedarf ohne PV  [kWh/m2]</t>
  </si>
  <si>
    <t>Massgebender Grenzwert Zone3  für Endenergiebedarf ohne PV  [kWh/m2]</t>
  </si>
  <si>
    <t>Massgebender Grenzwert Zone4  für Endenergiebedarf ohne PV  [kWh/m2]</t>
  </si>
  <si>
    <t>Anforderung Endenergie ohne PV eingehalten</t>
  </si>
  <si>
    <t>Kanton, Auswahl-Nr. ( 1: leer; 2: Aargau; etc.)</t>
  </si>
  <si>
    <t>Anforderung Grenzwert Endenergie ohne PV  [kWh/m2]</t>
  </si>
  <si>
    <t>Berechneter Wert Endenergie ohne PV  [kWh/m2]</t>
  </si>
  <si>
    <t>Anforderung MKZ  [kWh/m2]</t>
  </si>
  <si>
    <t>Berechneter Wert MKZ  [kWh/m2]</t>
  </si>
  <si>
    <t>Anforderung MKZ eingehalten</t>
  </si>
  <si>
    <t>Massgebender Grenzwert Zone1 für MKZ [kWh/m2]</t>
  </si>
  <si>
    <t>Massgebender Grenzwert Zone2 für MKZ [kWh/m2]</t>
  </si>
  <si>
    <t>Massgebender Grenzwert Zone3 für MKZ [kWh/m2]</t>
  </si>
  <si>
    <t>Massgebender Grenzwert Zone4 für MKZ [kWh/m2]</t>
  </si>
  <si>
    <t>Warmwasser, Abminderung Armaturen Zone1</t>
  </si>
  <si>
    <t>Warmwasser, Abminderung Armaturen Zone2</t>
  </si>
  <si>
    <t>Warmwasser, Abminderung Armaturen Zone3</t>
  </si>
  <si>
    <t>Warmwasser, Abminderung Armaturen Zone4</t>
  </si>
  <si>
    <t>Warmwasser, Abminderung Warmhaltung Zone1</t>
  </si>
  <si>
    <t>Warmwasser, Abminderung Warmhaltung Zone4</t>
  </si>
  <si>
    <t>Warmwasser, Abminderung Warmhaltung Zone3</t>
  </si>
  <si>
    <t>Warmwasser, Abminderung Warmhaltung Zone2</t>
  </si>
  <si>
    <t>Anzahl Wohnungen Zone1</t>
  </si>
  <si>
    <t>Anzahl Wohnungen Zone4</t>
  </si>
  <si>
    <t>Anzahl Wohnungen Zone2</t>
  </si>
  <si>
    <t>Anzahl Wohnungen Zone3</t>
  </si>
  <si>
    <t>Aufzugsanlage / Lift vorhanden?</t>
  </si>
  <si>
    <t>Lift vorhanden, Zone1</t>
  </si>
  <si>
    <t>Lift vorhanden, Zone4</t>
  </si>
  <si>
    <t>Lift vorhanden, Zone2</t>
  </si>
  <si>
    <t>Lift vorhanden, Zone3</t>
  </si>
  <si>
    <t>Alle Geschirrspüler Klasse A+++, Zone1</t>
  </si>
  <si>
    <t>Alle Geschirrspüler Klasse A+++, Zone2</t>
  </si>
  <si>
    <t>Alle Geschirrspüler Klasse A+++, Zone3</t>
  </si>
  <si>
    <t>Alle Geschirrspüler Klasse A+++, Zone4</t>
  </si>
  <si>
    <t>Alle Kühl- und Gefrierschränke A+++, Zone1</t>
  </si>
  <si>
    <t>Alle Kühl- und Gefrierschränke A+++, Zone2</t>
  </si>
  <si>
    <t>Alle Kühl- und Gefrierschränke A+++, Zone3</t>
  </si>
  <si>
    <t>Alle Kühl- und Gefrierschränke A+++, Zone4</t>
  </si>
  <si>
    <t>Alle Waschmaschinen Klasse A+++, Zone1</t>
  </si>
  <si>
    <t>Alle Waschmaschinen Klasse A+++, Zone2</t>
  </si>
  <si>
    <t>Alle Waschmaschinen Klasse A+++, Zone3</t>
  </si>
  <si>
    <t>Alle Waschmaschinen Klasse A+++, Zone4</t>
  </si>
  <si>
    <t>Alle Wäschetrockner Klasse A+++, Zone1</t>
  </si>
  <si>
    <t>Alle Wäschetrockner Klasse A+++, Zone2</t>
  </si>
  <si>
    <t>Alle Wäschetrockner Klasse A+++, Zone3</t>
  </si>
  <si>
    <t>Alle Wäschetrockner Klasse A+++, Zone4</t>
  </si>
  <si>
    <t>Alles Induktionskochherde, Zone1</t>
  </si>
  <si>
    <t>Alles Induktionskochherde, Zone2</t>
  </si>
  <si>
    <t>Alles Induktionskochherde, Zone3</t>
  </si>
  <si>
    <t>Alles Induktionskochherde, Zone4</t>
  </si>
  <si>
    <t>Feste Wohnungsbeleuchtung LED A++, Zone1</t>
  </si>
  <si>
    <t>Feste Wohnungsbeleuchtung LED A++, Zone2</t>
  </si>
  <si>
    <t>Feste Wohnungsbeleuchtung LED A++, Zone3</t>
  </si>
  <si>
    <t>Feste Wohnungsbeleuchtung LED A++, Zone4</t>
  </si>
  <si>
    <t>Allg. Beleuchtung LED A++ &amp; Regelung, Zone1</t>
  </si>
  <si>
    <t>Allg. Beleuchtung LED A++ &amp; Regelung, Zone2</t>
  </si>
  <si>
    <t>Allg. Beleuchtung LED A++ &amp; Regelung, Zone3</t>
  </si>
  <si>
    <t>Allg. Beleuchtung LED A++ &amp; Regelung, Zone4</t>
  </si>
  <si>
    <t>Beleuchtung: Umfassende Sanierung?, Zone1</t>
  </si>
  <si>
    <t>Beleuchtung: Umfassende Sanierung?, Zone2</t>
  </si>
  <si>
    <t>Beleuchtung: Umfassende Sanierung?, Zone3</t>
  </si>
  <si>
    <t>Beleuchtung: Umfassende Sanierung?, Zone4</t>
  </si>
  <si>
    <t>Leuchten: Minergie-Modul oder Klasse A+, Zone1</t>
  </si>
  <si>
    <t>Leuchten: Minergie-Modul oder Klasse A+, Zone2</t>
  </si>
  <si>
    <t>Leuchten: Minergie-Modul oder Klasse A+, Zone3</t>
  </si>
  <si>
    <t>Leuchten: Minergie-Modul oder Klasse A+, Zone4</t>
  </si>
  <si>
    <t>Lichtsteuerung Klasse A++, Zone1</t>
  </si>
  <si>
    <t>Lichtsteuerung Klasse A++, Zone2</t>
  </si>
  <si>
    <t>Lichtsteuerung Klasse A++, Zone3</t>
  </si>
  <si>
    <t>Lichtsteuerung Klasse A++, Zone4</t>
  </si>
  <si>
    <t>Beleuchtung: Zielwert SIA 380/4, Zone1</t>
  </si>
  <si>
    <t>Beleuchtung: Projektwert SIA 380/4, Zone1</t>
  </si>
  <si>
    <t>Beleuchtung: Zielwert SIA 380/4, Zone2</t>
  </si>
  <si>
    <t>Beleuchtung: Zielwert SIA 380/4, Zone3</t>
  </si>
  <si>
    <t>Beleuchtung: Zielwert SIA 380/4, Zone4</t>
  </si>
  <si>
    <t>Beleuchtung: Projektwert SIA 380/4, Zone2</t>
  </si>
  <si>
    <t>Beleuchtung: Projektwert SIA 380/4, Zone3</t>
  </si>
  <si>
    <t>Beleuchtung: Projektwert SIA 380/4, Zone4</t>
  </si>
  <si>
    <t>Jahresertrag PV [kWh/kWp], Eingabewert</t>
  </si>
  <si>
    <t>Jahresertrag PV [kWh/kWp], Rechenwert</t>
  </si>
  <si>
    <t>Eigenbedarf PV [%], Eingabewert</t>
  </si>
  <si>
    <t>Eigenbedarf PV [%], Rechenwert</t>
  </si>
  <si>
    <t>Anforderung Luftdichtigkeit der Hüllfläche, Neubau [m3/(h*m2)]</t>
  </si>
  <si>
    <t>Eingabewert Luftdichtigkeit der Hüllfläche, Neubau [m3/(h*m2)]</t>
  </si>
  <si>
    <t>Anforderung Luftdichtigkeit der Hüllfläche, Erneuerung [m3/(h*m2)]</t>
  </si>
  <si>
    <t>Eingabewert Luftdichtigkeit der Hüllfläche, Erneuerung [m3/(h*m2)]</t>
  </si>
  <si>
    <t>20% mit erneuerbarer Energie gedeckt?  (Restaurant, Sportbauten, Hallenbäder)</t>
  </si>
  <si>
    <t>20% mit erneuerbarer Energie gedeckt?  (Restaurant, Sportbauten, Hallenbäder): Anforderung erfüllt?</t>
  </si>
  <si>
    <t>Einsatz erneuerbarer Energien, Maximal 30% fossile Spitzenlast?</t>
  </si>
  <si>
    <t>Einsatz erneuerbarer Energien, Maximal 30% fossile Spitzenlast: Anforderung erfüllt?</t>
  </si>
  <si>
    <t>Optimierter Badebetrieb (Reserve)</t>
  </si>
  <si>
    <t>Optimierter Badebetrieb (Reserve): Anforderung erfüllt?</t>
  </si>
  <si>
    <t>Monitoringkonzept: Anforderung erfüllt?</t>
  </si>
  <si>
    <t>Aussenliegender beweglicher Sonnenschutz. Zone2</t>
  </si>
  <si>
    <t>Aussenliegender beweglicher Sonnenschutz. Zone1</t>
  </si>
  <si>
    <t>Aussenliegender beweglicher Sonnenschutz. Zone3</t>
  </si>
  <si>
    <t>Aussenliegender beweglicher Sonnenschutz. Zone4</t>
  </si>
  <si>
    <t>Anderer Sonnenschutz (Text)</t>
  </si>
  <si>
    <t>Wohnen (EFH, MFH), Räume mit 1 Fassade, Betondecke (&gt;80% frei): - Glasanteil &lt;70%, Zone1</t>
  </si>
  <si>
    <t>Wohnen (EFH, MFH), Räume mit 1 Fassade, Betondecke (&gt;80% frei): - Glasanteil &lt;70%, Zone2</t>
  </si>
  <si>
    <t>Wohnen (EFH, MFH), Räume mit 1 Fassade, Betondecke (&gt;80% frei): - Glasanteil &lt;70%, Zone3</t>
  </si>
  <si>
    <t>Wohnen (EFH, MFH), Räume mit 1 Fassade, Betondecke (&gt;80% frei): - Glasanteil &lt;70%, Zone4</t>
  </si>
  <si>
    <t>Wohnen (EFH,MFH), Eckzimmer; Betondecke (&gt;80% frei):- Glasanteil pro Fassade &lt;50%. Zone1</t>
  </si>
  <si>
    <t>Wohnen (EFH,MFH), Eckzimmer; Betondecke (&gt;80% frei):- Glasanteil pro Fassade &lt;50%. Zone2</t>
  </si>
  <si>
    <t>Wohnen (EFH,MFH), Eckzimmer; Betondecke (&gt;80% frei):- Glasanteil pro Fassade &lt;50%. Zone3</t>
  </si>
  <si>
    <t>Wohnen (EFH,MFH), Eckzimmer; Betondecke (&gt;80% frei):- Glasanteil pro Fassade &lt;50%. Zone4</t>
  </si>
  <si>
    <t>Wohnen (EFH, MFH), 1 Fassade oder Eckzimmer: - Glasanteil &lt;40%, Zone1</t>
  </si>
  <si>
    <t>Wohnen (EFH, MFH), 1 Fassade oder Eckzimmer: - Glasanteil &lt;40%, Zone2</t>
  </si>
  <si>
    <t>Wohnen (EFH, MFH), 1 Fassade oder Eckzimmer: - Glasanteil &lt;40%, Zone3</t>
  </si>
  <si>
    <t>Wohnen (EFH, MFH), 1 Fassade oder Eckzimmer: - Glasanteil &lt;40%, Zone4</t>
  </si>
  <si>
    <t>Wohnen (EFH, MFH), Räume mit 1 Fassade, Süd-Orientierung und Verschattung durch Balkon von min. 1 m Tiefe. Zone1</t>
  </si>
  <si>
    <t>Wohnen (EFH, MFH), Räume mit 1 Fassade, Süd-Orientierung und Verschattung durch Balkon von min. 1 m Tiefe. Zone2</t>
  </si>
  <si>
    <t>Wohnen (EFH, MFH), Räume mit 1 Fassade, Süd-Orientierung und Verschattung durch Balkon von min. 1 m Tiefe. Zone3</t>
  </si>
  <si>
    <t>Wohnen (EFH, MFH), Räume mit 1 Fassade, Süd-Orientierung und Verschattung durch Balkon von min. 1 m Tiefe. Zone4</t>
  </si>
  <si>
    <t>Einzelbüro, Gruppenbüro, Sitzungszimmer mit 1 Fassade, Betondecke:- Glasanteil &lt;50% und MSR Sonnenschutzes,  Zone1</t>
  </si>
  <si>
    <t>Einzelbüro, Gruppenbüro, Sitzungszimmer mit 1 Fassade, Betondecke:- Glasanteil &lt;50% und MSR Sonnenschutzes,  Zone2</t>
  </si>
  <si>
    <t>Einzelbüro, Gruppenbüro, Sitzungszimmer mit 1 Fassade, Betondecke:- Glasanteil &lt;50% und MSR Sonnenschutzes,  Zone3</t>
  </si>
  <si>
    <t>Einzelbüro, Gruppenbüro, Sitzungszimmer mit 1 Fassade, Betondecke:- Glasanteil &lt;50% und MSR Sonnenschutzes,  Zone4</t>
  </si>
  <si>
    <t>Einzelbüro, Gruppenbüro, Sitzungszimmer als Eckzimmer, Betondecke: - Glasanteil &lt;35% und MSR Sonnenschutzes, Zone1</t>
  </si>
  <si>
    <t>Einzelbüro, Gruppenbüro, Sitzungszimmer als Eckzimmer, Betondecke: - Glasanteil &lt;35% und MSR Sonnenschutzes, Zone2</t>
  </si>
  <si>
    <t>Einzelbüro, Gruppenbüro, Sitzungszimmer als Eckzimmer, Betondecke: - Glasanteil &lt;35% und MSR Sonnenschutzes, Zone3</t>
  </si>
  <si>
    <t>Einzelbüro, Gruppenbüro, Sitzungszimmer als Eckzimmer, Betondecke: - Glasanteil &lt;35% und MSR Sonnenschutzes, Zone4</t>
  </si>
  <si>
    <t>Sommerlicher Wärmeschutz ohne Kühlung erfüllt.  Zone1</t>
  </si>
  <si>
    <t>Sommerlicher Wärmeschutz ohne Kühlung erfüllt.  Zone2</t>
  </si>
  <si>
    <t>Sommerlicher Wärmeschutz ohne Kühlung erfüllt.  Zone3</t>
  </si>
  <si>
    <t>Sommerlicher Wärmeschutz ohne Kühlung erfüllt.  Zone4</t>
  </si>
  <si>
    <t>Bemerkung sommerlicher Wärmeschutz ohen Kühlung (Text)</t>
  </si>
  <si>
    <t>Die Grenzwertkurve SIA 382/1wird ohne Kühlung an weniger als 100 h überschritten. Zone1</t>
  </si>
  <si>
    <t>Die Grenzwertkurve SIA 382/1wird ohne Kühlung an weniger als 100 h überschritten. Zone2</t>
  </si>
  <si>
    <t>Die Grenzwertkurve SIA 382/1wird ohne Kühlung an weniger als 100 h überschritten. Zone3</t>
  </si>
  <si>
    <t>Die Grenzwertkurve SIA 382/1wird ohne Kühlung an weniger als 100 h überschritten. Zone4</t>
  </si>
  <si>
    <t>Die Zone ist gekühlt und OK. Zone1</t>
  </si>
  <si>
    <t>Die Zone ist gekühlt und OK. Zone2</t>
  </si>
  <si>
    <t>Die Zone ist gekühlt und OK. Zone3</t>
  </si>
  <si>
    <t>Die Zone ist gekühlt und OK. Zone4</t>
  </si>
  <si>
    <t>Wärmeschutz erfüllt, Zone1</t>
  </si>
  <si>
    <t>Wärmeschutz erfüllt, Zone2</t>
  </si>
  <si>
    <t>Wärmeschutz erfüllt, Zone3</t>
  </si>
  <si>
    <t>Wärmeschutz erfüllt, Zone4</t>
  </si>
  <si>
    <t>Sprachversions-Nr.  (1=deutsch / 2=französisch / 3=italienisch)</t>
  </si>
  <si>
    <t>Minergi-Kennzahl MKZ, Anforderung (kWh/m2)</t>
  </si>
  <si>
    <t>MKZ erfüllt?</t>
  </si>
  <si>
    <t>MKZ in CO2, Anforderung</t>
  </si>
  <si>
    <t>MKZ in CO2, Berechneter Wert</t>
  </si>
  <si>
    <t>Heizwärmebedarf, Anforderung (kWh/m2)</t>
  </si>
  <si>
    <t>Heizwärmebedarf, berechneter Wert (kWh/m2)</t>
  </si>
  <si>
    <t>Minergi-Kennzahl MKZ, berechneter Wert (kWh/m2)</t>
  </si>
  <si>
    <t>Heizwärmebedarf efüllt?</t>
  </si>
  <si>
    <t>Endenergie ohne PV, Anforderung  (kWh/m2)</t>
  </si>
  <si>
    <t>Endenergie ohne PV, berechneter Wert  (kWh/m2)</t>
  </si>
  <si>
    <t>Endenergie ohne PV erfüllt?</t>
  </si>
  <si>
    <t>Beleuchtung, Anforderung (kWh/m2)</t>
  </si>
  <si>
    <t>Beleuchtung, berechneter Wert (kWh/m2)</t>
  </si>
  <si>
    <t>Beleuchtung erfüllt?</t>
  </si>
  <si>
    <t>Nachweis erarbeitet Durch: Firma (Text)</t>
  </si>
  <si>
    <t>private Kontrolle: Firma (Text)</t>
  </si>
  <si>
    <t>Nachweis erarbeitet Durch: Name (Text)</t>
  </si>
  <si>
    <t>private Kontrolle: Name (Text)</t>
  </si>
  <si>
    <t>private Kontrolle: Ort / Datum / Unterschrift (Text)</t>
  </si>
  <si>
    <t>Nachweis erarbeitet Durch: Ort  / Datum / Unterschrift (Text)</t>
  </si>
  <si>
    <t>Ausführungskontrolle: Gleiche Person</t>
  </si>
  <si>
    <t>Ausführungskontrolle: Andere Person (Text)</t>
  </si>
  <si>
    <t>G53</t>
  </si>
  <si>
    <t>I53</t>
  </si>
  <si>
    <t>G62. G57</t>
  </si>
  <si>
    <t>Teilkennzahl
Bedarf</t>
  </si>
  <si>
    <t>G58</t>
  </si>
  <si>
    <t>H58</t>
  </si>
  <si>
    <t>Anforderung PV (gewichtet)</t>
  </si>
  <si>
    <t>F29</t>
  </si>
  <si>
    <t>Produktion PV (gewichtet)</t>
  </si>
  <si>
    <t>H29</t>
  </si>
  <si>
    <t>MUKEN-Versionsnummer</t>
  </si>
  <si>
    <t>Jahr Nachweisformular</t>
  </si>
  <si>
    <t>Jahresversion Nachweisformular</t>
  </si>
  <si>
    <t>Version Nachweisformular</t>
  </si>
  <si>
    <t>Minergie-Nachweis: Jahresversion und Jahr</t>
  </si>
  <si>
    <t>MOP</t>
  </si>
  <si>
    <t>Gebäudekategorie1, Auswahl-Nr.  (0: leer; 1:MFH; 2: EFH; 3:Verwaltung; 4: Schule; 5: Verkauf; 6: Restaurant; 7: Versammlungslokal; 8: Spital; 9: Industrie; 10: Lager; 11: Sportbau; 12: Hallenbad)</t>
  </si>
  <si>
    <t>Gebäudekategorie4, Auswahl-Nr.  (0: leer; 1:MFH; 2: EFH; 3:Verwaltung; 4: Schule; 5: Verkauf; 6: Restaurant; 7: Versammlungslokal; 8: Spital; 9: Industrie; 10: Lager; 11: Sportbau; 12: Hallenbad)</t>
  </si>
  <si>
    <t>Gebäudekategorie2, Auswahl-Nr.  (0: leer; 1:MFH; 2: EFH; 3:Verwaltung; 4: Schule; 5: Verkauf; 6: Restaurant; 7: Versammlungslokal; 8: Spital; 9: Industrie; 10: Lager; 11: Sportbau; 12: Hallenbad)</t>
  </si>
  <si>
    <t>Gebäudekategorie3, Auswahl-Nr.  (0: leer; 1:MFH; 2: EFH; 3:Verwaltung; 4: Schule; 5: Verkauf; 6: Restaurant; 7: Versammlungslokal; 8: Spital; 9: Industrie; 10: Lager; 11: Sportbau; 12: Hallenbad)</t>
  </si>
  <si>
    <t>Warmwasser1, Auswahl-Nr. (0: leer; 1: Ja; 2:Nein)</t>
  </si>
  <si>
    <t>Warmwasser4, Auswahl-Nr. (0: leer; 1: Ja; 2:Nein)</t>
  </si>
  <si>
    <t>Warmwasser3, Auswahl-Nr. (0: leer; 1: Ja; 2:Nein)</t>
  </si>
  <si>
    <t>Warmwasser2, Auswahl-Nr. (0: leer; 1: Ja; 2:Nein)</t>
  </si>
  <si>
    <t>Neubau1, Auswahl-Nr. (0: leer;  1: Ja;  2: Nein)</t>
  </si>
  <si>
    <t>Neubau4, Auswahl-Nr. (0: leer;  1: Ja;  2: Nein)</t>
  </si>
  <si>
    <t>Neubau2, Auswahl-Nr. (0: leer;  1: Ja;  2: Nein)</t>
  </si>
  <si>
    <t>Neubau3, Auswahl-Nr. (0: leer;  1: Ja;  2: Nein)</t>
  </si>
  <si>
    <t>Standardlüftung1, Auswahl-Nr.  (0: leer; 1: Ja; 2:Nein)</t>
  </si>
  <si>
    <t>Standardlüftung2, Auswahl-Nr.  (0: leer; 1: Ja; 2:Nein)</t>
  </si>
  <si>
    <t>Standardlüftung3, Auswahl-Nr.  (0: leer; 1: Ja; 2:Nein)</t>
  </si>
  <si>
    <t>Standardlüftung4, Auswahl-Nr.  (0: leer; 1: Ja; 2:Nein)</t>
  </si>
  <si>
    <t>Lüftungsart1, Auswahl-Nr.  (0: leer; 1: keine Lüftung; 2: Zu-/Abluft; 3: Lüftung+WRG; 4: Lüftung+WP; 5: nur Abluft; 6: Abluft-WP; 7: Einzelraumlüftung; 8: Aut Fensterl.)</t>
  </si>
  <si>
    <t>Lüftungsart4, Auswahl-Nr.  (0: leer; 1: keine Lüftung; 2: Zu-/Abluft; 3: Lüftung+WRG; 4: Lüftung+WP; 5: nur Abluft; 6: Abluft-WP; 7: Einzelraumlüftung; 8: Aut Fensterl.)</t>
  </si>
  <si>
    <t>Lüftungsart2, Auswahl-Nr.  (0: leer; 1: keine Lüftung; 2: Zu-/Abluft; 3: Lüftung+WRG; 4: Lüftung+WP; 5: nur Abluft; 6: Abluft-WP; 7: Einzelraumlüftung; 8: Aut Fensterl.)</t>
  </si>
  <si>
    <t>Lüftungsart3, Auswahl-Nr.  (0: leer; 1: keine Lüftung; 2: Zu-/Abluft; 3: Lüftung+WRG; 4: Lüftung+WP; 5: nur Abluft; 6: Abluft-WP; 7: Einzelraumlüftung; 8: Aut Fensterl.)</t>
  </si>
  <si>
    <t>WRG1, Auswahl-Nr. (0: leer;  1: keine WRG;  2: Kreuzstrom;  3: Gegensstrom;  4: Rotations-WT;  5: Kreislauf-KVS)</t>
  </si>
  <si>
    <t>WRG2, Auswahl-Nr. (0: leer;  1: keine WRG;  2: Kreuzstrom;  3: Gegensstrom;  4: Rotations-WT;  5: Kreislauf-KVS)</t>
  </si>
  <si>
    <t>WRG3, Auswahl-Nr. (0: leer;  1: keine WRG;  2: Kreuzstrom;  3: Gegensstrom;  4: Rotations-WT;  5: Kreislauf-KVS)</t>
  </si>
  <si>
    <t>WRG4, Auswahl-Nr. (0: leer;  1: keine WRG;  2: Kreuzstrom;  3: Gegensstrom;  4: Rotations-WT;  5: Kreislauf-KVS)</t>
  </si>
  <si>
    <t>Ventilator-Motortyp4, Auswahl-Nr. (0: leer;  1: AC-Motor;  2: DC/EC-Motor)</t>
  </si>
  <si>
    <t>Ventilator-Motortyp1, Auswahl-Nr. (0: leer;  1: AC-Motor;  2: DC/EC-Motor)</t>
  </si>
  <si>
    <t>Ventilator-Motortyp2, Auswahl-Nr. (0: leer;  1: AC-Motor;  2: DC/EC-Motor)</t>
  </si>
  <si>
    <t>Ventilator-Motortyp3, Auswahl-Nr. (0: leer;  1: AC-Motor;  2: DC/EC-Motor)</t>
  </si>
  <si>
    <t>Kühlung oder Befeuchtung 4, Auswahl-Nr. (0: leer;  1: Kühlung;  2: Befeuchtung;  3: Kühl. + Bef.;  4: keine )</t>
  </si>
  <si>
    <t>Kühlung oder Befeuchtung 1, Auswahl-Nr. (0: leer;  1: Kühlung;  2: Befeuchtung;  3: Kühl. + Bef.;  4: keine )</t>
  </si>
  <si>
    <t>Kühlung oder Befeuchtung 2, Auswahl-Nr. (0: leer;  1: Kühlung;  2: Befeuchtung;  3: Kühl. + Bef.;  4: keine )</t>
  </si>
  <si>
    <t>Kühlung oder Befeuchtung 3, Auswahl-Nr. (0: leer;  1: Kühlung;  2: Befeuchtung;  3: Kühl. + Bef.;  4: keine )</t>
  </si>
  <si>
    <t>Anforderung Endenergie ohne PV eingehalten, Auswahl-Nr. (0=leer / 1=Ja / 2=Nein)</t>
  </si>
  <si>
    <t>Mind. 20% erneuerbare Energie für WW bei Rest. / Sportbauten / Hallenbäder, Auswahl-Nr. (0 = leer / 1=Ja / 2=Nein)</t>
  </si>
  <si>
    <t>Anforderung MKZ eingehalten, Auswahl-Nr. (0=leer / 1=Ja / 2=Nein)</t>
  </si>
  <si>
    <t>Warmwasser, Abminderung Armaturen Zone1, Auswahl-Nr. (0=leer / 1=Ja / 2=Nein)</t>
  </si>
  <si>
    <t>Warmwasser, Abminderung Armaturen Zone4, Auswahl-Nr. (0=leer / 1=Ja / 2=Nein)</t>
  </si>
  <si>
    <t>Warmwasser, Abminderung Armaturen Zone3, Auswahl-Nr. (0=leer / 1=Ja / 2=Nein)</t>
  </si>
  <si>
    <t>Warmwasser, Abminderung Armaturen Zone2, Auswahl-Nr. (0=leer / 1=Ja / 2=Nein)</t>
  </si>
  <si>
    <t>Warmwasser, Abminderung Warmhaltung Zone1, Auswahl-Nr.  (0=leer / 1=Ja / 2=Nein)</t>
  </si>
  <si>
    <t>Warmwasser, Abminderung Warmhaltung Zone2, Auswahl-Nr.  (0=leer / 1=Ja / 2=Nein)</t>
  </si>
  <si>
    <t>Warmwasser, Abminderung Warmhaltung Zone3, Auswahl-Nr.  (0=leer / 1=Ja / 2=Nein)</t>
  </si>
  <si>
    <t>Warmwasser, Abminderung Warmhaltung Zone4, Auswahl-Nr. (0=leer / 1=Ja / 2=Nein)</t>
  </si>
  <si>
    <t>Lift vorhanden, Zone1, Auswahl-Nr.  (0=leer / 1=Ja / 2=Nein)</t>
  </si>
  <si>
    <t>Lift vorhanden, Zone2, Auswahl-Nr.  (0=leer / 1=Ja / 2=Nein)</t>
  </si>
  <si>
    <t>Lift vorhanden, Zone3, Auswahl-Nr.  (0=leer / 1=Ja / 2=Nein)</t>
  </si>
  <si>
    <t>Lift vorhanden, Zone4, Auswahl-Nr. (0=leer / 1=Ja / 2=Nein)</t>
  </si>
  <si>
    <t>Alle Geschirrspüler Klasse A+++, Zone1  (0=leer / 1=Ja / 2=Nein)</t>
  </si>
  <si>
    <t>Alle Geschirrspüler Klasse A+++, Zone2 (0=leer / 1=Ja / 2=Nein)</t>
  </si>
  <si>
    <t>Alle Geschirrspüler Klasse A+++, Zone3  (0=leer / 1=Ja / 2=Nein)</t>
  </si>
  <si>
    <t>Alle Geschirrspüler Klasse A+++, Zone4 (0=leer / 1=Ja / 2=Nein)</t>
  </si>
  <si>
    <t>Alle Kühl- und Gefrierschränke A+++, Zone1  (0=leer / 1=Ja / 2=Nein)</t>
  </si>
  <si>
    <t>Alle Kühl- und Gefrierschränke A+++, Zone2  (0=leer / 1=Ja / 2=Nein)</t>
  </si>
  <si>
    <t>Alle Kühl- und Gefrierschränke A+++, Zone3 (0=leer / 1=Ja / 2=Nein)</t>
  </si>
  <si>
    <t>Alle Kühl- und Gefrierschränke A+++, Zone4  (0=leer / 1=Ja / 2=Nein)</t>
  </si>
  <si>
    <t>Alle Waschmaschinen Klasse A+++, Zone1  (0=leer / 1=Ja / 2=Nein)</t>
  </si>
  <si>
    <t>Alle Waschmaschinen Klasse A+++, Zone2 (0=leer / 1=Ja / 2=Nein)</t>
  </si>
  <si>
    <t>Alle Waschmaschinen Klasse A+++, Zone3 (0=leer / 1=Ja / 2=Nein)</t>
  </si>
  <si>
    <t>Alle Waschmaschinen Klasse A+++, Zone4 (0=leer / 1=Ja / 2=Nein)</t>
  </si>
  <si>
    <t>Alle Wäschetrockner Klasse A+++, Zone1 (0=leer / 1=Ja / 2=Nein)</t>
  </si>
  <si>
    <t>Alle Wäschetrockner Klasse A+++, Zone2 (0=leer / 1=Ja / 2=Nein)</t>
  </si>
  <si>
    <t>Alle Wäschetrockner Klasse A+++, Zone3 (0=leer / 1=Ja / 2=Nein)</t>
  </si>
  <si>
    <t>Alle Wäschetrockner Klasse A+++, Zone4 (0=leer / 1=Ja / 2=Nein)</t>
  </si>
  <si>
    <t>Alles Induktionskochherde, Zone1 (0=leer / 1=Ja / 2=Nein)</t>
  </si>
  <si>
    <t>Alles Induktionskochherde, Zone2  (0=leer / 1=Ja / 2=Nein)</t>
  </si>
  <si>
    <t>Alles Induktionskochherde, Zone3  (0=leer / 1=Ja / 2=Nein)</t>
  </si>
  <si>
    <t>Alles Induktionskochherde, Zone4 (0=leer / 1=Ja / 2=Nein)</t>
  </si>
  <si>
    <t>Feste Wohnungsbeleuchtung LED A++, Zone1 (0=leer / 1=Ja / 2=Nein)</t>
  </si>
  <si>
    <t>Feste Wohnungsbeleuchtung LED A++, Zone2 (0=leer / 1=Ja / 2=Nein)</t>
  </si>
  <si>
    <t>Feste Wohnungsbeleuchtung LED A++, Zone3 (0=leer / 1=Ja / 2=Nein)</t>
  </si>
  <si>
    <t>Feste Wohnungsbeleuchtung LED A++, Zone4 (0=leer / 1=Ja / 2=Nein)</t>
  </si>
  <si>
    <t>Allg. Beleuchtung LED A++ &amp; Regelung, Zone1 (0=leer / 1=Ja / 2=Nein)</t>
  </si>
  <si>
    <t>Allg. Beleuchtung LED A++ &amp; Regelung, Zone2 (0=leer / 1=Ja / 2=Nein)</t>
  </si>
  <si>
    <t>Allg. Beleuchtung LED A++ &amp; Regelung, Zone3 (0=leer / 1=Ja / 2=Nein)</t>
  </si>
  <si>
    <t>Allg. Beleuchtung LED A++ &amp; Regelung, Zone4 (0=leer / 1=Ja / 2=Nein)</t>
  </si>
  <si>
    <t>Beleuchtung: Umfassende Sanierung?, Zone1 (0=leer / 1=Ja / 2=Nein)</t>
  </si>
  <si>
    <t>Beleuchtung: Umfassende Sanierung?, Zone2 (0=leer / 1=Ja / 2=Nein)</t>
  </si>
  <si>
    <t>Beleuchtung: Umfassende Sanierung?, Zone3 (0=leer / 1=Ja / 2=Nein)</t>
  </si>
  <si>
    <t>Beleuchtung: Umfassende Sanierung?, Zone4 (0=leer / 1=Ja / 2=Nein)</t>
  </si>
  <si>
    <t>Leuchten: Minergie-Modul oder Klasse A+, Zone1 (0=leer / 1=Ja / 2=Nein)</t>
  </si>
  <si>
    <t>Leuchten: Minergie-Modul oder Klasse A+, Zone2 (0=leer / 1=Ja / 2=Nein)</t>
  </si>
  <si>
    <t>Leuchten: Minergie-Modul oder Klasse A+, Zone3 (0=leer / 1=Ja / 2=Nein)</t>
  </si>
  <si>
    <t>Leuchten: Minergie-Modul oder Klasse A+, Zone4  (0=leer / 1=Ja / 2=Nein)</t>
  </si>
  <si>
    <t>Lichtsteuerung Klasse A++, Zone1 (0=leer / 1=Ja / 2=Nein)</t>
  </si>
  <si>
    <t>Lichtsteuerung Klasse A++, Zone2 (0=leer / 1=Ja / 2=Nein)</t>
  </si>
  <si>
    <t>Lichtsteuerung Klasse A++, Zone3 (0=leer / 1=Ja / 2=Nein)</t>
  </si>
  <si>
    <t>Lichtsteuerung Klasse A++, Zone4 (0=leer / 1=Ja / 2=Nein)</t>
  </si>
  <si>
    <t>Anforderung Beleuchtung eingehalten? (0=leer / 1=efüllt / 2=nicht erfüllt)</t>
  </si>
  <si>
    <t>Luftdichtigkeit der Hüllfläche, Neubau (0=leer / 1=Ja / 2=Nein)</t>
  </si>
  <si>
    <t>Luftdichtigkeit der Hüllfläche, Erneuerung (0=leer / 1=Ja / 2=Nein)</t>
  </si>
  <si>
    <t>20% mit erneuerbarer Energie gedeckt?  (Restaurant, Sportbauten, Hallenbäder) (0=leer / 1=Ja / 2=Nein)</t>
  </si>
  <si>
    <t>Einsatz erneuerbarer Energien, Maximal 30% fossile Spitzenlast: Anforderung erfüllt?  (0=leer / 1=efüllt / 2=nicht erfüllt)</t>
  </si>
  <si>
    <t>Einsatz erneuerbarer Energien, Maximal 30% fossile Spitzenlast? (0=leer / 1=Ja / 2=Nein)</t>
  </si>
  <si>
    <t>20% mit erneuerbarer Energie gedeckt?  (Restaurant, Sportbauten, Hallenbäder): Anforderung erfüllt?  (0=leer / 1=efüllt / 2=nicht erfüllt)</t>
  </si>
  <si>
    <t>Fällt Abwärme an? (0=leer / 1=Ja / 2=Nein)</t>
  </si>
  <si>
    <t>Wird die Abwärme genutzt? (0=leer / 1=Ja / 2=Nein)</t>
  </si>
  <si>
    <t>Optimierter Badebetrieb (Reserve) (0=leer / 1=Ja / 2=Nein)</t>
  </si>
  <si>
    <t>Optimierter Badebetrieb (Reserve): Anforderung erfüllt?  (0=leer / 1=efüllt / 2=nicht erfüllt)</t>
  </si>
  <si>
    <t>Grosse Eingriffe in  Gebäudetechnik?  (0=leer / 1=Ja / 2=Nein)</t>
  </si>
  <si>
    <t>Monitoringkonzept  (0=leer / 1=Ja / 2=Nein)</t>
  </si>
  <si>
    <t>Monitoringkonzept: Anforderung erfüllt?  (0=leer / 1=efüllt / 2=nicht erfüllt)</t>
  </si>
  <si>
    <t>Aussenliegender beweglicher Sonnenschutz. Zone4 (0=leer / 1=Rolläden / 2=Rafflamellen / 3=Modul MINERGIE / 4=andere)</t>
  </si>
  <si>
    <t>Aussenliegender beweglicher Sonnenschutz. Zone1 (0=leer / 1=Rolläden / 2=Rafflamellen / 3=Modul MINERGIE / 4=andere)</t>
  </si>
  <si>
    <t>Aussenliegender beweglicher Sonnenschutz. Zone2 (0=leer / 1=Rolläden / 2=Rafflamellen / 3=Modul MINERGIE / 4=andere)</t>
  </si>
  <si>
    <t>Aussenliegender beweglicher Sonnenschutz. Zone3 (0=leer / 1=Rolläden / 2=Rafflamellen / 3=Modul MINERGIE / 4=andere)</t>
  </si>
  <si>
    <t>Wohnen (EFH, MFH), Räume mit 1 Fassade, Betondecke (&gt;80% frei): - Glasanteil &lt;70%, Zone4  (0=leer / 1=Ja / 2=Nein/ 3=n.a.)</t>
  </si>
  <si>
    <t>Wohnen (EFH, MFH), Räume mit 1 Fassade, Betondecke (&gt;80% frei): - Glasanteil &lt;70%, Zone1  (0=leer / 1=Ja / 2=Nein/ 3=n.a.)</t>
  </si>
  <si>
    <t>Wohnen (EFH, MFH), Räume mit 1 Fassade, Betondecke (&gt;80% frei): - Glasanteil &lt;70%, Zone2  (0=leer / 1=Ja / 2=Nein/ 3=n.a.)</t>
  </si>
  <si>
    <t>Wohnen (EFH, MFH), Räume mit 1 Fassade, Betondecke (&gt;80% frei): - Glasanteil &lt;70%, Zone3  (0=leer / 1=Ja / 2=Nein/ 3=n.a.)</t>
  </si>
  <si>
    <t>Wärmeschutz erfüllt, Zone4  (0=leer / 1=Ja / 2=Nein)</t>
  </si>
  <si>
    <t>Wärmeschutz erfüllt, Zone3  (0=leer / 1=Ja / 2=Nein)</t>
  </si>
  <si>
    <t>Wärmeschutz erfüllt, Zone2  (0=leer / 1=Ja / 2=Nein)</t>
  </si>
  <si>
    <t>Wärmeschutz erfüllt, Zone1  (0=leer / 1=Ja / 2=Nein)</t>
  </si>
  <si>
    <t>Die Zone ist gekühlt und OK. Zone4  (0=leer / 1=Ja / 2=Nein)</t>
  </si>
  <si>
    <t>Die Zone ist gekühlt und OK. Zone3  (0=leer / 1=Ja / 2=Nein)</t>
  </si>
  <si>
    <t>Die Zone ist gekühlt und OK. Zone2  (0=leer / 1=Ja / 2=Nein)</t>
  </si>
  <si>
    <t>Die Zone ist gekühlt und OK. Zone1  (0=leer / 1=Ja / 2=Nein)</t>
  </si>
  <si>
    <t>Die Grenzwertkurve SIA 382/1wird ohne Kühlung an weniger als 100 h überschritten. Zone4  (0=leer / 1=Ja / 2=Nein)</t>
  </si>
  <si>
    <t>Die Grenzwertkurve SIA 382/1wird ohne Kühlung an weniger als 100 h überschritten. Zone1  (0=leer / 1=Ja / 2=Nein)</t>
  </si>
  <si>
    <t>Die Grenzwertkurve SIA 382/1wird ohne Kühlung an weniger als 100 h überschritten. Zone2  (0=leer / 1=Ja / 2=Nein)</t>
  </si>
  <si>
    <t>Die Grenzwertkurve SIA 382/1wird ohne Kühlung an weniger als 100 h überschritten. Zone3  (0=leer / 1=Ja / 2=Nein)</t>
  </si>
  <si>
    <t>Sommerlicher Wärmeschutz ohne Kühlung erfüllt.  Zone1  (0=leer / 1=Ja / 2=Nein/ 3=n.a.)</t>
  </si>
  <si>
    <t>Sommerlicher Wärmeschutz ohne Kühlung erfüllt.  Zone2  (0=leer / 1=Ja / 2=Nein/ 3=n.a.)</t>
  </si>
  <si>
    <t>Sommerlicher Wärmeschutz ohne Kühlung erfüllt.  Zone3  (0=leer / 1=Ja / 2=Nein/ 3=n.a.)</t>
  </si>
  <si>
    <t>Sommerlicher Wärmeschutz ohne Kühlung erfüllt.  Zone4  (0=leer / 1=Ja / 2=Nein/ 3=n.a.)</t>
  </si>
  <si>
    <t>Einzelbüro, Gruppenbüro, Sitzungszimmer mit 1 Fassade, Betondecke:- Glasanteil &lt;50% und MSR Sonnenschutzes,  Zone1  (0=leer / 1=Ja / 2=Nein/ 3=n.a.)</t>
  </si>
  <si>
    <t>Einzelbüro, Gruppenbüro, Sitzungszimmer mit 1 Fassade, Betondecke:- Glasanteil &lt;50% und MSR Sonnenschutzes,  Zone2  (0=leer / 1=Ja / 2=Nein/ 3=n.a.)</t>
  </si>
  <si>
    <t>Einzelbüro, Gruppenbüro, Sitzungszimmer mit 1 Fassade, Betondecke:- Glasanteil &lt;50% und MSR Sonnenschutzes,  Zone3  (0=leer / 1=Ja / 2=Nein/ 3=n.a.)</t>
  </si>
  <si>
    <t>Einzelbüro, Gruppenbüro, Sitzungszimmer mit 1 Fassade, Betondecke:- Glasanteil &lt;50% und MSR Sonnenschutzes,  Zone4  (0=leer / 1=Ja / 2=Nein/ 3=n.a.)</t>
  </si>
  <si>
    <t>Einzelbüro, Gruppenbüro, Sitzungszimmer als Eckzimmer, Betondecke: - Glasanteil &lt;35% und MSR Sonnenschutzes, Zone1  (0=leer / 1=Ja / 2=Nein/ 3=n.a.)</t>
  </si>
  <si>
    <t>Einzelbüro, Gruppenbüro, Sitzungszimmer als Eckzimmer, Betondecke: - Glasanteil &lt;35% und MSR Sonnenschutzes, Zone2  (0=leer / 1=Ja / 2=Nein/ 3=n.a.)</t>
  </si>
  <si>
    <t>Einzelbüro, Gruppenbüro, Sitzungszimmer als Eckzimmer, Betondecke: - Glasanteil &lt;35% und MSR Sonnenschutzes, Zone3  (0=leer / 1=Ja / 2=Nein/ 3=n.a.)</t>
  </si>
  <si>
    <t>Einzelbüro, Gruppenbüro, Sitzungszimmer als Eckzimmer, Betondecke: - Glasanteil &lt;35% und MSR Sonnenschutzes, Zone4  (0=leer / 1=Ja / 2=Nein/ 3=n.a.)</t>
  </si>
  <si>
    <t>Wohnen (EFH, MFH), 1 Fassade oder Eckzimmer: - Glasanteil &lt;40%, Zone1  (0=leer / 1=Ja / 2=Nein/ 3=n.a.)</t>
  </si>
  <si>
    <t>Wohnen (EFH, MFH), 1 Fassade oder Eckzimmer: - Glasanteil &lt;40%, Zone2  (0=leer / 1=Ja / 2=Nein/ 3=n.a.)</t>
  </si>
  <si>
    <t>Wohnen (EFH, MFH), 1 Fassade oder Eckzimmer: - Glasanteil &lt;40%, Zone3  (0=leer / 1=Ja / 2=Nein/ 3=n.a.)</t>
  </si>
  <si>
    <t>Wohnen (EFH, MFH), 1 Fassade oder Eckzimmer: - Glasanteil &lt;40%, Zone4  (0=leer / 1=Ja / 2=Nein/ 3=n.a.)</t>
  </si>
  <si>
    <t>Wohnen (EFH, MFH), Räume mit 1 Fassade, Süd-Orientierung und Verschattung durch Balkon von min. 1 m Tiefe. Zone1  (0=leer / 1=Ja / 2=Nein/ 3=n.a.)</t>
  </si>
  <si>
    <t>Wohnen (EFH, MFH), Räume mit 1 Fassade, Süd-Orientierung und Verschattung durch Balkon von min. 1 m Tiefe. Zone2  (0=leer / 1=Ja / 2=Nein/ 3=n.a.)</t>
  </si>
  <si>
    <t>Wohnen (EFH, MFH), Räume mit 1 Fassade, Süd-Orientierung und Verschattung durch Balkon von min. 1 m Tiefe. Zone3  (0=leer / 1=Ja / 2=Nein/ 3=n.a.)</t>
  </si>
  <si>
    <t>Wohnen (EFH, MFH), Räume mit 1 Fassade, Süd-Orientierung und Verschattung durch Balkon von min. 1 m Tiefe. Zone4  (0=leer / 1=Ja / 2=Nein/ 3=n.a.)</t>
  </si>
  <si>
    <t>Wohnen (EFH,MFH), Eckzimmer; Betondecke (&gt;80% frei):- Glasanteil pro Fassade &lt;50%. Zone1  (0=leer / 1=Ja / 2=Nein/ 3=n.a.)</t>
  </si>
  <si>
    <t>Wohnen (EFH,MFH), Eckzimmer; Betondecke (&gt;80% frei):- Glasanteil pro Fassade &lt;50%. Zone2  (0=leer / 1=Ja / 2=Nein/ 3=n.a.)</t>
  </si>
  <si>
    <t>Wohnen (EFH,MFH), Eckzimmer; Betondecke (&gt;80% frei):- Glasanteil pro Fassade &lt;50%. Zone3  (0=leer / 1=Ja / 2=Nein/ 3=n.a.)</t>
  </si>
  <si>
    <t>Wohnen (EFH,MFH), Eckzimmer; Betondecke (&gt;80% frei):- Glasanteil pro Fassade &lt;50%. Zone4  (0=leer / 1=Ja / 2=Nein/ 3=n.a.)</t>
  </si>
  <si>
    <t>MKZ erfüllt?   (0=leer / 1=Ja / 2=Nein)</t>
  </si>
  <si>
    <t>Heizwärmebedarf efüllt?   (0=leer / 1=Ja / 2=Nein)</t>
  </si>
  <si>
    <t>Endenergie ohne PV erfüllt?   (0=leer / 1=Ja / 2=Nein)</t>
  </si>
  <si>
    <t>Beleuchtung erfüllt?   (0=leer / 1=Ja / 2=Nein)</t>
  </si>
  <si>
    <t>Ausführungskontrolle: Gleiche Person   (0=leer / 1=Ja / 2=Nein)</t>
  </si>
  <si>
    <t>THG</t>
  </si>
  <si>
    <t>kg/kWh</t>
  </si>
  <si>
    <t>THG (CO2)</t>
  </si>
  <si>
    <t>Strom:</t>
  </si>
  <si>
    <t>Andere:</t>
  </si>
  <si>
    <t>kg/m2</t>
  </si>
  <si>
    <t>Minergie-Kennzahl in kg CO2/m2</t>
  </si>
  <si>
    <t>Keine Anforderungen</t>
  </si>
  <si>
    <t>F31</t>
  </si>
  <si>
    <t>Wärme A:</t>
  </si>
  <si>
    <t>Wärme B:</t>
  </si>
  <si>
    <t>Wärme C:</t>
  </si>
  <si>
    <t>Wärme D:</t>
  </si>
  <si>
    <t>Strom E:</t>
  </si>
  <si>
    <t>Energie E:</t>
  </si>
  <si>
    <t>Strom MKZ (ohne PV):</t>
  </si>
  <si>
    <t>PV Netz:</t>
  </si>
  <si>
    <t>Strom MKZ (ohne PV Netz, ohne HLK):</t>
  </si>
  <si>
    <t>kg CO2 / m2</t>
  </si>
  <si>
    <t>Rechenwert Qh:</t>
  </si>
  <si>
    <r>
      <t>Q</t>
    </r>
    <r>
      <rPr>
        <vertAlign val="subscript"/>
        <sz val="9"/>
        <rFont val="Arial"/>
        <family val="2"/>
      </rPr>
      <t>h</t>
    </r>
    <r>
      <rPr>
        <sz val="9"/>
        <rFont val="Arial"/>
        <family val="2"/>
      </rPr>
      <t xml:space="preserve"> = </t>
    </r>
  </si>
  <si>
    <t>Erfüllung der Zusatzanforderungen</t>
  </si>
  <si>
    <t xml:space="preserve">kWp </t>
  </si>
  <si>
    <t>Eigenstrom-</t>
  </si>
  <si>
    <t>Produktion</t>
  </si>
  <si>
    <t>(ungewichtet)</t>
  </si>
  <si>
    <t>Eigenstrom (A-D):</t>
  </si>
  <si>
    <t>Eigenstromerzeugung</t>
  </si>
  <si>
    <t>Minimale Grösse der Eigenstromerzeugung:</t>
  </si>
  <si>
    <t>Anzahl Wohneinheiten</t>
  </si>
  <si>
    <t>Maximal:</t>
  </si>
  <si>
    <t>Allgemeinstrom</t>
  </si>
  <si>
    <t>Produktion
(gewichtet)</t>
  </si>
  <si>
    <t>Anforderung Minergie-A: 
Teilkennzahl Beleuchtung, Geräte und allg. Gebäudetechnik ist kleiner als die Eigenproduktion</t>
  </si>
  <si>
    <t>Neu+Alt</t>
  </si>
  <si>
    <t>Stromproduktion deckt Bedarf:</t>
  </si>
  <si>
    <t>Minergie - A</t>
  </si>
  <si>
    <r>
      <t>kWh/m</t>
    </r>
    <r>
      <rPr>
        <vertAlign val="superscript"/>
        <sz val="9"/>
        <rFont val="Arial"/>
        <family val="2"/>
      </rPr>
      <t xml:space="preserve">2 </t>
    </r>
  </si>
  <si>
    <t>Si la description est exacte, la condition "taux de surface vitrée" n'est pas significative. Si l'une des caractéristiques ne correspond pas, "n.a." doit être sélectionné.</t>
  </si>
  <si>
    <t>Aperçu</t>
  </si>
  <si>
    <t>Eté</t>
  </si>
  <si>
    <t>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t>
  </si>
  <si>
    <t>Variante 1: Evaluation globale de cas standards pour les affectations suivantes: habitation, bureau individuel ou paysager, salle de réunion et dépôt (sans refroidissement)</t>
  </si>
  <si>
    <t>L'évaluation globale est valable pour les zones dans lesquelles les conditions suivantes sont respectées pour tous les locaux:</t>
  </si>
  <si>
    <t>- rafraîchissement nocturne possible grâce aux fenêtres;</t>
  </si>
  <si>
    <t>- charges thermiques internes pas plus élevées que la valeur standard figurant dans le cahier technique SIA 2024.</t>
  </si>
  <si>
    <t>Les locaux de cette zone satisfont-ils les critères?</t>
  </si>
  <si>
    <t>Protection solaire extérieure mobile. A déclarer ici sous "autres":</t>
  </si>
  <si>
    <t>Valeur g et désignation du produit</t>
  </si>
  <si>
    <t>Dépôt avec faibles charges thermiques internes</t>
  </si>
  <si>
    <t>Si S14 s'avère exact, "n.a." doit être sélectionné dans S11.</t>
  </si>
  <si>
    <t>Variante 2: justification externe des critères selon SIA 382/1 (sans refroidissement)</t>
  </si>
  <si>
    <t>Les conditions propres au respect de ces critères sont décrites et documentées en annexe.</t>
  </si>
  <si>
    <t>SIA 382/1 chiffre</t>
  </si>
  <si>
    <t>Les exigences concernant la protection thermique estivale sont remplies conformément au formulaire supplémentaire correspondant.</t>
  </si>
  <si>
    <t>Remarques concernant la justification externe (manière, annexes, par ex. critères de choix selon Aide à l'utilisation):</t>
  </si>
  <si>
    <t>Variante 3: justification externe des critères selon SIA 382/1 (avec refroidissement)</t>
  </si>
  <si>
    <t>Les températures de l'air intérieur en été sont calculées selon SIA 382/1 chiffre 4.4.4. Sans refroidissement, la courbe limite est dépassée en moins de 100 h.</t>
  </si>
  <si>
    <t>Selon cette déclaration, les exigences pour la protection thermique estivale sont remplies.</t>
  </si>
  <si>
    <t>Volets roulants</t>
  </si>
  <si>
    <t>Stores à lamelles</t>
  </si>
  <si>
    <t>Autres</t>
  </si>
  <si>
    <t>La zone est refroidie et les besoins en énergie sont calculés. 
Il n'y a aucune température trop élevée en été.</t>
  </si>
  <si>
    <t>Nom du projet:</t>
  </si>
  <si>
    <t>Facteur d'enveloppe</t>
  </si>
  <si>
    <t xml:space="preserve">N° MOP: </t>
  </si>
  <si>
    <t>Adresse du bâtiment:</t>
  </si>
  <si>
    <t>Valeur limite pour les besoins en énergie finale sans photovoltaïque</t>
  </si>
  <si>
    <t>Valeur limite pour l'indice Minergie MKZ</t>
  </si>
  <si>
    <t xml:space="preserve"> - Réduction pour la robinetterie</t>
  </si>
  <si>
    <t xml:space="preserve"> - Réduction pour le maintien de la chaleur</t>
  </si>
  <si>
    <t>Electricité</t>
  </si>
  <si>
    <t xml:space="preserve">Données concernant l'utilisation du logement: </t>
  </si>
  <si>
    <t>Ascenseur / élévateur disponible sur place?</t>
  </si>
  <si>
    <t>Tous les lave-vaisselle sont de classe A+++</t>
  </si>
  <si>
    <t>Tous les réfrigérateurs et congélateurs sont de classe A+++</t>
  </si>
  <si>
    <t>Tous les lave-linge sont de classe A+++</t>
  </si>
  <si>
    <t>Tous les sèche-linge sont de classe A+++</t>
  </si>
  <si>
    <t>Toutes les cuisinières sont à induction</t>
  </si>
  <si>
    <t>Eclairage résidentiel fixe LED A++</t>
  </si>
  <si>
    <t>Eclairage général LED A++ &amp; régulation</t>
  </si>
  <si>
    <t>Autres utilisations: données concernant l'éclairage</t>
  </si>
  <si>
    <t>Données supplémentaires pour le</t>
  </si>
  <si>
    <t>Luminaires: module Minergie ou classe A+</t>
  </si>
  <si>
    <t>Commande d'éclairage de classe A++</t>
  </si>
  <si>
    <t>Rendement annuel [kWh/m2]</t>
  </si>
  <si>
    <t>Besoins personnels [%]</t>
  </si>
  <si>
    <t>Rendement annuel net [kWh/kWp] (joindre le calcul)</t>
  </si>
  <si>
    <t>Autres exigences</t>
  </si>
  <si>
    <t>Autodéclaration/attestation</t>
  </si>
  <si>
    <t>Exigence</t>
  </si>
  <si>
    <t>Valeur objet</t>
  </si>
  <si>
    <t>Etanchéité de la surface de l'enveloppe, rénovation</t>
  </si>
  <si>
    <t>Rejets thermiques issus de froid industriel</t>
  </si>
  <si>
    <t>Rejets thermiques</t>
  </si>
  <si>
    <t>Utilisation des rejets thermiques</t>
  </si>
  <si>
    <t>Exploitation optimisée piscine couverte</t>
  </si>
  <si>
    <t>Recours aux énergies renouvelables</t>
  </si>
  <si>
    <t>Production de rejets thermiques?</t>
  </si>
  <si>
    <t>Recours à 20% d'énergies renouvelables?</t>
  </si>
  <si>
    <t>Etanchéité qa,50 &lt; 1,2 m3/(h*m2)</t>
  </si>
  <si>
    <t>Etanchéité qa,50 &lt; 0,8 m3/(h*m2)</t>
  </si>
  <si>
    <t>Les rejets thermiques sont-ils utilisés?</t>
  </si>
  <si>
    <t>RC avec PAC sur ventilation, RC des eaux de piscine</t>
  </si>
  <si>
    <t>Etanchéité qa,50 &lt; 1,6 m3/(h*m2)</t>
  </si>
  <si>
    <t>Pics de charge couverts avec max. 30% d'énergies fossiles?</t>
  </si>
  <si>
    <t>Eclairage: valeur du projet SIA 380/4</t>
  </si>
  <si>
    <t>Eclairage: valeur cible SIA 380/4</t>
  </si>
  <si>
    <t>Exigence éclairage respectée?</t>
  </si>
  <si>
    <t xml:space="preserve"> - Longueur des bandes de chauffage</t>
  </si>
  <si>
    <t>Eclairage: rénovation complète?</t>
  </si>
  <si>
    <t>Puissance installée spécifique, par m2 SRE:</t>
  </si>
  <si>
    <t>Interventions importantes sur installations techniques?</t>
  </si>
  <si>
    <t>Concept de monitoring</t>
  </si>
  <si>
    <t>Concept de monitoring annexé?</t>
  </si>
  <si>
    <t>Projet</t>
  </si>
  <si>
    <t>Instructions</t>
  </si>
  <si>
    <t>Champ de saisie (obligatoire)</t>
  </si>
  <si>
    <t>Champ de saisie (facultatif)</t>
  </si>
  <si>
    <t>Liste déroulante (obligatoire)</t>
  </si>
  <si>
    <t>Satisfaction de l'exigence principale</t>
  </si>
  <si>
    <t>Satisfaction des exigences de base</t>
  </si>
  <si>
    <t>Indice Minergie en kWh/m2</t>
  </si>
  <si>
    <t>Indice Minergie en CO2/m2</t>
  </si>
  <si>
    <t>Visualisation de l'indice Minergie</t>
  </si>
  <si>
    <t>Eclairage</t>
  </si>
  <si>
    <t>Appareils</t>
  </si>
  <si>
    <t>Besoins d'énergie finale</t>
  </si>
  <si>
    <t>Besoins</t>
  </si>
  <si>
    <t>Potentiel d'optimisation</t>
  </si>
  <si>
    <t>Max. besoins autorisés</t>
  </si>
  <si>
    <t>Valable pour les catégories "Restaurants", "Installations sportives" et "Piscines couvertes":
fournir 20% d'énergie à partir de sources renouvelables.</t>
  </si>
  <si>
    <t>Valable pour la catégorie "Piscine couverte".</t>
  </si>
  <si>
    <t>Indice partiel
Besoins</t>
  </si>
  <si>
    <t>Production PV
(pondérée)</t>
  </si>
  <si>
    <t>Exigence PV (pondérée)</t>
  </si>
  <si>
    <t>Production PV (pondérée)</t>
  </si>
  <si>
    <t>MINERGIE-A: les besoins MKZ (sans PV) sont-ils couverts par le photovoltaïque?</t>
  </si>
  <si>
    <t>Visione d'insieme</t>
  </si>
  <si>
    <t>Estate</t>
  </si>
  <si>
    <t>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t>
  </si>
  <si>
    <t>Variante 1: valutazione complessiva di casi standard per le categorie d'edificio abitazioni, amministrazioni (uffici singoli e non), sale riunioni e depositi (senza raffreddamento).</t>
  </si>
  <si>
    <t>La valutazione globale si applica alle zone in cui tutti i locali rispettano le seguenti condizioni:</t>
  </si>
  <si>
    <t>- è possibile eseguire il raffreddamento notturno tramite finestre;</t>
  </si>
  <si>
    <t>- carichi interni non superiori ai valori standard secondo quaderno tecnico SIA 2024</t>
  </si>
  <si>
    <t>Nella zona, i locali soddisfano i seguenti criteri?</t>
  </si>
  <si>
    <t>Schermatura solare esterna mobile. Se "altro" precisare qui:</t>
  </si>
  <si>
    <t>Valore g e descrizione del prodotto</t>
  </si>
  <si>
    <t>Magazzino con bassi carichi di calore interni</t>
  </si>
  <si>
    <t>Se S14 è vero, in S11 bisogna inserire n.a.</t>
  </si>
  <si>
    <t>Variante 2: verifica esterna dei criteri secondo SIA 382/1 (senza raffreddamento)</t>
  </si>
  <si>
    <t>Il rispetto di questi criteri è descritto e documentato negli allegati</t>
  </si>
  <si>
    <t>SIA 382/1 cfr.</t>
  </si>
  <si>
    <t>I requisiti per la protezione termica estiva sono soddisfatti tramite il formulario supplementare.</t>
  </si>
  <si>
    <t>Osservazioni sulla verifica esterna (tipo, allegati, p.es. criteri di scelta secondo la guida all'uso):</t>
  </si>
  <si>
    <t>Variante 3: calcolo tramite Tool SIA TEC 382/1 (con raffreddamento)</t>
  </si>
  <si>
    <t>Se S14 è vero, in S11 bisogna inserire n.a</t>
  </si>
  <si>
    <t>Le temperature estive dell'aria interna sono calcolate tramite SIA 382/1, cifra 4.4.4. La curva dei valori limite non viene oltrepassata per più di 100 h senza raffreddamento.</t>
  </si>
  <si>
    <t>La zona è climatizzata e il fabbisogno energetico è stato calcolato. Nei locali non si riscontrano temperature estive elevate.</t>
  </si>
  <si>
    <t>Secondo quanto dichiarato, i requisiti per la protezione termica estiva sono soddisfatte.</t>
  </si>
  <si>
    <t>Lamelle</t>
  </si>
  <si>
    <t>Modulo Minergie</t>
  </si>
  <si>
    <t>Nome del progetto:</t>
  </si>
  <si>
    <t>Rapporto di forma</t>
  </si>
  <si>
    <t>Indirizzo dell'edificio</t>
  </si>
  <si>
    <t>Valore limite fabbisogno finale d'energia senza PV</t>
  </si>
  <si>
    <t>Valore limite indice Minergie</t>
  </si>
  <si>
    <t>Informazioni sull'utilizzo dell'abitazione</t>
  </si>
  <si>
    <t>Impianti di elevazione / lift presenti</t>
  </si>
  <si>
    <t>- riduttori di flusso per rubinetteria</t>
  </si>
  <si>
    <t>- riduttori per mantenimento del calore</t>
  </si>
  <si>
    <t>Tutte le lavastoviglie classe A+++</t>
  </si>
  <si>
    <t>Tutti i congelatori classe A+++</t>
  </si>
  <si>
    <t>Tutti le macchine da lavare classe A+++</t>
  </si>
  <si>
    <t>Tutti le asciugatrici classe A+++</t>
  </si>
  <si>
    <t>Tutti i piani di cottura ad induzione</t>
  </si>
  <si>
    <t>Illuminazione fissa con LED A++</t>
  </si>
  <si>
    <t>Illuminazione generale LED A++ e regolazione</t>
  </si>
  <si>
    <t>Altri utilizzi: dati sull'illuminazione</t>
  </si>
  <si>
    <t>Dati supplementari per</t>
  </si>
  <si>
    <t>Verifica Minergie</t>
  </si>
  <si>
    <t>Impianto fotovoltaico</t>
  </si>
  <si>
    <t>Produzione annuale [kWh/m2]</t>
  </si>
  <si>
    <t>Autoconsumo [%]</t>
  </si>
  <si>
    <t>Produzione annuale netta [kWh/m2] (allegare calcolo)</t>
  </si>
  <si>
    <t>Altri requisiti</t>
  </si>
  <si>
    <t>Autodichiarazione/conferma</t>
  </si>
  <si>
    <t>Requisito</t>
  </si>
  <si>
    <t>Valore oggetto</t>
  </si>
  <si>
    <t>Ermeticità involucro, risanamento</t>
  </si>
  <si>
    <t>Acqua calda sanitaria</t>
  </si>
  <si>
    <t>Calore residuo industriale</t>
  </si>
  <si>
    <t>Calore residuo</t>
  </si>
  <si>
    <t>Utilizzo del calore residuo</t>
  </si>
  <si>
    <t>Ottimizzazione d'esercizio per piscine coperte</t>
  </si>
  <si>
    <t>Utilizzo energie rinnovabili</t>
  </si>
  <si>
    <t>In presenza di calore residuo?</t>
  </si>
  <si>
    <t>20% coperto con energie rinnovabili?</t>
  </si>
  <si>
    <t>Ermeticità involucro qa,50 &lt; 1.2 m3/(h*m2)</t>
  </si>
  <si>
    <t>Ermeticità involucro qa,50 &lt; 0.8 m3/(h*m2)</t>
  </si>
  <si>
    <t>Il calore residuo è utilizzato?</t>
  </si>
  <si>
    <t>Recupero di calore con PdC sulla ventilazione, recupero di calore dall'acqua della vasca</t>
  </si>
  <si>
    <t>Ermeticità involucro qa,50 &lt; 1.6 m3/(h*m2)</t>
  </si>
  <si>
    <t>Carico di picco con fonti fossili, massimo 30%?</t>
  </si>
  <si>
    <t>Illuminazione: valori di progetto SIA 380/4</t>
  </si>
  <si>
    <t>Illuminazione: valori mirati SIA 380/4</t>
  </si>
  <si>
    <t>I requisiti sull'illuminazione sono rispettati?</t>
  </si>
  <si>
    <t>Illuminazione: risanamento completo?</t>
  </si>
  <si>
    <t>Potenza specifica installata per m2 AE</t>
  </si>
  <si>
    <t>Interventi importanti sull'impiantistica?</t>
  </si>
  <si>
    <t>Concetto di monitoraggio</t>
  </si>
  <si>
    <t>Il concetto di monitoraggio è stato allegato?</t>
  </si>
  <si>
    <t>Progetto</t>
  </si>
  <si>
    <t>Istruzioni</t>
  </si>
  <si>
    <t>La seguente codifica cromatica è da ricordare durante la compilazione del formulario di verifica.</t>
  </si>
  <si>
    <t>Immissione dati (obbligatori)</t>
  </si>
  <si>
    <t>Immissione dati (facoltativi)</t>
  </si>
  <si>
    <t>Campo di selezione(facoltativo)</t>
  </si>
  <si>
    <t>Rispetto del requisito principale</t>
  </si>
  <si>
    <t>Rispetto dei requisiti supplementari</t>
  </si>
  <si>
    <t>Indice Minergie in kWh/m2</t>
  </si>
  <si>
    <t>Indice Minergie in CO2/m2</t>
  </si>
  <si>
    <t>Fabbisogno per il riscaldamento in kWh/m2</t>
  </si>
  <si>
    <t>Energia finale senza PV in kWh/m2</t>
  </si>
  <si>
    <t>- lunghezza cavo riscaldante</t>
  </si>
  <si>
    <t>Valore limite Minergieper l'illuminazione in kWh/m2</t>
  </si>
  <si>
    <t>Visualizzazione Indice Minergie</t>
  </si>
  <si>
    <t>Riscaldamento</t>
  </si>
  <si>
    <t>Illuminazione</t>
  </si>
  <si>
    <t>Apparecchi</t>
  </si>
  <si>
    <t>Impiantistica dell'edificio</t>
  </si>
  <si>
    <t>Fabbisogno d'energia finale</t>
  </si>
  <si>
    <t>Indice Minergie</t>
  </si>
  <si>
    <t>Autoconsumo PV</t>
  </si>
  <si>
    <t>Quota di PV immessa in rete</t>
  </si>
  <si>
    <t>Fabbisogno</t>
  </si>
  <si>
    <t>Potenziale d'ottimizzazione</t>
  </si>
  <si>
    <t>Valore limite Minergie</t>
  </si>
  <si>
    <t>Fabbisogno massimo permesso</t>
  </si>
  <si>
    <t>Vale per la categoria "Piscine coperte"</t>
  </si>
  <si>
    <t>Requisito PV (ponderato)</t>
  </si>
  <si>
    <t>Produzione PV (ponderata)</t>
  </si>
  <si>
    <t>Vale per le categorie "ristoranti", "impianti sportivi" e "piscine coperte":
20% fornito con energie rinnovabili</t>
  </si>
  <si>
    <t>Indice parziale
fabbisogno</t>
  </si>
  <si>
    <t>Produzione PV
(ponderata)</t>
  </si>
  <si>
    <t>Habitation (individuelle ou collective), pièce avec 1 façade et plafond en béton apparent à &gt;80%: - taux de surface vitrée &lt;70%</t>
  </si>
  <si>
    <t>Habitation (individuelle ou collective), pièce d'angle avec plafond en béton apparent à &gt;80%: - taux de surface vitrée de chaque façade &lt;50%</t>
  </si>
  <si>
    <t>Habitation (individuelle ou collective), pièce avec 1 façade, plafond en béton apparent à &gt;80% ou chape ciment (min. 6 cm d'épaisseur) ou anhydrite (min. 5 cm d'épaisseur); orientation sud et ombrage par un balcon (min. 1 m de profondeur):  - taux de surface vitrée &lt;100%</t>
  </si>
  <si>
    <t>Bureau individuel ou paysager, salle de réunion avec 1 façade et plafond en béton apparent à &gt;80%: - taux de surface vitrée &lt;50% et commande automatique des protections solaires</t>
  </si>
  <si>
    <t>Bureau individuel ou paysager, salle de réunion avec 2 façades (pièce d'angle) et plafond en béton apparent à &gt;80%: - taux de surface vitrée &lt;35% et commande automatique des protections solaires</t>
  </si>
  <si>
    <t>"n.a.":    non applicable. Un tel type de local n'existe pas.
"oui":     il y a un local de ce type et tous les critères sont remplis.
"non":    il y a un local de ce type mais tous les critères ne sont pas remplis (p.ex. taux de surface vitrée trop élevé).</t>
  </si>
  <si>
    <t>Abitazioni (mono- e plurifamiliari), locale con 1 facciata, soletta in calcestruzzo (libera &gt;80%): - percentuale di vetro &lt;70%</t>
  </si>
  <si>
    <t>Abitazioni (mono - e plurifamiliari), locale ad angolo, soletta in calcestruzzo (libera &gt;80%): - percentuale di vetro per facciata &lt;50%</t>
  </si>
  <si>
    <t>"n.a.": non applicabile. Un locale di questo tipo non esiste
"si":    un locale di questo tipo esiste e tutti i criteri sono soddisfatti
"no":   un locale di questo tipo esiste, ma i criteri non sono soddisfatti (p.es. percentuale di vetro troppo elevata)</t>
  </si>
  <si>
    <t>Pondera-
zione</t>
  </si>
  <si>
    <t>Total /
Moyenne</t>
  </si>
  <si>
    <t>Effiziente Geräte Allgemeinstrom, Zone1</t>
  </si>
  <si>
    <t>Effiziente Geräte Allgemeinstrom, Zone1  (0=leer / 1=Ja / 2=Nein)</t>
  </si>
  <si>
    <t>Effiziente Geräte Allgemeinstrom, Zone2</t>
  </si>
  <si>
    <t>Effiziente Geräte Allgemeinstrom, Zone2  (0=leer / 1=Ja / 2=Nein)</t>
  </si>
  <si>
    <t>Effiziente Geräte Allgemeinstrom, Zone3</t>
  </si>
  <si>
    <t>Effiziente Geräte Allgemeinstrom, Zone3  (0=leer / 1=Ja / 2=Nein)</t>
  </si>
  <si>
    <t>Effiziente Geräte Allgemeinstrom, Zone4</t>
  </si>
  <si>
    <t>Effiziente Geräte Allgemeinstrom, Zone4  (0=leer / 1=Ja / 2=Nein)</t>
  </si>
  <si>
    <t>EBF inkl. Nutzung Hallenbad</t>
  </si>
  <si>
    <t>Minimale Grösse der der Eigenstromerzeugung [kWp]</t>
  </si>
  <si>
    <t>spezifische, installierte Leistung ohne WKK pro m2 EBF:</t>
  </si>
  <si>
    <t>Nennleistung Eigenstromerzeugung (ohne WKK) [kWp]</t>
  </si>
  <si>
    <t>Anforderung Eigenstromerzeugung erfüllt?</t>
  </si>
  <si>
    <t>Anforderung Eigenstromerzeugung erfüllt? (0=leer / 1=Ja / 2=Nein)</t>
  </si>
  <si>
    <t>Sommerlicher Wärmeschutz erfüllt?</t>
  </si>
  <si>
    <t>Sommerlicher Wärmeschutz erfüllt?  (0=leer / 1=Ja / 2=Nein)</t>
  </si>
  <si>
    <t>Blatt "Standardwerte", U39:AC43, Werte angepasst</t>
  </si>
  <si>
    <t>Luftwechsel bei Kleinanlagen mit Standardwerten teilweise zu hoch.</t>
  </si>
  <si>
    <t>Blatt "Nachweis", F10,F14,F18,F22 angepasst</t>
  </si>
  <si>
    <t>Neu Darstellung des thermischen Solareertrages kWh/m2 (Rechenwert)</t>
  </si>
  <si>
    <r>
      <t>kWh/m</t>
    </r>
    <r>
      <rPr>
        <b/>
        <i/>
        <vertAlign val="superscript"/>
        <sz val="9"/>
        <rFont val="Arial"/>
        <family val="2"/>
      </rPr>
      <t>2</t>
    </r>
  </si>
  <si>
    <t>MKZ,HLK, kWh/m2</t>
  </si>
  <si>
    <t>MKZ,ww,  kWh/m2</t>
  </si>
  <si>
    <t>MKZ,El,Wohnen  kWh/m2</t>
  </si>
  <si>
    <t>MKZ,Bel  kWh/m2</t>
  </si>
  <si>
    <t>MKZ,Geräte  kWh/m2</t>
  </si>
  <si>
    <t>MKZ,AGT  kWh/m2</t>
  </si>
  <si>
    <t>E,EB  kWh/m2</t>
  </si>
  <si>
    <t>E,Netz  kWh</t>
  </si>
  <si>
    <t>elektrischer Jahresbedarf Lüftung  kWh/m2</t>
  </si>
  <si>
    <t>elektrischer Jahresbedarf Klimatisierung  kWh/m2</t>
  </si>
  <si>
    <t>gewichteter Strombedarf in kWh/m2 (mit Faktor 2 multiplizierter Strombedarf)</t>
  </si>
  <si>
    <t>Blatt "MINERGIE", O57-R57, O59-R59, O63-R63, Gewichtungsfaktor 2 in Formel entfernt</t>
  </si>
  <si>
    <t>Gemäss MINERGIE-Reglement sind Werte in Tabelle 3, 4, 5 schon gewichtet</t>
  </si>
  <si>
    <t>Blatt "Standardwerte" AD72-AD83 gemäss neuem Reglementsentwurf angepasst</t>
  </si>
  <si>
    <t>Tabelle 3 (Strom Beleuchtung) in MINERGIE-Reglement mit neuen Werten</t>
  </si>
  <si>
    <t>gewichtete Endenergie Strom Wärmeerzeugung A</t>
  </si>
  <si>
    <t>gewichtete Endenergie Strom Wärmeerzeugung B</t>
  </si>
  <si>
    <t>gewichtete Endenergie Strom Wärmeerzeugung C</t>
  </si>
  <si>
    <t>gewichtete Endenergie Strom Wärmeerzeugung D</t>
  </si>
  <si>
    <t>gewichtete Endenergie Strom Wärmeerzeugung E</t>
  </si>
  <si>
    <t>gewichtete Endenergie andere (ohne Strom) Wärmeerzeugung A</t>
  </si>
  <si>
    <t>gewichtete Endenergie andere (ohne Strom) Wärmeerzeugung E</t>
  </si>
  <si>
    <t>gewichtete Endenergie andere (ohne Strom) Wärmeerzeugung D</t>
  </si>
  <si>
    <t>gewichtete Endenergie andere (ohne Strom) Wärmeerzeugung C</t>
  </si>
  <si>
    <t>gewichtete Endenergie andere (ohne Strom) Wärmeerzeugung B</t>
  </si>
  <si>
    <t>gewichtete Endenergie Strom Lüftung</t>
  </si>
  <si>
    <t>gewichtete Endenergie Strom Klima + Hilfsbetriebe</t>
  </si>
  <si>
    <t>Blatt "Standardwerte", J10-K21, Werte gemäss MUKEN 2014 eingefügt.</t>
  </si>
  <si>
    <t>Grenzwerte Qh,li Muken 2014 unterscheiden sich von SIA 380/1:2009. Neu gilt MUKEN.</t>
  </si>
  <si>
    <t>Blatt "MINERGIE",  S54, Formel für kleine Zweckbauten angepasst</t>
  </si>
  <si>
    <t>Bei kleinen Zweck-Neubauten fehlte Standard-Wert Beleuchtung. Korrigiert.</t>
  </si>
  <si>
    <t>Luftdichtheit der Hüllfläche, Erneuerung</t>
  </si>
  <si>
    <t>Luftdichtheit qa,50 &lt; 1.2 m3/(h*m2)</t>
  </si>
  <si>
    <t>Luftdichtheit qa,50 &lt; 0.8 m3/(h*m2)</t>
  </si>
  <si>
    <t>Luftdichtheit qa,50 &lt; 1.6 m3/(h*m2)</t>
  </si>
  <si>
    <t>Nessuna esigenza</t>
  </si>
  <si>
    <t>Produzione propria di elettricità</t>
  </si>
  <si>
    <t>Requisito Minergie A:
l’indice parziale illuminazione, apparecchi e impiantistica in genere è inferiore alla produzione propria</t>
  </si>
  <si>
    <t>Dimensione minima della produzione propria di elettricità:</t>
  </si>
  <si>
    <t>Numero unità abitative</t>
  </si>
  <si>
    <t>Apparecchi efficienti corrente comune</t>
  </si>
  <si>
    <t>Potenza nominale (senza cogenerazione) [kWp]</t>
  </si>
  <si>
    <t>Appareils efficaces Electricité générale</t>
  </si>
  <si>
    <t>Nombre d’unités d’habitation</t>
  </si>
  <si>
    <t>Exigence Minergie-A: 
l'indice partiel éclairage, appareils et installations techniques générales est inférieur à l'autoproduction</t>
  </si>
  <si>
    <t>Taille minimale de l'installation d’autoproduction d’électricité:</t>
  </si>
  <si>
    <t>Les besoins sont couverts par la production d’électricité:</t>
  </si>
  <si>
    <t>La produzione di elettricità copre il fabbisogno:</t>
  </si>
  <si>
    <t>Pas d’exigence</t>
  </si>
  <si>
    <t>Autoproduction d‘électricité</t>
  </si>
  <si>
    <t>EBF,neu</t>
  </si>
  <si>
    <t>erneuerbar</t>
  </si>
  <si>
    <t>%</t>
  </si>
  <si>
    <t>Deck. Heiz</t>
  </si>
  <si>
    <t>Deck. ww</t>
  </si>
  <si>
    <t>qh</t>
  </si>
  <si>
    <t>qww</t>
  </si>
  <si>
    <t>qh+qww</t>
  </si>
  <si>
    <t>Wärme E:</t>
  </si>
  <si>
    <t>nicht</t>
  </si>
  <si>
    <t>Blatt "MINERGIE",  V25-Y25, Formel angepasst, neu  Qh nur noch berücksichtigt, falls Grenzwert vorhanden</t>
  </si>
  <si>
    <t>Bei Primäranforderungen war das Qh auch der MINERGIE-Altbauten enthalten. Korriegiert.</t>
  </si>
  <si>
    <t>Zulässiger Höchstanteil nicht erneuerbarer Energie (nur Neubauten)</t>
  </si>
  <si>
    <r>
      <t>Q</t>
    </r>
    <r>
      <rPr>
        <vertAlign val="subscript"/>
        <sz val="9"/>
        <rFont val="Arial"/>
        <family val="2"/>
      </rPr>
      <t>h,li nicht ern.</t>
    </r>
    <r>
      <rPr>
        <sz val="9"/>
        <rFont val="Arial"/>
        <family val="2"/>
      </rPr>
      <t xml:space="preserve"> = </t>
    </r>
  </si>
  <si>
    <r>
      <t>Q</t>
    </r>
    <r>
      <rPr>
        <vertAlign val="subscript"/>
        <sz val="9"/>
        <rFont val="Arial"/>
        <family val="2"/>
      </rPr>
      <t xml:space="preserve">ww, Neubau </t>
    </r>
    <r>
      <rPr>
        <sz val="9"/>
        <rFont val="Arial"/>
        <family val="2"/>
      </rPr>
      <t xml:space="preserve">= </t>
    </r>
  </si>
  <si>
    <t>Anteil WW</t>
  </si>
  <si>
    <t>Anteil Heiz</t>
  </si>
  <si>
    <r>
      <t>Q</t>
    </r>
    <r>
      <rPr>
        <vertAlign val="subscript"/>
        <sz val="9"/>
        <rFont val="Arial"/>
        <family val="2"/>
      </rPr>
      <t xml:space="preserve">ww,li, Neubau </t>
    </r>
    <r>
      <rPr>
        <sz val="9"/>
        <rFont val="Arial"/>
        <family val="2"/>
      </rPr>
      <t xml:space="preserve">= </t>
    </r>
  </si>
  <si>
    <r>
      <t>Q</t>
    </r>
    <r>
      <rPr>
        <vertAlign val="subscript"/>
        <sz val="9"/>
        <rFont val="Arial"/>
        <family val="2"/>
      </rPr>
      <t xml:space="preserve">h+ww,li, Neubau </t>
    </r>
    <r>
      <rPr>
        <sz val="9"/>
        <rFont val="Arial"/>
        <family val="2"/>
      </rPr>
      <t xml:space="preserve">= </t>
    </r>
  </si>
  <si>
    <t>Max. 30%</t>
  </si>
  <si>
    <t>Rechenwert nicht erneuerbarer Energie (nur Neubauten)</t>
  </si>
  <si>
    <r>
      <t>Q</t>
    </r>
    <r>
      <rPr>
        <vertAlign val="subscript"/>
        <sz val="9"/>
        <rFont val="Arial"/>
        <family val="2"/>
      </rPr>
      <t xml:space="preserve">ww, nicht erneuer </t>
    </r>
    <r>
      <rPr>
        <sz val="9"/>
        <rFont val="Arial"/>
        <family val="2"/>
      </rPr>
      <t xml:space="preserve">= </t>
    </r>
  </si>
  <si>
    <r>
      <t>Q</t>
    </r>
    <r>
      <rPr>
        <vertAlign val="subscript"/>
        <sz val="9"/>
        <rFont val="Arial"/>
        <family val="2"/>
      </rPr>
      <t xml:space="preserve">h+ww, nicht ern. </t>
    </r>
    <r>
      <rPr>
        <sz val="9"/>
        <rFont val="Arial"/>
        <family val="2"/>
      </rPr>
      <t xml:space="preserve">= </t>
    </r>
  </si>
  <si>
    <t>Blatt "Uebersicht",  Stromproduktion deckt Bedarf (MINERGIE-A), neu auf Zeile 43</t>
  </si>
  <si>
    <t>Einfügen Nachweis Höchstanteil an nich erneuerbarer Energie</t>
  </si>
  <si>
    <t>Blatt "Standardwerte", AS106-AS153,  erneuerbarer Anteil eingefügt</t>
  </si>
  <si>
    <t>Grundlage für Berechnung Höchstanteil an nich erneuerbarer Energie</t>
  </si>
  <si>
    <t>Blatt "Nachweis", AI2-AK45, Berechnung Anteil nicht erneuerbarer Energie eingefügt</t>
  </si>
  <si>
    <t>Blatt "Uebersicht",  B42-K42, Höchstanteil nicht erneuerbarer Energie eingefügt</t>
  </si>
  <si>
    <t>Blatt "MINERGIE", B76-K77, Zwischenformel für die Eingabe des freiwilligen Beleuchtungsnachweises</t>
  </si>
  <si>
    <t>Grundlage für die Berechnung des freiwilligen Beleuchtungsnachweises bei Zweckbauten</t>
  </si>
  <si>
    <t>Blatt "MINERGIE", U43-AA46, Zwischenformel für die Eingabe des freiwilligen Beleuchtungsnachweises</t>
  </si>
  <si>
    <t>Blatt "MINERGIE", K48, K49, O57-R57, S50, V49-Y54: Formeln angepasst</t>
  </si>
  <si>
    <t>Berechnung des freiwilligen Beleuchtungsnachweises bei Zweckbauten ergänzt</t>
  </si>
  <si>
    <t>Anforderung Höchstanteil nicht erneuerbarer Energie</t>
  </si>
  <si>
    <t>Rechenwert Höchstanteil nicht erneuerbarer Energie</t>
  </si>
  <si>
    <t xml:space="preserve">Anforderung Höchstanteil nicht erneuerbarer Energie erfüllt? </t>
  </si>
  <si>
    <t>Anforderung Höchstanteil nicht erneuerbarer Energie erfüllt?   (0=leer / 1=Ja / 2=Nein)</t>
  </si>
  <si>
    <t>Stromproduktion deckt Bedarf (MINERGIE-A): Anforderungswert</t>
  </si>
  <si>
    <t>Stromproduktion deckt Bedarf (MINERGIE-A): Rechenwert</t>
  </si>
  <si>
    <t>Stromproduktion deckt Bedarf (MINERGIE-A)</t>
  </si>
  <si>
    <t>Stromproduktion deckt Bedarf (MINERGIE-A)   (0=leer / 1=Ja / 2=Nein)</t>
  </si>
  <si>
    <t>Höchstanteil an nich erneuerbarer Energie ergänzt</t>
  </si>
  <si>
    <t>Blatt "MOP", A531-C539 ergänzt</t>
  </si>
  <si>
    <t>Höchstanteil fossile Spitzenlast abfragen?</t>
  </si>
  <si>
    <t>Blatt "Standardwerte", AF9-DA9, Formel angepasst</t>
  </si>
  <si>
    <t>Keine Abfrage mehr der Zusatzbedingung des Höchstanteils an nichterneuerbarer Energie</t>
  </si>
  <si>
    <t>Blatt "Eingaben"K83, Formel für Qe angepasst</t>
  </si>
  <si>
    <t>Bei Altbauten wurde bisher die Lüftung auf dem Nachweisblatt nicht eingerechnet</t>
  </si>
  <si>
    <t>Blatt "Eingaben"K84, Formel für E_Qk angepasst</t>
  </si>
  <si>
    <t>Bei Altbauten wurde bisher der Strombedarf Klima auf dem Nachweisblatt nicht eingerechnet</t>
  </si>
  <si>
    <t>Standardbedarf Elektrizität war um Faktor 2 zu hoch (Tabellenwerte mit Gewichtungsfaktor)</t>
  </si>
  <si>
    <t>Blatt "MINERGIE",  V49-Y49 und V53-Y53, Ebel,standard falsch. Formel korrigiert.</t>
  </si>
  <si>
    <t>Blatt "MINERGIE", W49-Y49, Formel angepasst</t>
  </si>
  <si>
    <t>Grenzwert für MKZ in Blatt "Nachweis" bei mehr als 1 Zone falsch berechnet</t>
  </si>
  <si>
    <t>Blatt "Standardwerte", Y144-Y149, Wert für maximalen COP fehlt. Neu: Max-Wert = Standard +1.2</t>
  </si>
  <si>
    <t>Division durch Null bei Wärmeerzeugung Lüftungs-Wärmepumpen, wenn nicht Standardwert</t>
  </si>
  <si>
    <t>Rubans chauffants</t>
  </si>
  <si>
    <t>Cavi riscaldanti</t>
  </si>
  <si>
    <t>Begleitheizbänder</t>
  </si>
  <si>
    <t>Blatt "Standardwerte", V141-Y141, Begleitheizbänder statt PV</t>
  </si>
  <si>
    <t>Photovoltiaik bei der Wärmeerzeugung durch PV ersetzt.</t>
  </si>
  <si>
    <t>V-W141</t>
  </si>
  <si>
    <t>Höchstanteil fossiler Energie</t>
  </si>
  <si>
    <t>Qww Wärmebedarf Warmwasser SIA 380/1</t>
  </si>
  <si>
    <t>Besoin pour eau chaude Qww SIA 380/1</t>
  </si>
  <si>
    <t>Qww Fabbisogno di calore per ACS SIA 380/1</t>
  </si>
  <si>
    <t>Warmwasser, Rechenwert</t>
  </si>
  <si>
    <t>Eau chaude, valeur calculée</t>
  </si>
  <si>
    <t>Acqua calda, valore utilizz.</t>
  </si>
  <si>
    <t>Warmwasser, SIA 385</t>
  </si>
  <si>
    <t>Eau chaude, SIA 385</t>
  </si>
  <si>
    <t>Acqua calda, SIA 385</t>
  </si>
  <si>
    <t>Part d'énergies fossiles</t>
  </si>
  <si>
    <t>Coperto da energie fossile</t>
  </si>
  <si>
    <t>Blatt "MINERGIE" B17-I18, neu Warmwasser Rechenwert und Eingabe SIA 385 für Berechnung MKZ</t>
  </si>
  <si>
    <t>Neu: Optionale Eingabe Warmwasserbedarf nach SIA 385 für Berechnung MKZ</t>
  </si>
  <si>
    <t>Blatt "MINERGIE" O19-R19, Formel angepasst für optionale Eingabe Warmwasserbedarf nach SIA 385</t>
  </si>
  <si>
    <t>Blatt "Uebersicht" K30-K42: Neu grün bei Ja und rot bei nein</t>
  </si>
  <si>
    <t>Farbliche Hervorhebung wenn erfüllt / nicht erfüllt</t>
  </si>
  <si>
    <t>Blatt "Eingaben" E46: Standard-Eingabe MJ/m2 und rote Schrift des Feldes</t>
  </si>
  <si>
    <t>Eingaben Qh neu auch bei MINERGIE immer MJ/m2</t>
  </si>
  <si>
    <t>Warmwasserbedarf, Rechenwert MKZ, Zone1 kWh/m2</t>
  </si>
  <si>
    <t>Warmwasserbedarf, Rechenwert MKZ, Zone2, kWh/m2</t>
  </si>
  <si>
    <t>Warmwasserbedarf, Rechenwert MKZ, Zone3, kWh/m2</t>
  </si>
  <si>
    <t>Warmwasserbedarf, Rechenwert MKZ, Zone4, kWh/m2</t>
  </si>
  <si>
    <t>Blatt "Standardwerte" AN141 = 58</t>
  </si>
  <si>
    <t>Neue Nr. für Begleitheizband in MOP = 58</t>
  </si>
  <si>
    <t>Mieterausbau</t>
  </si>
  <si>
    <t>unbekannter Mieterausbau</t>
  </si>
  <si>
    <t>Zweckbau</t>
  </si>
  <si>
    <t>Nachw.erford.</t>
  </si>
  <si>
    <t>Zweckneubau</t>
  </si>
  <si>
    <t>Total</t>
  </si>
  <si>
    <t>freiw. Nachw.</t>
  </si>
  <si>
    <t>freiw. gewählt</t>
  </si>
  <si>
    <t>Zweckumbau</t>
  </si>
  <si>
    <t>EBF Zweckneu</t>
  </si>
  <si>
    <t>umf. Sanierung</t>
  </si>
  <si>
    <t>EBF Bel.Nachw.</t>
  </si>
  <si>
    <t>EBF Zw. ohne Nachweis</t>
  </si>
  <si>
    <t>Beleuchtung Zweckbauten ohne Mieterausbau</t>
  </si>
  <si>
    <r>
      <t>MKZ</t>
    </r>
    <r>
      <rPr>
        <vertAlign val="subscript"/>
        <sz val="9"/>
        <rFont val="Arial"/>
        <family val="2"/>
      </rPr>
      <t>Bel,Mieterausbau</t>
    </r>
  </si>
  <si>
    <t>Zwingender Beleuchtungsnachweis</t>
  </si>
  <si>
    <t>Beleuchtungsnachweis zwingend, da umfassende Sanierung</t>
  </si>
  <si>
    <t>Freiwilliger Beleuchtungsnachweis</t>
  </si>
  <si>
    <t>Zweckbau ohne Nachweis</t>
  </si>
  <si>
    <r>
      <t>E</t>
    </r>
    <r>
      <rPr>
        <vertAlign val="subscript"/>
        <sz val="10"/>
        <rFont val="Arial"/>
        <family val="2"/>
      </rPr>
      <t>Bel,Standard</t>
    </r>
  </si>
  <si>
    <r>
      <t>E</t>
    </r>
    <r>
      <rPr>
        <vertAlign val="subscript"/>
        <sz val="10"/>
        <rFont val="Arial"/>
        <family val="2"/>
      </rPr>
      <t xml:space="preserve">SIA380/4,ta </t>
    </r>
    <r>
      <rPr>
        <sz val="10"/>
        <rFont val="Arial"/>
        <family val="2"/>
      </rPr>
      <t>(Zielwert)</t>
    </r>
  </si>
  <si>
    <r>
      <t>E</t>
    </r>
    <r>
      <rPr>
        <vertAlign val="subscript"/>
        <sz val="10"/>
        <rFont val="Arial"/>
        <family val="2"/>
      </rPr>
      <t xml:space="preserve">SIA380/4,Bel </t>
    </r>
    <r>
      <rPr>
        <sz val="10"/>
        <rFont val="Arial"/>
        <family val="2"/>
      </rPr>
      <t>(Projektwert)</t>
    </r>
  </si>
  <si>
    <t>Stand.Beleucht.x 1.2</t>
  </si>
  <si>
    <t>EBF Zweckbau</t>
  </si>
  <si>
    <t>Mieterausbau Zweckbauten</t>
  </si>
  <si>
    <t>Allgemeine Gebäudetechnik bei Zweckbauten</t>
  </si>
  <si>
    <t>Minergie-Kennzahl MKZ</t>
  </si>
  <si>
    <r>
      <t>Aufteilung MKZ</t>
    </r>
    <r>
      <rPr>
        <b/>
        <vertAlign val="subscript"/>
        <sz val="10"/>
        <rFont val="Arial"/>
        <family val="2"/>
      </rPr>
      <t>HLK</t>
    </r>
    <r>
      <rPr>
        <b/>
        <sz val="10"/>
        <rFont val="Arial"/>
        <family val="2"/>
      </rPr>
      <t xml:space="preserve"> in Heizung und Lüftung/Klima:</t>
    </r>
  </si>
  <si>
    <r>
      <t>MKZ</t>
    </r>
    <r>
      <rPr>
        <vertAlign val="subscript"/>
        <sz val="9"/>
        <rFont val="Arial"/>
        <family val="2"/>
      </rPr>
      <t>H</t>
    </r>
    <r>
      <rPr>
        <sz val="9"/>
        <rFont val="Arial"/>
        <family val="2"/>
      </rPr>
      <t xml:space="preserve"> = </t>
    </r>
  </si>
  <si>
    <r>
      <t>MKZ</t>
    </r>
    <r>
      <rPr>
        <vertAlign val="subscript"/>
        <sz val="9"/>
        <rFont val="Arial"/>
        <family val="2"/>
      </rPr>
      <t>LK</t>
    </r>
    <r>
      <rPr>
        <sz val="9"/>
        <rFont val="Arial"/>
        <family val="2"/>
      </rPr>
      <t xml:space="preserve"> = </t>
    </r>
  </si>
  <si>
    <t>Lüftung + Klima</t>
  </si>
  <si>
    <t>PV nicht anrechenbar</t>
  </si>
  <si>
    <t>Reihe 1:</t>
  </si>
  <si>
    <t>Reihe 2:</t>
  </si>
  <si>
    <t>Reihe 3:</t>
  </si>
  <si>
    <t>Berechnung des Standard-Bedarfs:</t>
  </si>
  <si>
    <r>
      <t>E</t>
    </r>
    <r>
      <rPr>
        <vertAlign val="subscript"/>
        <sz val="9"/>
        <rFont val="Arial"/>
        <family val="2"/>
      </rPr>
      <t>hlwk,li</t>
    </r>
  </si>
  <si>
    <t>Grenzwert E hlwk,li</t>
  </si>
  <si>
    <t>M63</t>
  </si>
  <si>
    <t>M65</t>
  </si>
  <si>
    <t>M56</t>
  </si>
  <si>
    <t>Qh</t>
  </si>
  <si>
    <t>Luftdichtheit der Hüllfläche</t>
  </si>
  <si>
    <t>Etanchéité de la surface de l'enveloppe</t>
  </si>
  <si>
    <t>Ermeticità involucro</t>
  </si>
  <si>
    <t>Le débit d'air neuf thermiquement actif calculé en F45-I45, est à introduire dans le calcul des besoins de chaleur pour le chauffage (SIA 380/1)</t>
  </si>
  <si>
    <t>Installierte Leistung (ohne WKK)  [kWp]</t>
  </si>
  <si>
    <t>Puissance installée (sans CCF) [kWp]</t>
  </si>
  <si>
    <t>Grösse Batterie [kWh]</t>
  </si>
  <si>
    <t>Batterie-verluste [%]:</t>
  </si>
  <si>
    <t>Eigenverbrauchsrate [%]</t>
  </si>
  <si>
    <t>spezifischer Jahresertrag [kWh/kWp]</t>
  </si>
  <si>
    <t>Installations techn. du bâtiment</t>
  </si>
  <si>
    <t>PV autoconsommation</t>
  </si>
  <si>
    <t>PV part injectée</t>
  </si>
  <si>
    <t>ventilation et climatisation</t>
  </si>
  <si>
    <t>Blatt "MINERGIE", B16-K16, neue Zusatzeingabe Mieterausbau</t>
  </si>
  <si>
    <t>Neu: Zweckbauten mit Mieterausbau: MKZ,Bel / Geräte = 1.2 x Standardwert</t>
  </si>
  <si>
    <t>Blatt "MINERGIE", N46-T56, Neues Berechnungsfeld für Berechnung Mieterausbau MKZ,Bel</t>
  </si>
  <si>
    <t>Neu: Hilfsberechnungen Mieterausbau und Berechnung MKZ,Bel Mieterausbau</t>
  </si>
  <si>
    <t>MKZ,Geräte bei Mieterausbau neu 1.2 x Standardwert</t>
  </si>
  <si>
    <t>Blatt "MINERGIE", N74-T92, neues Feld mit Hilfsberechnungen für Beleuchtung Zweckbauten</t>
  </si>
  <si>
    <t>Blatt "MINERGIE", O59-S59, Anpassung Formel für MKZ,Geräte bei Mieterausbau</t>
  </si>
  <si>
    <t>Blatt "MINERGIE", F48-K49, neue Formatierung basierend auf Hilfsberechnung Felder N74-T92</t>
  </si>
  <si>
    <t>1. Mieterausbau, 2. Zweckbau &gt;250m2, 3. grosser Eingriff Technik, 4. Freiwillig 380/4</t>
  </si>
  <si>
    <t>Formatierungen neu auf den Zellen der Hilfsberechnung N74-T92</t>
  </si>
  <si>
    <t>Blatt "MINERGIE", G56-K56: Neue Eingabefelder für Batterie und Batterieverluste</t>
  </si>
  <si>
    <t>Blatt "MINERGIE",S45 und S63: Batterieverluste addiert</t>
  </si>
  <si>
    <t>MKZ,el wohnen oder MKZ AGT neu mit Batterieverlusten</t>
  </si>
  <si>
    <t>Blatt "MINERGIE", G55-K55: Darstellungsreihenfolge geändert</t>
  </si>
  <si>
    <t>Besser lesbares Formular</t>
  </si>
  <si>
    <t>Blatt "MINERGIE", N94-S98: Neue Hilfsberechnung für MKZ Heizen, Warmwasser, Lüftung/Kühlung</t>
  </si>
  <si>
    <t>Separate Darstellung der Energieverluste Lüftung/Kühlung auf Blatt Uebersicht</t>
  </si>
  <si>
    <t>Blatt "Uebersicht", B44-K63: Neugestaltung grafische Darstellung und Farben Diagramm</t>
  </si>
  <si>
    <t>Neugestaltung gemäss Wunsch MINERGIE-Agentur</t>
  </si>
  <si>
    <t>Blatt "Eingaben" und "MINEREGIE": Diverse Anpassungen Zellengrössen</t>
  </si>
  <si>
    <t>Verbesserte Darstellung der französischen Sprachvesion</t>
  </si>
  <si>
    <t>Blatt "MINEREGIE", D50-K50, Neue Darstellung + Angabe Rechenwert Beleuchtung Zweckbauten</t>
  </si>
  <si>
    <t>Es wird neu der Rechenwert für den Strombedarf Beleuchtung dargestellt</t>
  </si>
  <si>
    <t>Blatt "Uebersicht", B39-L40: Reihenfolge der Zeile 39-40 getauscht</t>
  </si>
  <si>
    <t>Reihenfolge gemäss Wunsch MINERGIE-Agentur</t>
  </si>
  <si>
    <t>Unbekannter Mieterausbau, Zone1</t>
  </si>
  <si>
    <t>Unbekannter Mieterausbau, Zone2</t>
  </si>
  <si>
    <t>Unbekannter Mieterausbau, Zone3</t>
  </si>
  <si>
    <t>Unbekannter Mieterausbau, Zone4</t>
  </si>
  <si>
    <t>Unbekannter Mieterausbau, Zone1   (0=leer / 1=Ja / 2=Nein)</t>
  </si>
  <si>
    <t>Unbekannter Mieterausbau, Zone2   (0=leer / 1=Ja / 2=Nein)</t>
  </si>
  <si>
    <t>Unbekannter Mieterausbau, Zone3   (0=leer / 1=Ja / 2=Nein)</t>
  </si>
  <si>
    <t>Unbekannter Mieterausbau, Zone4   (0=leer / 1=Ja / 2=Nein)</t>
  </si>
  <si>
    <t>MKZBel,Mieterausbau, Zone1</t>
  </si>
  <si>
    <t>MKZBel,Mieterausbau, Zone2</t>
  </si>
  <si>
    <t>MKZBel,Mieterausbau, Zone3</t>
  </si>
  <si>
    <t>MKZBel,Mieterausbau, Zone4</t>
  </si>
  <si>
    <t>MKZBel,Mieterausbau, total</t>
  </si>
  <si>
    <t>MKZBel,Standard, Zone1</t>
  </si>
  <si>
    <t>MKZBel,Standard, Zone2</t>
  </si>
  <si>
    <t>MKZBel,Standard, Zone3</t>
  </si>
  <si>
    <t>MKZBel,Standard, Zone4</t>
  </si>
  <si>
    <t>MKZBel,Standard, total</t>
  </si>
  <si>
    <t>MKZBel,gross, Zone1</t>
  </si>
  <si>
    <t>MKZBel,gross, Zone2</t>
  </si>
  <si>
    <t>MKZBel,gross, Zone3</t>
  </si>
  <si>
    <t>MKZBel,gross, Zone4</t>
  </si>
  <si>
    <t>MKZBel,gross, total</t>
  </si>
  <si>
    <t>MKZAGT, Zone1</t>
  </si>
  <si>
    <t>MKZAGT, Zone2</t>
  </si>
  <si>
    <t>MKZAGT, Zone3</t>
  </si>
  <si>
    <t>MKZAGT, Zone4</t>
  </si>
  <si>
    <t>MKZAGT, total</t>
  </si>
  <si>
    <t>MKZGeräte, Zone1</t>
  </si>
  <si>
    <t>MKZGeräte, Zone2</t>
  </si>
  <si>
    <t>MKZGeräte, Zone3</t>
  </si>
  <si>
    <t>MKZGeräte, Zone4</t>
  </si>
  <si>
    <t>MKZGeräte, total</t>
  </si>
  <si>
    <t>MKZEl,Wohnen, Zone1</t>
  </si>
  <si>
    <t>MKZEl,Wohnen, Zone2</t>
  </si>
  <si>
    <t>MKZEl,Wohnen, Zone3</t>
  </si>
  <si>
    <t>MKZEl,Wohnen, Zone4</t>
  </si>
  <si>
    <t>MKZEl,Wohnen, total</t>
  </si>
  <si>
    <t>MKZHLK, Zone1</t>
  </si>
  <si>
    <t>MKZHLK, Zone2</t>
  </si>
  <si>
    <t>MKZHLK, Zone3</t>
  </si>
  <si>
    <t>MKZHLK, Zone4</t>
  </si>
  <si>
    <t>MKZHLK, total</t>
  </si>
  <si>
    <t>MKZww, Zone1</t>
  </si>
  <si>
    <t>MKZww, Zone2</t>
  </si>
  <si>
    <t>MKZww, Zone3</t>
  </si>
  <si>
    <t>MKZww, Zone4</t>
  </si>
  <si>
    <t>MKZww, total</t>
  </si>
  <si>
    <t>MKZH, Zone1</t>
  </si>
  <si>
    <t>MKZH, Zone2</t>
  </si>
  <si>
    <t>MKZH, Zone3</t>
  </si>
  <si>
    <t>MKZH, Zone4</t>
  </si>
  <si>
    <t>MKZH, total</t>
  </si>
  <si>
    <t>MKZLK, Zone1</t>
  </si>
  <si>
    <t>MKZLK, Zone2</t>
  </si>
  <si>
    <t>MKZLK, Zone3</t>
  </si>
  <si>
    <t>MKZLK, Zone4</t>
  </si>
  <si>
    <t>MKZLK, total</t>
  </si>
  <si>
    <t>M67</t>
  </si>
  <si>
    <t>Grenzwert MKZ,li,ZB wurde in Ver. 1.22 bei externem Beleuchtungsnachweis falsch berechnet.</t>
  </si>
  <si>
    <t>Grün (1 = Ja / 0 = Nein)</t>
  </si>
  <si>
    <t>Blatt "Uebersicht", K50, fehlerhafter Bezug korrigiert</t>
  </si>
  <si>
    <t>Blatt "MINERGIE",  V39-Y39, fehlerhafter Bezug in Formel. Korrigiert.</t>
  </si>
  <si>
    <t>Wert für MKZ,LK auf K50 falsch. Bezug korrigiert.</t>
  </si>
  <si>
    <t>Blatt "Uebersicht", Darstellung des Standaardbedarfs gemäss Wunsch MINERGIE angepasst.</t>
  </si>
  <si>
    <t>Blatt "Nachweis", G40 -L40, Formel für MINERGIE-A geändert</t>
  </si>
  <si>
    <t>Neu gleiche Berechnung für Strom Klima und Hilfsbetriebe für MINERGIE-A wie MINERGIE</t>
  </si>
  <si>
    <t>IM -  Indice Minergie</t>
  </si>
  <si>
    <t>MKZ</t>
  </si>
  <si>
    <t>IM</t>
  </si>
  <si>
    <t>K45</t>
  </si>
  <si>
    <t>H</t>
  </si>
  <si>
    <t>R</t>
  </si>
  <si>
    <t>K47</t>
  </si>
  <si>
    <t>AC</t>
  </si>
  <si>
    <t>VC</t>
  </si>
  <si>
    <t>K49</t>
  </si>
  <si>
    <t>LK</t>
  </si>
  <si>
    <t>el,resid</t>
  </si>
  <si>
    <t>el,wohn.</t>
  </si>
  <si>
    <t>K51</t>
  </si>
  <si>
    <t>K53</t>
  </si>
  <si>
    <t>Bel</t>
  </si>
  <si>
    <t>Ill</t>
  </si>
  <si>
    <t>app</t>
  </si>
  <si>
    <t>AGT</t>
  </si>
  <si>
    <t>Imp</t>
  </si>
  <si>
    <t>EB</t>
  </si>
  <si>
    <t>cp</t>
  </si>
  <si>
    <t>K59</t>
  </si>
  <si>
    <t>K55</t>
  </si>
  <si>
    <t>K57</t>
  </si>
  <si>
    <t>Netz</t>
  </si>
  <si>
    <t>rete</t>
  </si>
  <si>
    <t>K61</t>
  </si>
  <si>
    <t>K45 - K63</t>
  </si>
  <si>
    <t>Piccoli impianti di ventilazione standard</t>
  </si>
  <si>
    <t>Impianti di aerazione e climatizzazione</t>
  </si>
  <si>
    <t>Tipo d'impianto</t>
  </si>
  <si>
    <t>Locali con immissi. d'aria o n. di persone</t>
  </si>
  <si>
    <t>N. di locali con immissione d'aria</t>
  </si>
  <si>
    <t>N. di persone</t>
  </si>
  <si>
    <t>Portata d'aria esterna termicamcamente det.</t>
  </si>
  <si>
    <t>Fabb. elettricità raffreddamento e umidificazione</t>
  </si>
  <si>
    <t>Raffreddamento o umidificazione?</t>
  </si>
  <si>
    <t>È previsto un raffreddamento o un'umidificazione?</t>
  </si>
  <si>
    <t>Portata d'aria esterna termicamente det.</t>
  </si>
  <si>
    <t>Strombedarf Kälteförderung</t>
  </si>
  <si>
    <t>Besoins d'électricité pour le transport du froid</t>
  </si>
  <si>
    <t>Fabb. di elettricità per il trasporto di freddo</t>
  </si>
  <si>
    <t>Justificatif énergétique:
Seules les nouvelles constructions sont considérées dans le justificatif énergétique.
Minergie:
Année de construction (achèvement) à partir de 2000.</t>
  </si>
  <si>
    <t>PdC aria-acqua, solo riscaldamento</t>
  </si>
  <si>
    <t>PdC aria-acqua, solo ACS</t>
  </si>
  <si>
    <t>PdC acqua-acqua, solo riscaldamento</t>
  </si>
  <si>
    <t>PdC acqua-acqua, solo ACS</t>
  </si>
  <si>
    <t>Sommerlicher Wärmeschutz im Minergie-Standard</t>
  </si>
  <si>
    <t>Protection thermique estivale dans le label Minergie</t>
  </si>
  <si>
    <t>Protezione termica estiva secondo lo standard Minergie</t>
  </si>
  <si>
    <t>- pas de puits de lumière ou de fenêtre de toiture avec plus de 0.5 m² de surface vitrée; les surfaces plus grandes peuvent
  être converties en surfaces verticales (voir Aide à l'utilisation)</t>
  </si>
  <si>
    <t>- aussenliegender beweglicher Sonnenschutz mit Rollläden oder Rafflamellenstoren (z.B. Minergie-Module);</t>
  </si>
  <si>
    <t>- protection solaire extérieure mobile avec volet roulant ou store à lamelles (p.ex. Modules Minergie);</t>
  </si>
  <si>
    <t>- schermatura solare esterna mobile tramite tapparella o lamella; (p. es. modulo minergie per protezioni solari)</t>
  </si>
  <si>
    <t>Tapparelle</t>
  </si>
  <si>
    <t>Modul Minergie</t>
  </si>
  <si>
    <t>Module Minergie</t>
  </si>
  <si>
    <t>Minergie-Nachweis</t>
  </si>
  <si>
    <t>justificatif Minergie</t>
  </si>
  <si>
    <t xml:space="preserve">Leuchten: Minergie-Modul/Lichtausbe. &gt;100 lm/W </t>
  </si>
  <si>
    <t>Lichtsteuerung Präsenz-/ Tageslichtsensor</t>
  </si>
  <si>
    <t>Regolazione illuminazione con sensori di presenza e/o luminosità</t>
  </si>
  <si>
    <t>Effiziente Geräte Gebäudebetrieb/Wohnnutzung</t>
  </si>
  <si>
    <t>Beleuchtung: Projektwert SIA 380/4 (ungew.)</t>
  </si>
  <si>
    <t>Beleuchtung: Zielwert SIA 380/4 (ungew.)</t>
  </si>
  <si>
    <t>ZA1: Heizwärmebedarf in kWh/m2</t>
  </si>
  <si>
    <t>Besoins de chaleur en kWh/m²</t>
  </si>
  <si>
    <t>ZA2: Endenergie ohne PV in kWh/m2</t>
  </si>
  <si>
    <t>Energie finale sans photovoltaïque en kWh/m²</t>
  </si>
  <si>
    <t>ZA3: Minergie-Grenzwert Beleuchtung in kWh/m2</t>
  </si>
  <si>
    <t>Valeur limite Minergie pour l'éclairage en kWh/m²</t>
  </si>
  <si>
    <t>Visualisierung Minergie-Kennzahl (MKZ)</t>
  </si>
  <si>
    <t>MKZ berechneter Wert</t>
  </si>
  <si>
    <t>Grenzwert Minergie</t>
  </si>
  <si>
    <t>Valeur limite Minergie</t>
  </si>
  <si>
    <t>MKZ Anforderung</t>
  </si>
  <si>
    <t>Teilkennzahl Minergie-A</t>
  </si>
  <si>
    <t>Indice partiel Minergie-A</t>
  </si>
  <si>
    <t>Indice parziale Minergie-A</t>
  </si>
  <si>
    <t>Minergie-A: Bedarf MKZ (ohne PV)  durch PV gedeckt?</t>
  </si>
  <si>
    <t>Minergie-A: il fabbisogno indice Minergie (senza PV) è coperto da PV?</t>
  </si>
  <si>
    <t>Locataire inconnu</t>
  </si>
  <si>
    <t>Sviluppo spazi da parte del locatario</t>
  </si>
  <si>
    <t>Aerazione + climatizzazione</t>
  </si>
  <si>
    <t>PV non computabile</t>
  </si>
  <si>
    <t>Capacità batterie [kWh]</t>
  </si>
  <si>
    <t>Perdita delle batterie [%]:</t>
  </si>
  <si>
    <t>PV non pris en compte</t>
  </si>
  <si>
    <t>Capacité de la batterie [kWh]</t>
  </si>
  <si>
    <t>Pertes de la batterie [%]:</t>
  </si>
  <si>
    <t>Indice Minergie (MKZ)</t>
  </si>
  <si>
    <t>sélectionné dans la feuille "Entrées". Une fois le justificatif rempli, il doit être téléchargé sur la plateforme Minergie online (MOP).</t>
  </si>
  <si>
    <t>Le présent formulaire sert à la justification des labels Minergie, Minergie-P et Minergie-A. Le label correspondant peut être</t>
  </si>
  <si>
    <t>Après transmission sur MOP, le formulaire de demande est généré automatiquement. La demande signée, le présent formulaire</t>
  </si>
  <si>
    <t>justificatif et tous les éventuels documents notifiés sur la demande doivent être envoyés au format papier à l'office de certification</t>
  </si>
  <si>
    <t>compétent. Observer le code couleur suivant pour remplir le formulaire justificatif:</t>
  </si>
  <si>
    <t>Questo formulario di verifica è necessario per la verifica dello standard Minergie, Minergie-P e Minergie A. Lo standard corrispon-</t>
  </si>
  <si>
    <t>dente può essere selezionato nel foglio "Dati". Il formulario compilato va caricato sulla piattaforma Minergie Online (MOP).</t>
  </si>
  <si>
    <t>nonché altri documenti necessari, devono essere inviati in forma cartacea al centro di certificazione.</t>
  </si>
  <si>
    <t>La richiesta di certificazione è generata automaticamente tramite MOP. La richiesta firmata, il presente formulario di verifica</t>
  </si>
  <si>
    <t>Luminari: modulo Minergie o  luminari efficienti &gt;100 lm/W</t>
  </si>
  <si>
    <t>Abitazioni (mono - e plurifamiliari), locale con 1 facciata o locale ad angolo. Soletta in legno con sottofondo cementizio (min. 6 cm) o anidritico (min. 5 cm):   - percentuale di vetro &lt;40%</t>
  </si>
  <si>
    <t>Habitation (individuelle ou collective), pièce d'angle ou pièce avec 1 façade. Dalle en bois avec chape ciment (min. 6 cm d'épaisseur) ou anhydrite (min. 5 cm d'épaisseur):  - taux de surface vitrée &lt;40%</t>
  </si>
  <si>
    <t>Abitazioni (mono - e plurifamiliari), locale con 1 facciata, soletta in calcestruzzo (libera &gt;80%) o con sottofondo cementizio (min. 6 cm) o anidritico (min. 5 cm), orientato a sud con ombreggiamento tramite balcone di min. 1 m di profondità:  - percentuale di vetro &lt;100%</t>
  </si>
  <si>
    <t>Ufficio singolo, ufficio di gruppo, sala riunioni a locali d’angolo, soletta in calcestruzzo (libera &gt;80%):  - percentuale di vetro &lt; 35% e regolazione automatica della schermatura solare</t>
  </si>
  <si>
    <t>Ufficio singolo, ufficio di gruppo, sala riunioni con 1 facciata, soletta in calcestruzzo (libera &gt;80%):  - percentuale di vetro &lt;50% e regolazione automatica della schermatura solare</t>
  </si>
  <si>
    <t>- non ci sono lucernari o finestre a tetto con una superficie vetrata &gt; 0.5 m2, vetrate più grandi possono essere trasformate in
   superfici verticali -&gt; si rimanda alla guida all'uso</t>
  </si>
  <si>
    <t xml:space="preserve">n. MOP: </t>
  </si>
  <si>
    <t>E38</t>
  </si>
  <si>
    <t>E39</t>
  </si>
  <si>
    <t>E40</t>
  </si>
  <si>
    <t>E41</t>
  </si>
  <si>
    <t>E42</t>
  </si>
  <si>
    <t>E43</t>
  </si>
  <si>
    <t>E45</t>
  </si>
  <si>
    <t>E44</t>
  </si>
  <si>
    <t>M12</t>
  </si>
  <si>
    <t>M13</t>
  </si>
  <si>
    <t>M15</t>
  </si>
  <si>
    <t>M17</t>
  </si>
  <si>
    <t>M18</t>
  </si>
  <si>
    <t>M19</t>
  </si>
  <si>
    <t>M20</t>
  </si>
  <si>
    <t>M25</t>
  </si>
  <si>
    <t>M33</t>
  </si>
  <si>
    <t>M34</t>
  </si>
  <si>
    <t>M35</t>
  </si>
  <si>
    <t>M36</t>
  </si>
  <si>
    <t>M37</t>
  </si>
  <si>
    <t>M38</t>
  </si>
  <si>
    <t>M40</t>
  </si>
  <si>
    <t>M41</t>
  </si>
  <si>
    <t>M48</t>
  </si>
  <si>
    <t>M66</t>
  </si>
  <si>
    <t>M68</t>
  </si>
  <si>
    <t>M70</t>
  </si>
  <si>
    <t>M71</t>
  </si>
  <si>
    <t>M69</t>
  </si>
  <si>
    <t>S6</t>
  </si>
  <si>
    <t>S18</t>
  </si>
  <si>
    <t>S20</t>
  </si>
  <si>
    <t>S30</t>
  </si>
  <si>
    <t>S35</t>
  </si>
  <si>
    <t>S43</t>
  </si>
  <si>
    <t>S45</t>
  </si>
  <si>
    <t>S47</t>
  </si>
  <si>
    <t>S48</t>
  </si>
  <si>
    <t>S52</t>
  </si>
  <si>
    <t>N27</t>
  </si>
  <si>
    <t>N34</t>
  </si>
  <si>
    <t>N43</t>
  </si>
  <si>
    <t>N44</t>
  </si>
  <si>
    <t>N47</t>
  </si>
  <si>
    <t>N48</t>
  </si>
  <si>
    <t>N49</t>
  </si>
  <si>
    <t>N50</t>
  </si>
  <si>
    <t>N51</t>
  </si>
  <si>
    <t>N52</t>
  </si>
  <si>
    <t>N53</t>
  </si>
  <si>
    <t>N54</t>
  </si>
  <si>
    <t>N60</t>
  </si>
  <si>
    <t>N63</t>
  </si>
  <si>
    <t>N64</t>
  </si>
  <si>
    <t>U20</t>
  </si>
  <si>
    <t>U21</t>
  </si>
  <si>
    <t>U22</t>
  </si>
  <si>
    <t>U28</t>
  </si>
  <si>
    <t>U30</t>
  </si>
  <si>
    <t>U31</t>
  </si>
  <si>
    <t>U35</t>
  </si>
  <si>
    <t>U37</t>
  </si>
  <si>
    <t>U38</t>
  </si>
  <si>
    <t>U39</t>
  </si>
  <si>
    <t>U40</t>
  </si>
  <si>
    <t>U41</t>
  </si>
  <si>
    <t>U42</t>
  </si>
  <si>
    <t>U43</t>
  </si>
  <si>
    <t>U44</t>
  </si>
  <si>
    <t>U46</t>
  </si>
  <si>
    <t>U48</t>
  </si>
  <si>
    <t>U50</t>
  </si>
  <si>
    <t>U52</t>
  </si>
  <si>
    <t>U54</t>
  </si>
  <si>
    <t>U56</t>
  </si>
  <si>
    <t>U58</t>
  </si>
  <si>
    <t>U60</t>
  </si>
  <si>
    <t>U62</t>
  </si>
  <si>
    <t>U63</t>
  </si>
  <si>
    <t>U9</t>
  </si>
  <si>
    <t>Bisheriger Toleranzbereich beim Vergleich Anforderung - Rechenwert durch Rundung ersetzt</t>
  </si>
  <si>
    <t>Blatt "Nachweis", L58-L59, Rundung beim Vergleich Ist-Soll je auf eine Stelle nach Komma</t>
  </si>
  <si>
    <t>Blatt "Uebersicht", K30-K43, Rundung beim Vergleich Ist-Soll je auf eine oder 2 Stelle nach Komma</t>
  </si>
  <si>
    <t>Blatt "Uebersicht", K45-K63, Abkürzungen MKZ neu aus Uebersetzungsliste</t>
  </si>
  <si>
    <t>MKZ-Variablen werden neu in italienischer Version übersetzt (nicht aber auf französisch)</t>
  </si>
  <si>
    <t xml:space="preserve">Blatt "Nachweis", B59, Text neu aus Uebersetzungsliste </t>
  </si>
  <si>
    <t>Blätter "Eingaben", "MINERGIE", "Sommer", "Nachweis", "Uebersicht", neue Zeilennummerierung</t>
  </si>
  <si>
    <t>In Kolonne A wird überall die Zeilennumer = Zeilennummer der Zelle eingegeben.</t>
  </si>
  <si>
    <t>Blatt "Uebersetzung", neue Uebersetzungen</t>
  </si>
  <si>
    <t>Neue Übersetzungsliste von MINERGIE vom 2. 5. 2017</t>
  </si>
  <si>
    <t>Blätter "Eingaben", "MINERGIE", "Sommer", "Nachweis", "Uebersicht", Formatierungen angepasst</t>
  </si>
  <si>
    <t>Formatierungsanpassungen gemäss neuer Üebersetzungsliste / Ausdruck mit Zeilennummern</t>
  </si>
  <si>
    <t xml:space="preserve">                                          E HWLK,li  +
                             Standardbedarf Elektrizität
  </t>
  </si>
  <si>
    <t xml:space="preserve">                                  E HWLK,li +
                        Besoins standard électricité
  </t>
  </si>
  <si>
    <t xml:space="preserve">                                            E rvcac,li +
                            Fabbisogno elettrico standard
  </t>
  </si>
  <si>
    <t xml:space="preserve">           Valore oggetto
 </t>
  </si>
  <si>
    <t xml:space="preserve">           Objektwert
 </t>
  </si>
  <si>
    <t xml:space="preserve">   Produktion PV</t>
  </si>
  <si>
    <t xml:space="preserve">   Production PV</t>
  </si>
  <si>
    <t xml:space="preserve">   Produzione PV
 </t>
  </si>
  <si>
    <t xml:space="preserve">       Valeur de l'objet
 </t>
  </si>
  <si>
    <t xml:space="preserve">Exigence remplie?    </t>
  </si>
  <si>
    <t xml:space="preserve">Requisito soddisfatto?    </t>
  </si>
  <si>
    <t xml:space="preserve">Anforderung erfüllt?    </t>
  </si>
  <si>
    <t>Concept d'étanchéité annexé?</t>
  </si>
  <si>
    <t>Concetto dell'ermeticità  è stato allegato?</t>
  </si>
  <si>
    <t>Konzept Lufdichtheit beigelegt?</t>
  </si>
  <si>
    <t>Konzept Lufdichtheit und Messkonzept beigelegt?</t>
  </si>
  <si>
    <t>Concept d'étanchéité et de mesure annexé?</t>
  </si>
  <si>
    <t>Concetto dell'ermeticità e di misura è stato allegato?</t>
  </si>
  <si>
    <t>Blatt "MINERGIE",  D63 - K71, Neugestaltung</t>
  </si>
  <si>
    <t>Keine Eingabemöglichkeit für Objektwerte mehr</t>
  </si>
  <si>
    <t>MINERGIE: Konzept Luftdichtheit / MINERGIE-A/-P zusätzlich Messkonzept erforderlich</t>
  </si>
  <si>
    <t>Blatt "Standardwerte"  BA6, Anpassungen Luftdichtheitsanforderungen</t>
  </si>
  <si>
    <t>EBF ohne Hall.</t>
  </si>
  <si>
    <t>Blatt "MINERGIE", Z40, Formel neu ohne Hallenbad</t>
  </si>
  <si>
    <t>Berechnung Grenzwert MINERGIE ohne Berücksichtigung Hallenbadanteil</t>
  </si>
  <si>
    <t>Fehler bei Auswahl Hallenbad. Neu Standard-Beleuchtung inkl. Hallenbad.</t>
  </si>
  <si>
    <t>Blatt "MINERGIE", O90-R90, V48-y48, Formel neu inkl. Bezug auf  Hallenbad</t>
  </si>
  <si>
    <t>Blatt "MINERGIE", v13-y13, Primäranforderung ZA1 bei Hallenbad angepasst</t>
  </si>
  <si>
    <t>Bei Hallenbad-Sanierungen gilt für ZA1 der Neubau-Grenzwert</t>
  </si>
  <si>
    <t>Bei Nutzung Hallenbad gibt es keine MINERGIE-Kennzahl</t>
  </si>
  <si>
    <t>Blatt "MINERGIE", O16-R16, O98-R99, Null wenn Hallenbad</t>
  </si>
  <si>
    <t>Blatt "MINERGIE", O89-S89, Null wenn Hallenbad</t>
  </si>
  <si>
    <t>Hallenbad wird bei Berechnung der MINERGIE-Kennzahl nicht berücksichtigt</t>
  </si>
  <si>
    <t>Blatt "Sommer", I27-L29, n.a.  Eingefüllt.</t>
  </si>
  <si>
    <t>Beim sommerlichen Wärmeschutz sollte nicht erfüllt stehen, wenn alles n.a. eingegeben.</t>
  </si>
  <si>
    <t>Blatt "Sommer", Zeile 26 eingeblendet und Text für Lager eingefüllt.</t>
  </si>
  <si>
    <t>Lager mit geringen, internen Wärmelasten ergänzt</t>
  </si>
  <si>
    <t>Muken ohne Standardlüftung</t>
  </si>
  <si>
    <t>Blatt "Eingaben", F40-I41  hellgelb bei behördlichem Nachweis und keine Standardlüftung</t>
  </si>
  <si>
    <t xml:space="preserve">Neue Zeile 94 mit Kriterium für hellgelbe Eingabefarbe bei behördlichem Nachweis </t>
  </si>
  <si>
    <t>Wärmeerzeuger</t>
  </si>
  <si>
    <t>Erz. A</t>
  </si>
  <si>
    <t>Erz. B</t>
  </si>
  <si>
    <t>Erz. C</t>
  </si>
  <si>
    <t>Erz. D</t>
  </si>
  <si>
    <t>Name</t>
  </si>
  <si>
    <t>MOP-Nr.: / Projektname: / Gebäudeadresse:</t>
  </si>
  <si>
    <t xml:space="preserve">Parz.-Nr.:   / Klimastation: / Gebäudestandort: </t>
  </si>
  <si>
    <t>Nutzbare Kapazität (kWh)</t>
  </si>
  <si>
    <t>Energiebezugsfläche EBF (m2)</t>
  </si>
  <si>
    <t>Warmwasser Rechenwert</t>
  </si>
  <si>
    <t>Klimakälte</t>
  </si>
  <si>
    <t>Bedarf Lift</t>
  </si>
  <si>
    <t>Bedarf Heizbänder</t>
  </si>
  <si>
    <t>Reduktion Geschirrspüler</t>
  </si>
  <si>
    <t>Reduktion Kühl- und Gefrierschränke</t>
  </si>
  <si>
    <t>Reduktion Waschmaschine</t>
  </si>
  <si>
    <t>Reduktion Wäschetrockner</t>
  </si>
  <si>
    <t>Reduktion Induktionskochherde</t>
  </si>
  <si>
    <t>Reduktion Wohnungsbeleuchtung</t>
  </si>
  <si>
    <t>Reduktion allgemeine Beleuchtung</t>
  </si>
  <si>
    <t>Reduktion Geräte Gebäudebetrieb</t>
  </si>
  <si>
    <t>Bedarf Beleuchtung Zweckbau Rechenwert</t>
  </si>
  <si>
    <t>Bedarf Geräte Zweckbau Rechenwert</t>
  </si>
  <si>
    <t>Bedarf AGT Zweckbau Rechenwert</t>
  </si>
  <si>
    <t>Bitte den gelben Bereich kopieren und als Inhalt in PVopti einfügen:</t>
  </si>
  <si>
    <t>Übertrag in das Rechentool PVopti</t>
  </si>
  <si>
    <t>Abitazione plurif.</t>
  </si>
  <si>
    <t>Abitazione monof.</t>
  </si>
  <si>
    <t>Amministrazione</t>
  </si>
  <si>
    <t>Scuola</t>
  </si>
  <si>
    <t>Negozio</t>
  </si>
  <si>
    <t>Ristorante</t>
  </si>
  <si>
    <t>Locale pubblico</t>
  </si>
  <si>
    <t>Ospedale</t>
  </si>
  <si>
    <t>Industria</t>
  </si>
  <si>
    <t>Magazzino</t>
  </si>
  <si>
    <t>Impianto sportivo</t>
  </si>
  <si>
    <t>Pvopti</t>
  </si>
  <si>
    <t>A1</t>
  </si>
  <si>
    <t>C3</t>
  </si>
  <si>
    <t>A4</t>
  </si>
  <si>
    <t>A5</t>
  </si>
  <si>
    <t>A8</t>
  </si>
  <si>
    <t>A9</t>
  </si>
  <si>
    <t>A10</t>
  </si>
  <si>
    <t>A11</t>
  </si>
  <si>
    <t>A12</t>
  </si>
  <si>
    <t>A14</t>
  </si>
  <si>
    <t>A16</t>
  </si>
  <si>
    <t>A17</t>
  </si>
  <si>
    <t>A18</t>
  </si>
  <si>
    <t>A19</t>
  </si>
  <si>
    <t>A20</t>
  </si>
  <si>
    <t>A21</t>
  </si>
  <si>
    <t>A22</t>
  </si>
  <si>
    <t>A23</t>
  </si>
  <si>
    <t>A24</t>
  </si>
  <si>
    <t>A25</t>
  </si>
  <si>
    <t>A26</t>
  </si>
  <si>
    <t>A27</t>
  </si>
  <si>
    <t>A28</t>
  </si>
  <si>
    <t>A29</t>
  </si>
  <si>
    <t>A30</t>
  </si>
  <si>
    <t>A31</t>
  </si>
  <si>
    <t>A32</t>
  </si>
  <si>
    <t>A33</t>
  </si>
  <si>
    <t>A34</t>
  </si>
  <si>
    <t>A35</t>
  </si>
  <si>
    <t>A36</t>
  </si>
  <si>
    <t>A37</t>
  </si>
  <si>
    <t>Blatt "PVopti" als Schnittstelle zum Tool PVopti neu eingefügt</t>
  </si>
  <si>
    <t>Berechnung EVR (Standardwert)</t>
  </si>
  <si>
    <t>WP</t>
  </si>
  <si>
    <t>Wärmebedarf</t>
  </si>
  <si>
    <t>Wärme 1</t>
  </si>
  <si>
    <t>Wärme 2</t>
  </si>
  <si>
    <t>Wärme 3</t>
  </si>
  <si>
    <t>Wärme 4</t>
  </si>
  <si>
    <t>Wärme 5</t>
  </si>
  <si>
    <t>Wärmepumpe</t>
  </si>
  <si>
    <t>Anteil WP</t>
  </si>
  <si>
    <t>EVR Standardwerte</t>
  </si>
  <si>
    <t>für Gebäude mit WP</t>
  </si>
  <si>
    <t>für Gebäude ohne WP</t>
  </si>
  <si>
    <t>xi</t>
  </si>
  <si>
    <t>ai</t>
  </si>
  <si>
    <t>bi</t>
  </si>
  <si>
    <r>
      <t>MKZ</t>
    </r>
    <r>
      <rPr>
        <vertAlign val="subscript"/>
        <sz val="9"/>
        <rFont val="Arial"/>
        <family val="2"/>
      </rPr>
      <t>L</t>
    </r>
    <r>
      <rPr>
        <sz val="9"/>
        <rFont val="Arial"/>
        <family val="2"/>
      </rPr>
      <t xml:space="preserve"> = </t>
    </r>
  </si>
  <si>
    <r>
      <t>f</t>
    </r>
    <r>
      <rPr>
        <vertAlign val="subscript"/>
        <sz val="9"/>
        <rFont val="Arial"/>
        <family val="2"/>
      </rPr>
      <t>fr,PV</t>
    </r>
  </si>
  <si>
    <r>
      <t>E</t>
    </r>
    <r>
      <rPr>
        <vertAlign val="subscript"/>
        <sz val="9"/>
        <rFont val="Arial"/>
        <family val="2"/>
      </rPr>
      <t>el,b</t>
    </r>
    <r>
      <rPr>
        <sz val="9"/>
        <rFont val="Arial"/>
        <family val="2"/>
      </rPr>
      <t xml:space="preserve"> </t>
    </r>
  </si>
  <si>
    <r>
      <t>E</t>
    </r>
    <r>
      <rPr>
        <vertAlign val="subscript"/>
        <sz val="9"/>
        <rFont val="Arial"/>
        <family val="2"/>
      </rPr>
      <t>PV</t>
    </r>
    <r>
      <rPr>
        <sz val="9"/>
        <rFont val="Arial"/>
        <family val="2"/>
      </rPr>
      <t xml:space="preserve"> </t>
    </r>
  </si>
  <si>
    <r>
      <t>C</t>
    </r>
    <r>
      <rPr>
        <vertAlign val="subscript"/>
        <sz val="9"/>
        <rFont val="Arial"/>
        <family val="2"/>
      </rPr>
      <t>Bat</t>
    </r>
  </si>
  <si>
    <t>Anteil WP:</t>
  </si>
  <si>
    <t>i =</t>
  </si>
  <si>
    <t>Blatt "MINERGIE": Formel für Standardwerte der Eigenverbrauchsrate eingefügt</t>
  </si>
  <si>
    <t>M21</t>
  </si>
  <si>
    <t xml:space="preserve"> - Wärmerückgewinnung Abwasser in %</t>
  </si>
  <si>
    <t>Blatt "MINERGIE": Zeile 21 eingefügt</t>
  </si>
  <si>
    <t>Wärmerückgewinnung aus Abwasser: Eingabefeld eingefügt.</t>
  </si>
  <si>
    <t>Blatt "MINERGIE": F17 - I17, für angepasst</t>
  </si>
  <si>
    <t>Wärmerückgewinnung aus Abwasser in Formel für Wärme für Warmwasserbedarf eingefügt.</t>
  </si>
  <si>
    <t>Blatt "MINERGIE": AD32-AG32, Formel angepasst</t>
  </si>
  <si>
    <t>Rechenwert fossile Wärmeerzeugung mit Qh statt Qh,eff berechnet. Angepasst.</t>
  </si>
  <si>
    <t>Blatt "Uebersicht",  F42-I42, Angabe neu in % statt in kWh/m2. Formel angepasst.</t>
  </si>
  <si>
    <t>Hochstanteil fossiler Energie für Neubauten: Neu in % statt in kWh/m2 angeben.</t>
  </si>
  <si>
    <t>Spez. Jahresertrag ohne WP</t>
  </si>
  <si>
    <t>Spez. Jahresertrag mit WP</t>
  </si>
  <si>
    <t>Spez. Jahresertrag effektiv</t>
  </si>
  <si>
    <t>in Prozent:</t>
  </si>
  <si>
    <t>1.30</t>
  </si>
  <si>
    <t>Blatt "MINERGIE": AI69-AI70, Formel angepasst</t>
  </si>
  <si>
    <t>Formeln für spez. Jahresertrag gemäss Angaben MINERGIE angepasst.</t>
  </si>
  <si>
    <t>Blatt "MINERGIE": AI63, spez. Strombedarf neu mit Strom Wärmeerzeugung</t>
  </si>
  <si>
    <t>Strombedarf für Berechnung Eigenstrombezug inkl. Strom Wärmeerzeugung</t>
  </si>
  <si>
    <t>Blatt "MINERGIE": O54-R54 / O90-R90, Auswahlbereich zu klein. Formel angepasst.</t>
  </si>
  <si>
    <t>Fehlermeldung bei Nutzung Hallenbad</t>
  </si>
  <si>
    <r>
      <t>Q</t>
    </r>
    <r>
      <rPr>
        <vertAlign val="subscript"/>
        <sz val="9"/>
        <rFont val="Arial"/>
        <family val="2"/>
      </rPr>
      <t xml:space="preserve">h,eff Neubau </t>
    </r>
    <r>
      <rPr>
        <sz val="9"/>
        <rFont val="Arial"/>
        <family val="2"/>
      </rPr>
      <t xml:space="preserve">= </t>
    </r>
  </si>
  <si>
    <r>
      <t>Q</t>
    </r>
    <r>
      <rPr>
        <vertAlign val="subscript"/>
        <sz val="9"/>
        <rFont val="Arial"/>
        <family val="2"/>
      </rPr>
      <t xml:space="preserve">h,eff nicht erneuer </t>
    </r>
    <r>
      <rPr>
        <sz val="9"/>
        <rFont val="Arial"/>
        <family val="2"/>
      </rPr>
      <t xml:space="preserve">= </t>
    </r>
  </si>
  <si>
    <t>Wohnstrom</t>
  </si>
  <si>
    <t>Electricité d'habitation</t>
  </si>
  <si>
    <t>Elettricità d'abitazione</t>
  </si>
  <si>
    <t>Blatt "Uebersetzung":E443-G443, Uebersetzung angepasst.</t>
  </si>
  <si>
    <t>Auf Blatt Uebersicht Wohnen durch Wohnstrom ersetzt.</t>
  </si>
  <si>
    <t>1.31</t>
  </si>
  <si>
    <t>Blatt "MINERGIE": G46, I46, bedingte Formatierung (Füllfarbe) angepasst</t>
  </si>
  <si>
    <t>Formatierung bei Hallenbad für Zone2 und Zone4 falsch (weiss, wenn Zon1=Hallenbad).</t>
  </si>
  <si>
    <t>Energieaufwand für Wärmeerzeugung E wurde fälschlicherweise immer 100% fossil berechnet</t>
  </si>
  <si>
    <t>Blatt "Nachweis": AJ24, Formel angepasst. Nur Energieinput ohne Strom wird neu fossil berechnet.</t>
  </si>
  <si>
    <t>Blatt "Nachweis": AJ8,AJ12,AJ16,AJ20, Formel angepasst.  WKK fossil ist nicht erneuerbar, wenn Nutzungsgrad Strom &lt; 35%</t>
  </si>
  <si>
    <t>WKK fossil nur erneuerbar, wenn Nutzungsgrad Strom &gt;=35%</t>
  </si>
  <si>
    <t>Bei WKK ist minimale Grösse Eigenstromerzeugung im Nachweis immer erfüllt</t>
  </si>
  <si>
    <t>Blatt "Uebersicht",  K40, Minimale Grösse Eigenstromerzeugung erfüllt, wenn WKK = wahr</t>
  </si>
  <si>
    <t>Blatt "MINERGIE": I57, Minimale Grösse Eigenstromerzeugung erfüllt, wenn WKK = wahr</t>
  </si>
  <si>
    <t>Blatt "Nachweis": Q33: Neue Variable WKK. WKK = wahr, wenn Eigenstromerzeugung &gt;= 7.5kWh/m2</t>
  </si>
  <si>
    <t>Apport annuel spécifique [kWh/kWp]</t>
  </si>
  <si>
    <t>Apporto annuale specifico [kWh/kWp]</t>
  </si>
  <si>
    <t>Rendimento / CLA</t>
  </si>
  <si>
    <t>Auf Blatt MINEREGIE, spezifischer Jahresertrag falsch übersetzt (spezifisch fehlte)</t>
  </si>
  <si>
    <t>Blatt "Uebersetzung": F413-G413, Uebersetzung angepasst.</t>
  </si>
  <si>
    <t>Blatt "Uebersetzung": G257, Uebersetzung angepasst.</t>
  </si>
  <si>
    <t>Auf Blatt Nachweis  war die JAZ mit COP übersetzt, statt mit CLA</t>
  </si>
  <si>
    <t>Aenderungen im Formular EN 101b / MINERGIE-Nachweis 2017</t>
  </si>
  <si>
    <t>MFH/Zweckbau</t>
  </si>
  <si>
    <t>Nur EFH</t>
  </si>
  <si>
    <t>Blatt "MINERGIE": AC72 - AI75, AI71: Ergänzung / Anpassung Eigenverbrauchsrate MFH / Zweichbauten</t>
  </si>
  <si>
    <t>Eigenverbrauchsrate bei einer Nutzungszone mit Zweckbau oder MFH neu Standardwert 20%</t>
  </si>
  <si>
    <t>Minimale Anzahl Wohneinheiten bei fehlender Eingabe</t>
  </si>
  <si>
    <t>Blatt "MINERGIE": N25-S25, minimale Wohneinheiten bei fehlender Eingabe einprogrammiert</t>
  </si>
  <si>
    <t>M26</t>
  </si>
  <si>
    <t>Gebäudehöhe</t>
  </si>
  <si>
    <r>
      <t>K</t>
    </r>
    <r>
      <rPr>
        <vertAlign val="subscript"/>
        <sz val="9"/>
        <rFont val="Arial"/>
        <family val="2"/>
      </rPr>
      <t>Gh</t>
    </r>
    <r>
      <rPr>
        <sz val="9"/>
        <rFont val="Arial"/>
        <family val="2"/>
      </rPr>
      <t xml:space="preserve"> = </t>
    </r>
  </si>
  <si>
    <t>Gaswärmepumpe, Heizung</t>
  </si>
  <si>
    <t>Gaswärmepumpe, Warmwasser</t>
  </si>
  <si>
    <t>Gaswärmepumpe, nur Heizung</t>
  </si>
  <si>
    <t>Gaswärmepumpe, nur Warmwasser</t>
  </si>
  <si>
    <t>V154</t>
  </si>
  <si>
    <t>V155</t>
  </si>
  <si>
    <t>W154</t>
  </si>
  <si>
    <t>W155</t>
  </si>
  <si>
    <t>Elektro-</t>
  </si>
  <si>
    <r>
      <t>Neue Eingabe Gebäudehöhe / MKZ,li neu inkl. K</t>
    </r>
    <r>
      <rPr>
        <vertAlign val="subscript"/>
        <sz val="10"/>
        <rFont val="Arial"/>
        <family val="2"/>
      </rPr>
      <t>Gh</t>
    </r>
  </si>
  <si>
    <r>
      <t>Blatt "MINERGIE": A26-K26, U30-Z37 Eingabe Gebäudehöhe und Korrekturfaktor K</t>
    </r>
    <r>
      <rPr>
        <vertAlign val="subscript"/>
        <sz val="10"/>
        <rFont val="Arial"/>
        <family val="2"/>
      </rPr>
      <t xml:space="preserve">Gh </t>
    </r>
    <r>
      <rPr>
        <sz val="10"/>
        <rFont val="Arial"/>
        <family val="2"/>
      </rPr>
      <t>für MKZ,li</t>
    </r>
  </si>
  <si>
    <t>Neue Wärmeerzeugungsart Gas-WP Heizung und Gas-WP WW</t>
  </si>
  <si>
    <t>Blatt "Standardwerte": S154-AU155 eingefügt + Bezug aller abhängigen Zellen auf Bereich vergrössert.</t>
  </si>
  <si>
    <t>WärmeerzeugungA, Auswahl-Nr.  (0: leer;  1: Oelfeuerung;  13: Elektro direkt,  58: Begleitheizbänder, 51: Gas-WP, etc.)</t>
  </si>
  <si>
    <t>WärmeerzeugungB, Auswahl-Nr.  (0: leer;  1: Oelfeuerung;  13: Elektro direkt,  58: Begleitheizbänder, 51: Gas-WP, etc.)</t>
  </si>
  <si>
    <t>WärmeerzeugungC, Auswahl-Nr.  (0: leer;  1: Oelfeuerung;  13: Elektro direkt,  58: Begleitheizbänder, 51: Gas-WP, etc.)</t>
  </si>
  <si>
    <t>WärmeerzeugungD, Auswahl-Nr.  (0: leer;  1: Oelfeuerung;  13: Elektro direkt,  58: Begleitheizbänder, 51: Gas-WP, etc.)</t>
  </si>
  <si>
    <r>
      <t>PV E</t>
    </r>
    <r>
      <rPr>
        <vertAlign val="subscript"/>
        <sz val="9"/>
        <rFont val="Arial"/>
        <family val="2"/>
      </rPr>
      <t>EB</t>
    </r>
    <r>
      <rPr>
        <sz val="9"/>
        <rFont val="Arial"/>
        <family val="2"/>
      </rPr>
      <t xml:space="preserve"> = </t>
    </r>
  </si>
  <si>
    <r>
      <t>PV E</t>
    </r>
    <r>
      <rPr>
        <vertAlign val="subscript"/>
        <sz val="10"/>
        <rFont val="Arial"/>
        <family val="2"/>
      </rPr>
      <t>Netz</t>
    </r>
    <r>
      <rPr>
        <sz val="10"/>
        <rFont val="Arial"/>
        <family val="2"/>
      </rPr>
      <t xml:space="preserve"> =</t>
    </r>
  </si>
  <si>
    <t>MKZ ohne PV</t>
  </si>
  <si>
    <t>Einheit prüfen !</t>
  </si>
  <si>
    <t>E47</t>
  </si>
  <si>
    <t>PV darf für die Berechnung der PV-Befreiung nicht in die MKZ eingerechnet werden.</t>
  </si>
  <si>
    <t>Blatt "MINERGIE": U71 - Z73: Berechnung MKZ ohne PV und Vergleich mit Grenzwert für PV-Befreiung.</t>
  </si>
  <si>
    <t>Blatt "Eingaben" D47, E47, E46: Warnmeldung wenn Qh,eff &lt; 30 MJ/m2</t>
  </si>
  <si>
    <t>Warnmeldung wenn Qh,eff &lt; 30 MJ/m2</t>
  </si>
  <si>
    <r>
      <t>Blatt "MINERGIE": O59-R59, MKZ</t>
    </r>
    <r>
      <rPr>
        <vertAlign val="subscript"/>
        <sz val="10"/>
        <rFont val="Arial"/>
        <family val="2"/>
      </rPr>
      <t>Geräte</t>
    </r>
    <r>
      <rPr>
        <sz val="10"/>
        <rFont val="Arial"/>
        <family val="2"/>
      </rPr>
      <t xml:space="preserve"> neu ohne Faktor 1.2</t>
    </r>
  </si>
  <si>
    <r>
      <t>MKZ</t>
    </r>
    <r>
      <rPr>
        <vertAlign val="subscript"/>
        <sz val="10"/>
        <rFont val="Arial"/>
        <family val="2"/>
      </rPr>
      <t>Geräte</t>
    </r>
    <r>
      <rPr>
        <sz val="10"/>
        <rFont val="Arial"/>
        <family val="2"/>
      </rPr>
      <t xml:space="preserve"> wird neu bei unbekanntem Mieterausbau nicht mehr mit Faktor 1.2 multipliziert</t>
    </r>
  </si>
  <si>
    <t>Blatt "Standardwerte": X74 - AA74, neue Grenzwerte</t>
  </si>
  <si>
    <t>Neue Anforderungen an die MKZ Verwaltung</t>
  </si>
  <si>
    <t>Blatt "Standardwerte": AD74 - AF74, neue Standardwerte für Nutzung Verwaltung</t>
  </si>
  <si>
    <t>Verwaltung: Neue Standardwerte MKZ,Bel = 23 / MKZ,Ger = 34 / MKZ,All = 9 kWh/m2a</t>
  </si>
  <si>
    <t>Wohnstrommodell:</t>
  </si>
  <si>
    <t>Wohnungen:</t>
  </si>
  <si>
    <t>Mittl. Wohnung</t>
  </si>
  <si>
    <t>m2/Whg</t>
  </si>
  <si>
    <t>S im Wohnstrommodell (für MKZ,li bei Wohnungsgrössen zwischen 69 bis 125 m2)</t>
  </si>
  <si>
    <t>S</t>
  </si>
  <si>
    <r>
      <t>MKZ</t>
    </r>
    <r>
      <rPr>
        <vertAlign val="subscript"/>
        <sz val="9"/>
        <rFont val="Arial"/>
        <family val="2"/>
      </rPr>
      <t>El,Wohnen,li</t>
    </r>
    <r>
      <rPr>
        <sz val="9"/>
        <rFont val="Arial"/>
        <family val="2"/>
      </rPr>
      <t xml:space="preserve"> </t>
    </r>
  </si>
  <si>
    <r>
      <t>MKZ</t>
    </r>
    <r>
      <rPr>
        <vertAlign val="subscript"/>
        <sz val="9"/>
        <rFont val="Arial"/>
        <family val="2"/>
      </rPr>
      <t>li,Wohnen</t>
    </r>
    <r>
      <rPr>
        <sz val="9"/>
        <rFont val="Arial"/>
        <family val="2"/>
      </rPr>
      <t xml:space="preserve"> </t>
    </r>
  </si>
  <si>
    <t>Blatt "Standardwerte": S55 - AE68, neue Tabelle für Werte S im Wohnstrommodell</t>
  </si>
  <si>
    <t>Wohnstrommodell: Tabellenwerte S für Wärme und PV im Wohnstrommodell</t>
  </si>
  <si>
    <t>Blatt "MINERGIE": U76 - AA84, neue Berechnung MKZ,li,wohnen gemäss Wohnstrommodell</t>
  </si>
  <si>
    <t>Wohnstrommodell: Berechnung des Grenzwertes MKZ,li,wohnen (Grösse Whg 69-125 m2)</t>
  </si>
  <si>
    <t>Blatt "MINERGIE": V34 - Y34, Formel angepasst mit Grenzwert nach Wohnstrommodell</t>
  </si>
  <si>
    <t>Wohnstrommodell: Neuer Grenzwerte für  MKZ wohnen  (Grösse Whg 69-125 m2)</t>
  </si>
  <si>
    <t>Beleuchtungsnachweis vorhanden</t>
  </si>
  <si>
    <t>Blatt "MINERGIE": B16, Text geändert in "Beleuchtungsnachweis vorhanden"</t>
  </si>
  <si>
    <t>Beleuchtungsnachweis neu immer fakultativ</t>
  </si>
  <si>
    <t>Blatt "MINERGIE": N53 - R53, falsch und wahr getauscht (Änderung in Frage B16)</t>
  </si>
  <si>
    <t>Blatt "Standardwerte": AD74, neuer Standardwerte für Nutzung Verwaltung</t>
  </si>
  <si>
    <t>Verwaltung: Neuer Standardwerte MKZ,Bel = 15 kWh/m2a</t>
  </si>
  <si>
    <t>Blatt "MINERGIE": Zeile 16 auf Zeile 44 verschoben</t>
  </si>
  <si>
    <t>Frage nach Beleuchtungsnachweis (alt Mieterausbau) neu bei der Beleuchtung</t>
  </si>
  <si>
    <t>Blatt "Standardwerte": X154 - Y155: Standardwert Gas-WP 1.3 / Grenzwert 1.7</t>
  </si>
  <si>
    <t>Neue Standardwerte Nutzungsgrad Gas-WP gemäss Angaben AWEL</t>
  </si>
  <si>
    <t>Neue Werte für Fossiler Anteil bei Fernwärme (10% / 30% / 60% / 90%)</t>
  </si>
  <si>
    <t>Blatt "Standardwerte": AS 151 - 153 / AS 188 neue Tabellenwerte</t>
  </si>
  <si>
    <t>EBF Zweckumbau</t>
  </si>
  <si>
    <t>Zweckumbau &gt; 250m2</t>
  </si>
  <si>
    <t>Zweckneubau oder umf. Sanierung</t>
  </si>
  <si>
    <t>erforderlich aber nicht eingereicht</t>
  </si>
  <si>
    <t>Zweckbau ohne Nachw</t>
  </si>
  <si>
    <t>Blatt "Standardwerte": BA6, keine Unterscheidung mehr zwischen Minergie / -P / -A</t>
  </si>
  <si>
    <t>Neu bei Minergie -P / -A kein Luftdichtheitskonzept mehr</t>
  </si>
  <si>
    <t>Blatt "MINERGIE": N53 - S100, Logik Beleuchtungsnachweis angepasst</t>
  </si>
  <si>
    <t>Beleuchtungsnachweis Eingabe vorhanden</t>
  </si>
  <si>
    <t>Blatt "MINERGIE": O53 - R54 / V38-Y39: Fehler in Formel behoben</t>
  </si>
  <si>
    <t>MKZ,Bel bei Zweckbauten, Sanierung, falsch berechnet</t>
  </si>
  <si>
    <t>Blatt "MINERGIE": U78 - Z86, Formeln für Wohnstrom-Modell angepasst</t>
  </si>
  <si>
    <t>Wohnstrommodell auf alle Wohnungsgrössen anwenden (variabel nur bei 69 m2 - 125 m2)</t>
  </si>
  <si>
    <t>Fehlende Eingabe Beleuchtungsnachweis</t>
  </si>
  <si>
    <t>Alle Eingaben vorhanden</t>
  </si>
  <si>
    <t>Blatt "Standardwerte": AN154 - AN155, Tabellenwerte geändert</t>
  </si>
  <si>
    <t>Neue MOP-Nr: Gas-WP heizen = 59 / Gas-WP ww = 60</t>
  </si>
  <si>
    <t>Blatt "Uebersicht": S37-S40, Formeln angepasst</t>
  </si>
  <si>
    <t>Falsche Darstellung PV bei MKZ &lt; 0</t>
  </si>
  <si>
    <t>Blatt "MINERGIE": D26-I26, Formatierung angegpasst, Eingeabe Gebäudehöhe auf D26</t>
  </si>
  <si>
    <t>Nur einmalige Eingabe Gebäudehöhe</t>
  </si>
  <si>
    <t>Konzept Luftdichtheitsmessung beigelegt?</t>
  </si>
  <si>
    <t>Bei Min-P / Min-A: Beilage Konzept Luftdichtheitsmessung erfoderglich</t>
  </si>
  <si>
    <t>Blatt "Standardwerte": BA6, Unterschied Text Min-A / Min-P / Minergie</t>
  </si>
  <si>
    <t>A reporter dans PVOpti</t>
  </si>
  <si>
    <t>Trasferire nel tool di calcolo PVopti</t>
  </si>
  <si>
    <t>Veuillez copier la cellule jaune et la reporter dans PVOpti :</t>
  </si>
  <si>
    <t>P.F: copiare i campi gialli e trasferire il contenuto in PVopti</t>
  </si>
  <si>
    <t>N° MOP: / Nom du projet : / Adresse du bâtiment :</t>
  </si>
  <si>
    <t>N.° MOP: /nome progetto: / indirizzo edificio</t>
  </si>
  <si>
    <t xml:space="preserve">N° de la parcelle : / Station météorologique : / LiebeLieu : </t>
  </si>
  <si>
    <t>mapp. N.°: / stazione climatica / indirizzo edificio</t>
  </si>
  <si>
    <t>Installation de production de chaleur</t>
  </si>
  <si>
    <t>Produzione di  calore</t>
  </si>
  <si>
    <t>Prod.  A</t>
  </si>
  <si>
    <t>Prod. A</t>
  </si>
  <si>
    <t>Prod. B</t>
  </si>
  <si>
    <t>Prod. C</t>
  </si>
  <si>
    <t>Prod. D</t>
  </si>
  <si>
    <t>Capacité utile (kWh)</t>
  </si>
  <si>
    <t>Capacità disponibile (kWh)</t>
  </si>
  <si>
    <t>Zona</t>
  </si>
  <si>
    <t>Catégorie de bâtiments</t>
  </si>
  <si>
    <t>Categoria edificio</t>
  </si>
  <si>
    <t>Surface de référence énergétique SRE (m2)</t>
  </si>
  <si>
    <t>Superficie di riferimento energetico AE (m2)</t>
  </si>
  <si>
    <t>Costruzione nuova</t>
  </si>
  <si>
    <t>Valore calcolato acqua calda</t>
  </si>
  <si>
    <t>Climatisation</t>
  </si>
  <si>
    <t>Freddo climatizzazione</t>
  </si>
  <si>
    <t>Ventilation</t>
  </si>
  <si>
    <t>Ventilazione</t>
  </si>
  <si>
    <t>Nombre d'unités d'habitation</t>
  </si>
  <si>
    <t>Numero di unità abitative</t>
  </si>
  <si>
    <t>Cons. ascenseur</t>
  </si>
  <si>
    <t>Fabbisogno ascensore</t>
  </si>
  <si>
    <t>Cons. des bandes de chauffage</t>
  </si>
  <si>
    <t>Fabbisogno nastri riscaldanti</t>
  </si>
  <si>
    <t>Réduction pour le lave-vaisselle</t>
  </si>
  <si>
    <t>Riduzione lavastoviglie</t>
  </si>
  <si>
    <t>Réduction pour le frigo et le congélateur</t>
  </si>
  <si>
    <t>Riduzione congelatore e frigorifero</t>
  </si>
  <si>
    <t>Réduction pour le lave-linge</t>
  </si>
  <si>
    <t>Riduzione macchina da lavare</t>
  </si>
  <si>
    <t>Réduction pour le sèche-linge</t>
  </si>
  <si>
    <t>Riduzione asciugatrice</t>
  </si>
  <si>
    <t>Réduction pour la cuisinières à induction</t>
  </si>
  <si>
    <t>Riduzione piano di cottura a induzione</t>
  </si>
  <si>
    <t>Réduction pour l'éclairage</t>
  </si>
  <si>
    <t xml:space="preserve">Riduzione illuminazione abitazione </t>
  </si>
  <si>
    <t>Réduction pour l'éclairage commun</t>
  </si>
  <si>
    <t>Riduzione illuminazione generale</t>
  </si>
  <si>
    <t>Réduction pour les équipements techniques</t>
  </si>
  <si>
    <t>Riduzione apparecchiature d’esercizio</t>
  </si>
  <si>
    <t>Besoin calculé pour l'éclairage des bâtiments du tertiaire</t>
  </si>
  <si>
    <t>Fabbisogno illuminazione ed. funzionale, valore calcolo</t>
  </si>
  <si>
    <t>Besoin calculé pour les appareils des bâtiments du tertiaire</t>
  </si>
  <si>
    <t>Fabbisogno apparecchi ed. funzionale, valore calcolo</t>
  </si>
  <si>
    <t>Besoin calculé pour l'équipement commun des bâtiments du tertiaire</t>
  </si>
  <si>
    <t>Fabbisogno IMP ed. funzionale, valore calcolo</t>
  </si>
  <si>
    <t>- Récupération de la chaleur des eaux usées en %</t>
  </si>
  <si>
    <t>- Recupero termico acque di scarico in %</t>
  </si>
  <si>
    <t>Hauteur du bâtiment</t>
  </si>
  <si>
    <t>Altezza edificio</t>
  </si>
  <si>
    <t>Pompe à chaleur à gaz, chauffage</t>
  </si>
  <si>
    <t>Pompa di calore a gas, riscaldamento</t>
  </si>
  <si>
    <t>Pompe à chaleur à gaz, eau chaude</t>
  </si>
  <si>
    <t>Pompa di calore a gas, acqua calda sanitaria</t>
  </si>
  <si>
    <t>Pompe à chaleur à gaz, seul. chauffage</t>
  </si>
  <si>
    <t>Pompa di calore a gas, solo riscaldamento</t>
  </si>
  <si>
    <t>Pompe à chaleur à gaz, seul. eau chaude</t>
  </si>
  <si>
    <t>Pompa di calore a gas, solo acqua calda</t>
  </si>
  <si>
    <t>Vérifier les unités !</t>
  </si>
  <si>
    <t>Controllare le unità!</t>
  </si>
  <si>
    <t>Justificatif des besoins pour l'éclairage est disponible</t>
  </si>
  <si>
    <t>Verifica fabbisogno per illuminazione presente</t>
  </si>
  <si>
    <t xml:space="preserve">Un concept d'étanchéité est-il joint ? </t>
  </si>
  <si>
    <t>Allegato il concetto di misura dell’ermeticità?</t>
  </si>
  <si>
    <t>kWh/m2   / Gebäudehöhe</t>
  </si>
  <si>
    <t>Blatt "MOP", A603-C603 ergänzt</t>
  </si>
  <si>
    <t>Gebäudehöhe neu auch in MOP-Schnittstelle</t>
  </si>
  <si>
    <t>Blatt "MINERGIE", E26 - I26, Z36: Formeln angepasst</t>
  </si>
  <si>
    <t>Gebäudehöhenkorrektur nur für Minergie und Minergie-P, nicht aber für Minergie-A</t>
  </si>
  <si>
    <t>Blatt "MINERGIE", B26 - E26 ausgeblendet bei Minergie-A</t>
  </si>
  <si>
    <t>Gebäusehöhe [m]</t>
  </si>
  <si>
    <t>Blatt "Standardwerte": X68 - AC68, Neue Tabellenwerte</t>
  </si>
  <si>
    <t>Neuer Standard.- Zuschlag S für Wohnstrommodell in Produktregelemt 2017.3</t>
  </si>
  <si>
    <t>kWh/m2 (mittl. EBF &lt;70m2 oder &gt;125m2)</t>
  </si>
  <si>
    <t>Blatt "MINERGIE", V84 - Y86, neue Formeln. Wohnstrommodell nur 70m2 &lt; mittl. EBF &lt; 125m2</t>
  </si>
  <si>
    <t>Wohnstrommodell gemäss Produktregelemt 2017.3 nur von 70 - 125 m2 mittl. EBF/Whg.</t>
  </si>
  <si>
    <t>Blatt "Standardwerte": Y154 - Y155, Wert auf 2.0 gesetzt</t>
  </si>
  <si>
    <t>Maximal möglicher Nutzungsgrad bei Gas-Wärmepumpe neu bei 2.0</t>
  </si>
  <si>
    <t>Blatt "MINERGIE", V83 - Y83, Formel angepasst</t>
  </si>
  <si>
    <t>Wohnstrommodell, Grenzwert immer mit Lift berechnet (egal ob vorhanden oder nicht).</t>
  </si>
  <si>
    <t>Blatt "Eingaben" K23, Mittelwert eingefügt</t>
  </si>
  <si>
    <t>Anzeige EBF-gewichteter Mittelwert der Gebäudehüllzahl</t>
  </si>
  <si>
    <r>
      <t>MKZ</t>
    </r>
    <r>
      <rPr>
        <vertAlign val="subscript"/>
        <sz val="9"/>
        <rFont val="Arial"/>
        <family val="2"/>
      </rPr>
      <t>li,Wohnen,&gt;125m2</t>
    </r>
    <r>
      <rPr>
        <sz val="9"/>
        <rFont val="Arial"/>
        <family val="2"/>
      </rPr>
      <t xml:space="preserve"> </t>
    </r>
  </si>
  <si>
    <r>
      <t>MKZ</t>
    </r>
    <r>
      <rPr>
        <vertAlign val="subscript"/>
        <sz val="9"/>
        <rFont val="Arial"/>
        <family val="2"/>
      </rPr>
      <t>li,Wohnen,70m2</t>
    </r>
  </si>
  <si>
    <t>Blatt "MINERGIE", V85 - Y86, Formel angepasst</t>
  </si>
  <si>
    <t>Wohnstrommodell, Grenzwert bei Wohnungsgrössen &lt; 70m2 auf Grenwert Whg 70m2 gesetzt</t>
  </si>
  <si>
    <t>v2.02</t>
  </si>
  <si>
    <t>Wohnstrommodell, min. Grenzwert bei Wohnungsgrössen &lt;125m2 auf Grenwert Whg 125m2 gesetzt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</si>
</sst>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 #,##0.00_ ;_ * \-#,##0.00_ ;_ * &quot;-&quot;??_ ;_ @_ "/>
    <numFmt numFmtId="164" formatCode="#,##0_ ;[Red]\-#,##0\ "/>
    <numFmt numFmtId="165" formatCode="0.00_ ;[Red]\-0.00\ "/>
    <numFmt numFmtId="166" formatCode="#,##0.00_ ;[Red]\-#,##0.00\ "/>
    <numFmt numFmtId="167" formatCode="0.0"/>
    <numFmt numFmtId="168" formatCode="#,##0.0_ ;[Red]\-#,##0.0\ "/>
    <numFmt numFmtId="169" formatCode="0.000"/>
    <numFmt numFmtId="170" formatCode="#,##0.0000_ ;[Red]\-#,##0.0000\ "/>
    <numFmt numFmtId="171" formatCode="0.0%"/>
    <numFmt numFmtId="172" formatCode="&quot;Fr.&quot;\ #,##0.00"/>
    <numFmt numFmtId="173" formatCode="#,##0.0"/>
    <numFmt numFmtId="174" formatCode="_ * #,##0_ ;_ * \-#,##0_ ;_ * &quot;-&quot;??_ ;_ @_ "/>
    <numFmt numFmtId="175" formatCode="#,##0.0_ ;\-#,##0.0\ "/>
    <numFmt numFmtId="176" formatCode="#,##0.000"/>
  </numFmts>
  <fonts count="121">
    <font>
      <sz val="10"/>
      <name val="Arial"/>
    </font>
    <font>
      <b/>
      <sz val="10"/>
      <name val="Arial"/>
      <family val="2"/>
    </font>
    <font>
      <sz val="10"/>
      <name val="Arial"/>
      <family val="2"/>
    </font>
    <font>
      <sz val="10"/>
      <name val="Arial"/>
      <family val="2"/>
    </font>
    <font>
      <b/>
      <sz val="12"/>
      <name val="Arial"/>
      <family val="2"/>
    </font>
    <font>
      <sz val="8"/>
      <name val="Arial"/>
      <family val="2"/>
    </font>
    <font>
      <sz val="8"/>
      <name val="Arial"/>
      <family val="2"/>
    </font>
    <font>
      <b/>
      <sz val="10"/>
      <color indexed="9"/>
      <name val="Arial"/>
      <family val="2"/>
    </font>
    <font>
      <vertAlign val="superscript"/>
      <sz val="8"/>
      <name val="Arial"/>
      <family val="2"/>
    </font>
    <font>
      <sz val="9"/>
      <name val="Arial"/>
      <family val="2"/>
    </font>
    <font>
      <b/>
      <sz val="9"/>
      <name val="Arial"/>
      <family val="2"/>
    </font>
    <font>
      <vertAlign val="subscript"/>
      <sz val="9"/>
      <name val="Arial"/>
      <family val="2"/>
    </font>
    <font>
      <sz val="9"/>
      <name val="Symbol"/>
      <family val="1"/>
      <charset val="2"/>
    </font>
    <font>
      <sz val="9"/>
      <name val="Arial"/>
      <family val="2"/>
    </font>
    <font>
      <b/>
      <sz val="9"/>
      <name val="Arial"/>
      <family val="2"/>
    </font>
    <font>
      <b/>
      <sz val="11"/>
      <name val="Arial"/>
      <family val="2"/>
    </font>
    <font>
      <sz val="6"/>
      <name val="Arial"/>
      <family val="2"/>
    </font>
    <font>
      <sz val="12"/>
      <name val="Wingdings"/>
      <charset val="2"/>
    </font>
    <font>
      <b/>
      <sz val="10"/>
      <name val="Arial"/>
      <family val="2"/>
    </font>
    <font>
      <sz val="9"/>
      <color indexed="8"/>
      <name val="Arial"/>
      <family val="2"/>
    </font>
    <font>
      <sz val="10"/>
      <color indexed="9"/>
      <name val="Arial"/>
      <family val="2"/>
    </font>
    <font>
      <sz val="10"/>
      <color indexed="8"/>
      <name val="Arial"/>
      <family val="2"/>
    </font>
    <font>
      <i/>
      <sz val="9"/>
      <color indexed="8"/>
      <name val="Arial"/>
      <family val="2"/>
    </font>
    <font>
      <sz val="9"/>
      <color indexed="9"/>
      <name val="Arial"/>
      <family val="2"/>
    </font>
    <font>
      <b/>
      <sz val="8"/>
      <name val="Arial"/>
      <family val="2"/>
    </font>
    <font>
      <sz val="9"/>
      <color indexed="10"/>
      <name val="Arial"/>
      <family val="2"/>
    </font>
    <font>
      <b/>
      <sz val="9"/>
      <color indexed="9"/>
      <name val="Symbol"/>
      <family val="1"/>
      <charset val="2"/>
    </font>
    <font>
      <b/>
      <sz val="9"/>
      <color indexed="9"/>
      <name val="Arial"/>
      <family val="2"/>
    </font>
    <font>
      <sz val="6"/>
      <color indexed="9"/>
      <name val="Arial"/>
      <family val="2"/>
    </font>
    <font>
      <b/>
      <sz val="10"/>
      <color indexed="12"/>
      <name val="Arial"/>
      <family val="2"/>
    </font>
    <font>
      <b/>
      <sz val="8"/>
      <color indexed="9"/>
      <name val="Arial"/>
      <family val="2"/>
    </font>
    <font>
      <b/>
      <i/>
      <sz val="8"/>
      <name val="Arial"/>
      <family val="2"/>
    </font>
    <font>
      <vertAlign val="subscript"/>
      <sz val="8"/>
      <name val="Arial"/>
      <family val="2"/>
    </font>
    <font>
      <sz val="8"/>
      <name val="Symbol"/>
      <family val="1"/>
      <charset val="2"/>
    </font>
    <font>
      <i/>
      <sz val="8"/>
      <name val="Arial"/>
      <family val="2"/>
    </font>
    <font>
      <b/>
      <sz val="10"/>
      <color indexed="8"/>
      <name val="Arial"/>
      <family val="2"/>
    </font>
    <font>
      <b/>
      <sz val="10"/>
      <color indexed="9"/>
      <name val="Symbol"/>
      <family val="1"/>
      <charset val="2"/>
    </font>
    <font>
      <b/>
      <sz val="10"/>
      <color indexed="9"/>
      <name val="Arial"/>
      <family val="2"/>
    </font>
    <font>
      <sz val="8"/>
      <color indexed="81"/>
      <name val="Tahoma"/>
      <family val="2"/>
    </font>
    <font>
      <sz val="6"/>
      <color indexed="10"/>
      <name val="Arial"/>
      <family val="2"/>
    </font>
    <font>
      <b/>
      <sz val="6"/>
      <color indexed="10"/>
      <name val="Arial"/>
      <family val="2"/>
    </font>
    <font>
      <sz val="10"/>
      <color indexed="10"/>
      <name val="Arial"/>
      <family val="2"/>
    </font>
    <font>
      <b/>
      <sz val="9"/>
      <color indexed="10"/>
      <name val="Arial"/>
      <family val="2"/>
    </font>
    <font>
      <b/>
      <sz val="8"/>
      <color indexed="10"/>
      <name val="Arial"/>
      <family val="2"/>
    </font>
    <font>
      <b/>
      <u/>
      <sz val="12"/>
      <color indexed="10"/>
      <name val="Arial"/>
      <family val="2"/>
    </font>
    <font>
      <b/>
      <sz val="7"/>
      <color indexed="10"/>
      <name val="Arial"/>
      <family val="2"/>
    </font>
    <font>
      <sz val="7"/>
      <color indexed="10"/>
      <name val="Arial"/>
      <family val="2"/>
    </font>
    <font>
      <sz val="8"/>
      <color indexed="8"/>
      <name val="Arial"/>
      <family val="2"/>
    </font>
    <font>
      <b/>
      <vertAlign val="subscript"/>
      <sz val="10"/>
      <color indexed="9"/>
      <name val="Arial"/>
      <family val="2"/>
    </font>
    <font>
      <b/>
      <sz val="8"/>
      <color indexed="81"/>
      <name val="Tahoma"/>
      <family val="2"/>
    </font>
    <font>
      <sz val="8"/>
      <color indexed="9"/>
      <name val="Arial"/>
      <family val="2"/>
    </font>
    <font>
      <b/>
      <sz val="10"/>
      <color indexed="10"/>
      <name val="Arial"/>
      <family val="2"/>
    </font>
    <font>
      <b/>
      <u/>
      <sz val="10"/>
      <color indexed="9"/>
      <name val="Arial"/>
      <family val="2"/>
    </font>
    <font>
      <sz val="7"/>
      <name val="Arial"/>
      <family val="2"/>
    </font>
    <font>
      <b/>
      <sz val="8"/>
      <color indexed="8"/>
      <name val="Arial"/>
      <family val="2"/>
    </font>
    <font>
      <b/>
      <u/>
      <sz val="18"/>
      <name val="Arial"/>
      <family val="2"/>
    </font>
    <font>
      <b/>
      <i/>
      <u/>
      <sz val="12"/>
      <name val="Arial"/>
      <family val="2"/>
    </font>
    <font>
      <b/>
      <u/>
      <sz val="12"/>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10"/>
      <name val="Arial"/>
      <family val="2"/>
    </font>
    <font>
      <b/>
      <sz val="14"/>
      <name val="Arial"/>
      <family val="2"/>
    </font>
    <font>
      <sz val="10"/>
      <color theme="1"/>
      <name val="Arial"/>
      <family val="2"/>
    </font>
    <font>
      <b/>
      <sz val="16"/>
      <name val="Arial"/>
      <family val="2"/>
    </font>
    <font>
      <sz val="11"/>
      <name val="Arial"/>
      <family val="2"/>
    </font>
    <font>
      <sz val="9"/>
      <color theme="1"/>
      <name val="Arial"/>
      <family val="2"/>
    </font>
    <font>
      <b/>
      <sz val="9"/>
      <color theme="1"/>
      <name val="Arial"/>
      <family val="2"/>
    </font>
    <font>
      <sz val="9"/>
      <color theme="0"/>
      <name val="Arial"/>
      <family val="2"/>
    </font>
    <font>
      <b/>
      <i/>
      <sz val="8"/>
      <color theme="1"/>
      <name val="Arial"/>
      <family val="2"/>
    </font>
    <font>
      <sz val="8"/>
      <color theme="1"/>
      <name val="Arial"/>
      <family val="2"/>
    </font>
    <font>
      <i/>
      <sz val="8"/>
      <color theme="1"/>
      <name val="Arial"/>
      <family val="2"/>
    </font>
    <font>
      <sz val="7"/>
      <color rgb="FFFF0000"/>
      <name val="Arial"/>
      <family val="2"/>
    </font>
    <font>
      <sz val="7"/>
      <color theme="1"/>
      <name val="Arial"/>
      <family val="2"/>
    </font>
    <font>
      <sz val="8"/>
      <color rgb="FFFF0000"/>
      <name val="Arial"/>
      <family val="2"/>
    </font>
    <font>
      <sz val="10"/>
      <color theme="0"/>
      <name val="Arial"/>
      <family val="2"/>
    </font>
    <font>
      <b/>
      <sz val="10"/>
      <color theme="0"/>
      <name val="Arial"/>
      <family val="2"/>
    </font>
    <font>
      <b/>
      <sz val="11"/>
      <color theme="0"/>
      <name val="Arial"/>
      <family val="2"/>
    </font>
    <font>
      <sz val="8"/>
      <color theme="0"/>
      <name val="Arial"/>
      <family val="2"/>
    </font>
    <font>
      <b/>
      <sz val="9"/>
      <color theme="0"/>
      <name val="Arial"/>
      <family val="2"/>
    </font>
    <font>
      <sz val="10"/>
      <name val="Arial"/>
      <family val="2"/>
    </font>
    <font>
      <b/>
      <sz val="10"/>
      <color theme="1"/>
      <name val="Arial"/>
      <family val="2"/>
    </font>
    <font>
      <b/>
      <sz val="9"/>
      <color rgb="FFFF0000"/>
      <name val="Arial"/>
      <family val="2"/>
    </font>
    <font>
      <sz val="10"/>
      <color rgb="FFFF0000"/>
      <name val="Arial"/>
      <family val="2"/>
    </font>
    <font>
      <sz val="7"/>
      <color theme="0"/>
      <name val="Arial"/>
      <family val="2"/>
    </font>
    <font>
      <sz val="8"/>
      <color indexed="81"/>
      <name val="Arial"/>
      <family val="2"/>
    </font>
    <font>
      <b/>
      <sz val="10"/>
      <color rgb="FFFF0000"/>
      <name val="Arial"/>
      <family val="2"/>
    </font>
    <font>
      <sz val="9"/>
      <color rgb="FFFF0000"/>
      <name val="Arial"/>
      <family val="2"/>
    </font>
    <font>
      <sz val="8"/>
      <color indexed="10"/>
      <name val="Arial"/>
      <family val="2"/>
    </font>
    <font>
      <sz val="9"/>
      <color indexed="81"/>
      <name val="Tahoma"/>
      <family val="2"/>
    </font>
    <font>
      <vertAlign val="subscript"/>
      <sz val="9"/>
      <color theme="1"/>
      <name val="Arial"/>
      <family val="2"/>
    </font>
    <font>
      <vertAlign val="subscript"/>
      <sz val="10"/>
      <name val="Arial"/>
      <family val="2"/>
    </font>
    <font>
      <b/>
      <sz val="9"/>
      <color theme="0"/>
      <name val="Symbol"/>
      <family val="1"/>
      <charset val="2"/>
    </font>
    <font>
      <b/>
      <i/>
      <sz val="9"/>
      <name val="Arial"/>
      <family val="2"/>
    </font>
    <font>
      <b/>
      <i/>
      <sz val="10"/>
      <color theme="1"/>
      <name val="Arial"/>
      <family val="2"/>
    </font>
    <font>
      <sz val="11"/>
      <color theme="1"/>
      <name val="Liberation Sans"/>
    </font>
    <font>
      <b/>
      <i/>
      <sz val="16"/>
      <color theme="1"/>
      <name val="Liberation Sans"/>
    </font>
    <font>
      <b/>
      <i/>
      <u/>
      <sz val="11"/>
      <color theme="1"/>
      <name val="Liberation Sans"/>
    </font>
    <font>
      <b/>
      <i/>
      <sz val="9"/>
      <color theme="1"/>
      <name val="Arial"/>
      <family val="2"/>
    </font>
    <font>
      <vertAlign val="superscript"/>
      <sz val="9"/>
      <name val="Arial"/>
      <family val="2"/>
    </font>
    <font>
      <b/>
      <i/>
      <vertAlign val="superscript"/>
      <sz val="9"/>
      <name val="Arial"/>
      <family val="2"/>
    </font>
    <font>
      <b/>
      <sz val="8"/>
      <color rgb="FFFF0000"/>
      <name val="Arial"/>
      <family val="2"/>
    </font>
    <font>
      <b/>
      <vertAlign val="subscript"/>
      <sz val="10"/>
      <name val="Arial"/>
      <family val="2"/>
    </font>
    <font>
      <sz val="9"/>
      <color indexed="81"/>
      <name val="Segoe UI"/>
      <family val="2"/>
    </font>
    <font>
      <b/>
      <sz val="7"/>
      <name val="Arial"/>
      <family val="2"/>
    </font>
    <font>
      <b/>
      <sz val="11"/>
      <color theme="1"/>
      <name val="Calibri"/>
      <family val="2"/>
      <scheme val="minor"/>
    </font>
    <font>
      <b/>
      <i/>
      <sz val="9"/>
      <color rgb="FFFF0000"/>
      <name val="Arial"/>
      <family val="2"/>
    </font>
  </fonts>
  <fills count="4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43"/>
        <bgColor indexed="64"/>
      </patternFill>
    </fill>
    <fill>
      <patternFill patternType="solid">
        <fgColor indexed="9"/>
        <bgColor indexed="64"/>
      </patternFill>
    </fill>
    <fill>
      <patternFill patternType="solid">
        <fgColor indexed="48"/>
        <bgColor indexed="64"/>
      </patternFill>
    </fill>
    <fill>
      <patternFill patternType="solid">
        <fgColor indexed="12"/>
        <bgColor indexed="64"/>
      </patternFill>
    </fill>
    <fill>
      <patternFill patternType="gray0625">
        <fgColor indexed="9"/>
        <bgColor indexed="9"/>
      </patternFill>
    </fill>
    <fill>
      <patternFill patternType="solid">
        <fgColor indexed="13"/>
        <bgColor indexed="64"/>
      </patternFill>
    </fill>
    <fill>
      <patternFill patternType="solid">
        <fgColor indexed="46"/>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56"/>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theme="7" tint="0.39997558519241921"/>
        <bgColor indexed="64"/>
      </patternFill>
    </fill>
    <fill>
      <patternFill patternType="solid">
        <fgColor rgb="FFCC99FF"/>
        <bgColor indexed="64"/>
      </patternFill>
    </fill>
    <fill>
      <patternFill patternType="solid">
        <fgColor rgb="FFCCFF99"/>
        <bgColor indexed="64"/>
      </patternFill>
    </fill>
    <fill>
      <patternFill patternType="solid">
        <fgColor rgb="FF0000FF"/>
        <bgColor indexed="64"/>
      </patternFill>
    </fill>
    <fill>
      <patternFill patternType="solid">
        <fgColor rgb="FFCCFF66"/>
        <bgColor indexed="64"/>
      </patternFill>
    </fill>
    <fill>
      <patternFill patternType="solid">
        <fgColor rgb="FFEEFFDD"/>
        <bgColor indexed="64"/>
      </patternFill>
    </fill>
    <fill>
      <patternFill patternType="solid">
        <fgColor indexed="44"/>
        <bgColor indexed="64"/>
      </patternFill>
    </fill>
    <fill>
      <patternFill patternType="solid">
        <fgColor indexed="29"/>
        <bgColor indexed="64"/>
      </patternFill>
    </fill>
    <fill>
      <patternFill patternType="gray0625">
        <fgColor indexed="9"/>
        <bgColor theme="0"/>
      </patternFill>
    </fill>
    <fill>
      <patternFill patternType="solid">
        <fgColor rgb="FF00CCFF"/>
        <bgColor indexed="64"/>
      </patternFill>
    </fill>
    <fill>
      <patternFill patternType="solid">
        <fgColor rgb="FFFFFF66"/>
        <bgColor indexed="64"/>
      </patternFill>
    </fill>
  </fills>
  <borders count="11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medium">
        <color indexed="64"/>
      </bottom>
      <diagonal/>
    </border>
    <border>
      <left/>
      <right/>
      <top/>
      <bottom style="hair">
        <color indexed="64"/>
      </bottom>
      <diagonal/>
    </border>
    <border>
      <left/>
      <right/>
      <top style="thin">
        <color indexed="64"/>
      </top>
      <bottom style="hair">
        <color indexed="64"/>
      </bottom>
      <diagonal/>
    </border>
    <border>
      <left style="medium">
        <color indexed="64"/>
      </left>
      <right style="thin">
        <color indexed="64"/>
      </right>
      <top/>
      <bottom/>
      <diagonal/>
    </border>
    <border>
      <left style="hair">
        <color indexed="64"/>
      </left>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thin">
        <color auto="1"/>
      </top>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auto="1"/>
      </top>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indexed="64"/>
      </right>
      <top style="thin">
        <color auto="1"/>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s>
  <cellStyleXfs count="56">
    <xf numFmtId="0" fontId="0" fillId="0" borderId="0"/>
    <xf numFmtId="0" fontId="58" fillId="7" borderId="0" applyNumberFormat="0" applyBorder="0" applyAlignment="0" applyProtection="0"/>
    <xf numFmtId="0" fontId="58" fillId="8"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6" borderId="0" applyNumberFormat="0" applyBorder="0" applyAlignment="0" applyProtection="0"/>
    <xf numFmtId="0" fontId="58" fillId="5" borderId="0" applyNumberFormat="0" applyBorder="0" applyAlignment="0" applyProtection="0"/>
    <xf numFmtId="0" fontId="58" fillId="2" borderId="0" applyNumberFormat="0" applyBorder="0" applyAlignment="0" applyProtection="0"/>
    <xf numFmtId="0" fontId="58" fillId="3" borderId="0" applyNumberFormat="0" applyBorder="0" applyAlignment="0" applyProtection="0"/>
    <xf numFmtId="0" fontId="58" fillId="12" borderId="0" applyNumberFormat="0" applyBorder="0" applyAlignment="0" applyProtection="0"/>
    <xf numFmtId="0" fontId="58" fillId="10" borderId="0" applyNumberFormat="0" applyBorder="0" applyAlignment="0" applyProtection="0"/>
    <xf numFmtId="0" fontId="58" fillId="2" borderId="0" applyNumberFormat="0" applyBorder="0" applyAlignment="0" applyProtection="0"/>
    <xf numFmtId="0" fontId="58" fillId="13" borderId="0" applyNumberFormat="0" applyBorder="0" applyAlignment="0" applyProtection="0"/>
    <xf numFmtId="0" fontId="59" fillId="15" borderId="0" applyNumberFormat="0" applyBorder="0" applyAlignment="0" applyProtection="0"/>
    <xf numFmtId="0" fontId="59" fillId="3" borderId="0" applyNumberFormat="0" applyBorder="0" applyAlignment="0" applyProtection="0"/>
    <xf numFmtId="0" fontId="59" fillId="12"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60" fillId="20" borderId="2" applyNumberFormat="0" applyAlignment="0" applyProtection="0"/>
    <xf numFmtId="0" fontId="61" fillId="0" borderId="3" applyNumberFormat="0" applyFill="0" applyAlignment="0" applyProtection="0"/>
    <xf numFmtId="0" fontId="62" fillId="21" borderId="4" applyNumberFormat="0" applyAlignment="0" applyProtection="0"/>
    <xf numFmtId="0" fontId="59" fillId="22" borderId="0" applyNumberFormat="0" applyBorder="0" applyAlignment="0" applyProtection="0"/>
    <xf numFmtId="0" fontId="59" fillId="19" borderId="0" applyNumberFormat="0" applyBorder="0" applyAlignment="0" applyProtection="0"/>
    <xf numFmtId="0" fontId="59" fillId="23"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4" borderId="0" applyNumberFormat="0" applyBorder="0" applyAlignment="0" applyProtection="0"/>
    <xf numFmtId="0" fontId="63" fillId="5" borderId="2" applyNumberFormat="0" applyAlignment="0" applyProtection="0"/>
    <xf numFmtId="0" fontId="64" fillId="11" borderId="0" applyNumberFormat="0" applyBorder="0" applyAlignment="0" applyProtection="0"/>
    <xf numFmtId="0" fontId="2" fillId="4" borderId="5" applyNumberFormat="0" applyFont="0" applyAlignment="0" applyProtection="0"/>
    <xf numFmtId="0" fontId="65" fillId="20" borderId="1" applyNumberFormat="0" applyAlignment="0" applyProtection="0"/>
    <xf numFmtId="9" fontId="2" fillId="0" borderId="0" applyFont="0" applyFill="0" applyBorder="0" applyAlignment="0" applyProtection="0"/>
    <xf numFmtId="0" fontId="2" fillId="0" borderId="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6" applyNumberFormat="0" applyFill="0" applyAlignment="0" applyProtection="0"/>
    <xf numFmtId="0" fontId="70" fillId="0" borderId="7" applyNumberFormat="0" applyFill="0" applyAlignment="0" applyProtection="0"/>
    <xf numFmtId="0" fontId="71" fillId="0" borderId="8" applyNumberFormat="0" applyFill="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8" borderId="0" applyNumberFormat="0" applyBorder="0" applyAlignment="0" applyProtection="0"/>
    <xf numFmtId="0" fontId="74" fillId="9" borderId="0" applyNumberFormat="0" applyBorder="0" applyAlignment="0" applyProtection="0"/>
    <xf numFmtId="43" fontId="94" fillId="0" borderId="0" applyFont="0" applyFill="0" applyBorder="0" applyAlignment="0" applyProtection="0"/>
    <xf numFmtId="0" fontId="109" fillId="0" borderId="0"/>
    <xf numFmtId="0" fontId="110" fillId="0" borderId="0">
      <alignment horizontal="center"/>
    </xf>
    <xf numFmtId="0" fontId="110" fillId="0" borderId="0">
      <alignment horizontal="center" textRotation="90"/>
    </xf>
    <xf numFmtId="0" fontId="111" fillId="0" borderId="0"/>
    <xf numFmtId="0" fontId="111" fillId="0" borderId="0"/>
    <xf numFmtId="0" fontId="60" fillId="20" borderId="109" applyNumberFormat="0" applyAlignment="0" applyProtection="0"/>
    <xf numFmtId="0" fontId="63" fillId="5" borderId="109" applyNumberFormat="0" applyAlignment="0" applyProtection="0"/>
    <xf numFmtId="0" fontId="2" fillId="4" borderId="110" applyNumberFormat="0" applyFont="0" applyAlignment="0" applyProtection="0"/>
    <xf numFmtId="0" fontId="65" fillId="20" borderId="108" applyNumberFormat="0" applyAlignment="0" applyProtection="0"/>
    <xf numFmtId="0" fontId="72" fillId="0" borderId="111" applyNumberFormat="0" applyFill="0" applyAlignment="0" applyProtection="0"/>
    <xf numFmtId="43" fontId="2" fillId="0" borderId="0" applyFont="0" applyFill="0" applyBorder="0" applyAlignment="0" applyProtection="0"/>
  </cellStyleXfs>
  <cellXfs count="2231">
    <xf numFmtId="0" fontId="0" fillId="0" borderId="0" xfId="0"/>
    <xf numFmtId="0" fontId="3" fillId="0" borderId="0" xfId="0" applyFont="1"/>
    <xf numFmtId="0" fontId="0" fillId="0" borderId="0" xfId="0" applyFill="1" applyBorder="1"/>
    <xf numFmtId="0" fontId="9" fillId="25" borderId="0" xfId="0" applyFont="1" applyFill="1" applyAlignment="1" applyProtection="1">
      <alignment vertical="center"/>
    </xf>
    <xf numFmtId="164" fontId="9" fillId="25" borderId="0" xfId="0" applyNumberFormat="1" applyFont="1" applyFill="1" applyAlignment="1" applyProtection="1">
      <alignment horizontal="right" vertical="center"/>
    </xf>
    <xf numFmtId="0" fontId="9" fillId="25" borderId="0" xfId="0" applyFont="1" applyFill="1" applyProtection="1"/>
    <xf numFmtId="0" fontId="15" fillId="25" borderId="0" xfId="0" applyFont="1" applyFill="1" applyAlignment="1" applyProtection="1">
      <alignment vertical="center"/>
    </xf>
    <xf numFmtId="0" fontId="16" fillId="25" borderId="0" xfId="0" quotePrefix="1" applyFont="1" applyFill="1" applyAlignment="1" applyProtection="1">
      <alignment horizontal="right" vertical="center"/>
    </xf>
    <xf numFmtId="0" fontId="9" fillId="25" borderId="0" xfId="0" applyFont="1" applyFill="1" applyBorder="1" applyAlignment="1" applyProtection="1">
      <alignment horizontal="left" vertical="center"/>
    </xf>
    <xf numFmtId="0" fontId="9" fillId="25" borderId="0" xfId="0" applyFont="1" applyFill="1" applyBorder="1" applyAlignment="1" applyProtection="1">
      <alignment vertical="center"/>
    </xf>
    <xf numFmtId="0" fontId="5" fillId="25" borderId="17" xfId="0" applyFont="1" applyFill="1" applyBorder="1" applyAlignment="1" applyProtection="1">
      <alignment vertical="center"/>
    </xf>
    <xf numFmtId="0" fontId="9" fillId="25" borderId="18" xfId="0" applyFont="1" applyFill="1" applyBorder="1" applyAlignment="1" applyProtection="1">
      <alignment vertical="center"/>
    </xf>
    <xf numFmtId="0" fontId="5" fillId="25" borderId="10" xfId="0" applyFont="1" applyFill="1" applyBorder="1" applyAlignment="1" applyProtection="1">
      <alignment vertical="center"/>
    </xf>
    <xf numFmtId="0" fontId="5" fillId="25" borderId="11" xfId="0" applyFont="1" applyFill="1" applyBorder="1" applyAlignment="1" applyProtection="1">
      <alignment vertical="center"/>
    </xf>
    <xf numFmtId="0" fontId="13" fillId="25" borderId="18" xfId="0" applyFont="1" applyFill="1" applyBorder="1" applyAlignment="1" applyProtection="1">
      <alignment vertical="center"/>
    </xf>
    <xf numFmtId="0" fontId="5" fillId="25" borderId="18" xfId="0" applyFont="1" applyFill="1" applyBorder="1" applyAlignment="1" applyProtection="1">
      <alignment horizontal="right" vertical="center"/>
    </xf>
    <xf numFmtId="0" fontId="5" fillId="25" borderId="18" xfId="0" applyFont="1" applyFill="1" applyBorder="1" applyAlignment="1" applyProtection="1">
      <alignment horizontal="center" vertical="center"/>
    </xf>
    <xf numFmtId="0" fontId="5" fillId="25" borderId="18" xfId="0" applyFont="1" applyFill="1" applyBorder="1" applyAlignment="1" applyProtection="1">
      <alignment vertical="center"/>
    </xf>
    <xf numFmtId="0" fontId="5" fillId="25" borderId="19" xfId="0" applyFont="1" applyFill="1" applyBorder="1" applyAlignment="1" applyProtection="1">
      <alignment vertical="center"/>
    </xf>
    <xf numFmtId="0" fontId="14" fillId="25" borderId="18" xfId="0" applyFont="1" applyFill="1" applyBorder="1" applyAlignment="1" applyProtection="1">
      <alignment vertical="center"/>
    </xf>
    <xf numFmtId="0" fontId="14" fillId="25" borderId="19" xfId="0" applyFont="1" applyFill="1" applyBorder="1" applyAlignment="1" applyProtection="1">
      <alignment horizontal="center" vertical="center"/>
    </xf>
    <xf numFmtId="0" fontId="9" fillId="25" borderId="23" xfId="0" applyFont="1" applyFill="1" applyBorder="1" applyAlignment="1" applyProtection="1">
      <alignment vertical="center"/>
    </xf>
    <xf numFmtId="0" fontId="13" fillId="25" borderId="23" xfId="0" applyFont="1" applyFill="1" applyBorder="1" applyAlignment="1" applyProtection="1">
      <alignment vertical="center"/>
    </xf>
    <xf numFmtId="0" fontId="9" fillId="25" borderId="24" xfId="0" applyFont="1" applyFill="1" applyBorder="1" applyAlignment="1" applyProtection="1">
      <alignment vertical="center"/>
    </xf>
    <xf numFmtId="0" fontId="13" fillId="25" borderId="17" xfId="0" applyFont="1" applyFill="1" applyBorder="1" applyAlignment="1" applyProtection="1">
      <alignment vertical="center"/>
    </xf>
    <xf numFmtId="0" fontId="13" fillId="25" borderId="0" xfId="0" applyFont="1" applyFill="1" applyAlignment="1" applyProtection="1">
      <alignment vertical="center"/>
    </xf>
    <xf numFmtId="0" fontId="13" fillId="25" borderId="0" xfId="0" applyFont="1" applyFill="1" applyBorder="1" applyAlignment="1" applyProtection="1">
      <alignment vertical="center"/>
    </xf>
    <xf numFmtId="0" fontId="0" fillId="25" borderId="0" xfId="0" applyFill="1"/>
    <xf numFmtId="0" fontId="7" fillId="26" borderId="15" xfId="0" applyFont="1" applyFill="1" applyBorder="1"/>
    <xf numFmtId="0" fontId="7" fillId="27" borderId="15" xfId="0" applyFont="1" applyFill="1" applyBorder="1"/>
    <xf numFmtId="0" fontId="0" fillId="27" borderId="10" xfId="0" applyFill="1" applyBorder="1"/>
    <xf numFmtId="0" fontId="0" fillId="27" borderId="11" xfId="0" applyFill="1" applyBorder="1"/>
    <xf numFmtId="0" fontId="7" fillId="27" borderId="11" xfId="0" applyFont="1" applyFill="1" applyBorder="1"/>
    <xf numFmtId="0" fontId="3" fillId="25" borderId="0" xfId="0" applyFont="1" applyFill="1"/>
    <xf numFmtId="0" fontId="3" fillId="25" borderId="15" xfId="0" applyFont="1" applyFill="1" applyBorder="1"/>
    <xf numFmtId="0" fontId="0" fillId="25" borderId="10" xfId="0" applyFill="1" applyBorder="1"/>
    <xf numFmtId="0" fontId="0" fillId="25" borderId="15" xfId="0" applyFill="1" applyBorder="1"/>
    <xf numFmtId="0" fontId="9" fillId="25" borderId="26" xfId="0" applyFont="1" applyFill="1" applyBorder="1"/>
    <xf numFmtId="0" fontId="9" fillId="25" borderId="26" xfId="0" applyFont="1" applyFill="1" applyBorder="1" applyAlignment="1">
      <alignment horizontal="center"/>
    </xf>
    <xf numFmtId="0" fontId="12" fillId="25" borderId="26" xfId="0" applyFont="1" applyFill="1" applyBorder="1" applyAlignment="1">
      <alignment horizontal="center"/>
    </xf>
    <xf numFmtId="0" fontId="0" fillId="25" borderId="27" xfId="0" applyFill="1" applyBorder="1" applyAlignment="1">
      <alignment horizontal="center"/>
    </xf>
    <xf numFmtId="0" fontId="3" fillId="25" borderId="28" xfId="0" applyFont="1" applyFill="1" applyBorder="1"/>
    <xf numFmtId="0" fontId="0" fillId="25" borderId="0" xfId="0" applyFill="1" applyBorder="1"/>
    <xf numFmtId="0" fontId="0" fillId="25" borderId="28" xfId="0" applyFill="1" applyBorder="1"/>
    <xf numFmtId="0" fontId="0" fillId="25" borderId="29" xfId="0" applyFill="1" applyBorder="1" applyAlignment="1">
      <alignment horizontal="center"/>
    </xf>
    <xf numFmtId="0" fontId="0" fillId="25" borderId="26" xfId="0" applyFill="1" applyBorder="1" applyAlignment="1">
      <alignment horizontal="center"/>
    </xf>
    <xf numFmtId="0" fontId="9" fillId="25" borderId="0" xfId="0" applyFont="1" applyFill="1"/>
    <xf numFmtId="0" fontId="9" fillId="25" borderId="30" xfId="0" applyFont="1" applyFill="1" applyBorder="1"/>
    <xf numFmtId="0" fontId="9" fillId="25" borderId="30" xfId="0" applyFont="1" applyFill="1" applyBorder="1" applyAlignment="1">
      <alignment horizontal="center"/>
    </xf>
    <xf numFmtId="0" fontId="0" fillId="25" borderId="30" xfId="0" applyFill="1" applyBorder="1" applyAlignment="1">
      <alignment horizontal="center"/>
    </xf>
    <xf numFmtId="0" fontId="9" fillId="25" borderId="0" xfId="0" applyFont="1" applyFill="1" applyBorder="1" applyAlignment="1">
      <alignment horizontal="center"/>
    </xf>
    <xf numFmtId="0" fontId="9" fillId="25" borderId="27" xfId="0" applyFont="1" applyFill="1" applyBorder="1" applyAlignment="1">
      <alignment horizontal="center"/>
    </xf>
    <xf numFmtId="0" fontId="13" fillId="25" borderId="29" xfId="0" applyFont="1" applyFill="1" applyBorder="1" applyAlignment="1" applyProtection="1">
      <alignment horizontal="center"/>
    </xf>
    <xf numFmtId="0" fontId="0" fillId="25" borderId="29" xfId="0" applyFill="1" applyBorder="1"/>
    <xf numFmtId="0" fontId="7" fillId="26" borderId="20" xfId="0" applyFont="1" applyFill="1" applyBorder="1"/>
    <xf numFmtId="0" fontId="0" fillId="26" borderId="22" xfId="0" applyFill="1" applyBorder="1"/>
    <xf numFmtId="0" fontId="0" fillId="25" borderId="28" xfId="0" applyFill="1" applyBorder="1" applyAlignment="1">
      <alignment horizontal="center"/>
    </xf>
    <xf numFmtId="0" fontId="0" fillId="25" borderId="28" xfId="0" applyFill="1" applyBorder="1" applyAlignment="1">
      <alignment horizontal="right"/>
    </xf>
    <xf numFmtId="167" fontId="13" fillId="25" borderId="29" xfId="0" applyNumberFormat="1" applyFont="1" applyFill="1" applyBorder="1" applyAlignment="1" applyProtection="1">
      <alignment horizontal="center"/>
    </xf>
    <xf numFmtId="0" fontId="3" fillId="25" borderId="17" xfId="0" applyFont="1" applyFill="1" applyBorder="1"/>
    <xf numFmtId="0" fontId="0" fillId="25" borderId="18" xfId="0" applyFill="1" applyBorder="1"/>
    <xf numFmtId="0" fontId="0" fillId="25" borderId="17" xfId="0" applyFill="1" applyBorder="1" applyAlignment="1">
      <alignment horizontal="right"/>
    </xf>
    <xf numFmtId="0" fontId="3" fillId="25" borderId="0" xfId="0" applyFont="1" applyFill="1" applyBorder="1"/>
    <xf numFmtId="0" fontId="7" fillId="26" borderId="10" xfId="0" applyFont="1" applyFill="1" applyBorder="1"/>
    <xf numFmtId="0" fontId="7" fillId="26" borderId="11" xfId="0" applyFont="1" applyFill="1" applyBorder="1"/>
    <xf numFmtId="0" fontId="20" fillId="26" borderId="17" xfId="0" applyFont="1" applyFill="1" applyBorder="1"/>
    <xf numFmtId="0" fontId="7" fillId="26" borderId="18" xfId="0" applyFont="1" applyFill="1" applyBorder="1"/>
    <xf numFmtId="0" fontId="7" fillId="26" borderId="19" xfId="0" applyFont="1" applyFill="1" applyBorder="1"/>
    <xf numFmtId="0" fontId="13" fillId="25" borderId="19" xfId="0" applyFont="1" applyFill="1" applyBorder="1" applyAlignment="1" applyProtection="1">
      <alignment horizontal="center"/>
    </xf>
    <xf numFmtId="0" fontId="13" fillId="25" borderId="28" xfId="0" applyFont="1" applyFill="1" applyBorder="1" applyAlignment="1" applyProtection="1">
      <alignment vertical="center"/>
    </xf>
    <xf numFmtId="0" fontId="5" fillId="25" borderId="0" xfId="0" applyFont="1" applyFill="1" applyBorder="1" applyAlignment="1" applyProtection="1">
      <alignment horizontal="right" vertical="center"/>
    </xf>
    <xf numFmtId="2" fontId="13" fillId="25" borderId="0" xfId="0" applyNumberFormat="1" applyFont="1" applyFill="1" applyBorder="1" applyAlignment="1" applyProtection="1">
      <alignment horizontal="center" vertical="center"/>
    </xf>
    <xf numFmtId="0" fontId="5" fillId="25" borderId="29" xfId="0" applyFont="1" applyFill="1" applyBorder="1" applyAlignment="1" applyProtection="1">
      <alignment horizontal="left" vertical="center"/>
    </xf>
    <xf numFmtId="2" fontId="13" fillId="25" borderId="18" xfId="0" applyNumberFormat="1" applyFont="1" applyFill="1" applyBorder="1" applyAlignment="1" applyProtection="1">
      <alignment horizontal="center" vertical="center"/>
    </xf>
    <xf numFmtId="0" fontId="5" fillId="25" borderId="19" xfId="0" applyFont="1" applyFill="1" applyBorder="1" applyAlignment="1" applyProtection="1">
      <alignment horizontal="left" vertical="center"/>
    </xf>
    <xf numFmtId="0" fontId="0" fillId="26" borderId="10" xfId="0" applyFill="1" applyBorder="1"/>
    <xf numFmtId="0" fontId="0" fillId="26" borderId="11" xfId="0" applyFill="1" applyBorder="1"/>
    <xf numFmtId="0" fontId="7" fillId="26" borderId="14" xfId="0" applyFont="1" applyFill="1" applyBorder="1"/>
    <xf numFmtId="0" fontId="20" fillId="26" borderId="14" xfId="0" applyFont="1" applyFill="1" applyBorder="1" applyAlignment="1">
      <alignment horizontal="right"/>
    </xf>
    <xf numFmtId="0" fontId="20" fillId="26" borderId="14" xfId="0" applyFont="1" applyFill="1" applyBorder="1"/>
    <xf numFmtId="0" fontId="20" fillId="26" borderId="22" xfId="0" applyFont="1" applyFill="1" applyBorder="1" applyAlignment="1">
      <alignment horizontal="center"/>
    </xf>
    <xf numFmtId="0" fontId="19" fillId="25" borderId="26" xfId="0" applyFont="1" applyFill="1" applyBorder="1" applyAlignment="1">
      <alignment horizontal="left"/>
    </xf>
    <xf numFmtId="0" fontId="19" fillId="25" borderId="26" xfId="0" applyFont="1" applyFill="1" applyBorder="1" applyAlignment="1">
      <alignment horizontal="center"/>
    </xf>
    <xf numFmtId="0" fontId="19" fillId="25" borderId="28" xfId="0" applyFont="1" applyFill="1" applyBorder="1" applyAlignment="1">
      <alignment horizontal="center"/>
    </xf>
    <xf numFmtId="0" fontId="21" fillId="25" borderId="29" xfId="0" applyFont="1" applyFill="1" applyBorder="1" applyAlignment="1">
      <alignment horizontal="center"/>
    </xf>
    <xf numFmtId="0" fontId="0" fillId="25" borderId="0" xfId="0" applyFill="1" applyBorder="1" applyAlignment="1">
      <alignment horizontal="center"/>
    </xf>
    <xf numFmtId="0" fontId="22" fillId="25" borderId="26" xfId="0" applyFont="1" applyFill="1" applyBorder="1" applyAlignment="1">
      <alignment horizontal="left"/>
    </xf>
    <xf numFmtId="0" fontId="19" fillId="25" borderId="29" xfId="0" applyFont="1" applyFill="1" applyBorder="1" applyAlignment="1">
      <alignment horizontal="center"/>
    </xf>
    <xf numFmtId="0" fontId="9" fillId="25" borderId="27" xfId="0" applyFont="1" applyFill="1" applyBorder="1" applyAlignment="1">
      <alignment horizontal="left"/>
    </xf>
    <xf numFmtId="0" fontId="0" fillId="25" borderId="27" xfId="0" applyFill="1" applyBorder="1"/>
    <xf numFmtId="167" fontId="9" fillId="25" borderId="27" xfId="0" applyNumberFormat="1" applyFont="1" applyFill="1" applyBorder="1" applyAlignment="1">
      <alignment horizontal="center"/>
    </xf>
    <xf numFmtId="1" fontId="9" fillId="25" borderId="26" xfId="0" applyNumberFormat="1" applyFont="1" applyFill="1" applyBorder="1" applyAlignment="1">
      <alignment horizontal="left"/>
    </xf>
    <xf numFmtId="1" fontId="9" fillId="25" borderId="26" xfId="0" applyNumberFormat="1" applyFont="1" applyFill="1" applyBorder="1" applyAlignment="1">
      <alignment horizontal="center"/>
    </xf>
    <xf numFmtId="167" fontId="9" fillId="25" borderId="26" xfId="0" applyNumberFormat="1" applyFont="1" applyFill="1" applyBorder="1" applyAlignment="1">
      <alignment horizontal="center"/>
    </xf>
    <xf numFmtId="1" fontId="0" fillId="25" borderId="0" xfId="0" applyNumberFormat="1" applyFill="1" applyBorder="1" applyAlignment="1">
      <alignment horizontal="center"/>
    </xf>
    <xf numFmtId="0" fontId="0" fillId="25" borderId="17" xfId="0" applyFill="1" applyBorder="1"/>
    <xf numFmtId="0" fontId="13" fillId="25" borderId="0" xfId="0" applyFont="1" applyFill="1" applyAlignment="1" applyProtection="1">
      <alignment horizontal="right" vertical="center"/>
    </xf>
    <xf numFmtId="0" fontId="13" fillId="25" borderId="0" xfId="0" applyFont="1" applyFill="1" applyProtection="1"/>
    <xf numFmtId="0" fontId="13" fillId="25" borderId="15" xfId="0" applyFont="1" applyFill="1" applyBorder="1" applyProtection="1"/>
    <xf numFmtId="0" fontId="13" fillId="25" borderId="0" xfId="0" applyFont="1" applyFill="1" applyBorder="1" applyAlignment="1" applyProtection="1">
      <alignment horizontal="center" vertical="center"/>
    </xf>
    <xf numFmtId="0" fontId="0" fillId="25" borderId="29" xfId="0" applyFill="1" applyBorder="1" applyAlignment="1" applyProtection="1">
      <alignment horizontal="center"/>
      <protection locked="0"/>
    </xf>
    <xf numFmtId="0" fontId="13" fillId="25" borderId="0" xfId="0" applyFont="1" applyFill="1" applyBorder="1" applyProtection="1"/>
    <xf numFmtId="0" fontId="9" fillId="25" borderId="0" xfId="0" applyFont="1" applyFill="1" applyBorder="1" applyAlignment="1">
      <alignment horizontal="left"/>
    </xf>
    <xf numFmtId="0" fontId="9" fillId="25" borderId="0" xfId="0" applyFont="1" applyFill="1" applyBorder="1" applyAlignment="1">
      <alignment horizontal="left" vertical="center"/>
    </xf>
    <xf numFmtId="0" fontId="13" fillId="25" borderId="18" xfId="0" applyFont="1" applyFill="1" applyBorder="1" applyProtection="1"/>
    <xf numFmtId="0" fontId="13" fillId="25" borderId="0" xfId="0" applyFont="1" applyFill="1" applyBorder="1" applyAlignment="1" applyProtection="1">
      <alignment horizontal="center"/>
    </xf>
    <xf numFmtId="0" fontId="13" fillId="25" borderId="10" xfId="0" applyFont="1" applyFill="1" applyBorder="1" applyProtection="1"/>
    <xf numFmtId="0" fontId="9" fillId="25" borderId="10" xfId="0" applyFont="1" applyFill="1" applyBorder="1" applyAlignment="1" applyProtection="1">
      <alignment horizontal="left" vertical="center"/>
    </xf>
    <xf numFmtId="0" fontId="7" fillId="27" borderId="27" xfId="0" applyFont="1" applyFill="1" applyBorder="1"/>
    <xf numFmtId="0" fontId="0" fillId="25" borderId="0" xfId="0" applyFill="1" applyAlignment="1">
      <alignment horizontal="right"/>
    </xf>
    <xf numFmtId="0" fontId="0" fillId="25" borderId="28" xfId="0" applyFill="1" applyBorder="1" applyAlignment="1">
      <alignment horizontal="left"/>
    </xf>
    <xf numFmtId="0" fontId="0" fillId="25" borderId="17" xfId="0" applyFill="1" applyBorder="1" applyAlignment="1">
      <alignment horizontal="left"/>
    </xf>
    <xf numFmtId="0" fontId="0" fillId="25" borderId="17" xfId="0" applyFill="1" applyBorder="1" applyAlignment="1">
      <alignment horizontal="center"/>
    </xf>
    <xf numFmtId="0" fontId="0" fillId="25" borderId="19" xfId="0" applyFill="1" applyBorder="1" applyAlignment="1">
      <alignment horizontal="center"/>
    </xf>
    <xf numFmtId="0" fontId="0" fillId="25" borderId="15" xfId="0" applyFill="1" applyBorder="1" applyAlignment="1">
      <alignment horizontal="center"/>
    </xf>
    <xf numFmtId="0" fontId="0" fillId="25" borderId="11" xfId="0" applyFill="1" applyBorder="1" applyAlignment="1">
      <alignment horizontal="center"/>
    </xf>
    <xf numFmtId="0" fontId="13" fillId="25" borderId="34" xfId="0" applyFont="1" applyFill="1" applyBorder="1" applyProtection="1"/>
    <xf numFmtId="0" fontId="13" fillId="25" borderId="35" xfId="0" applyFont="1" applyFill="1" applyBorder="1" applyProtection="1"/>
    <xf numFmtId="0" fontId="9" fillId="25" borderId="10" xfId="0" applyFont="1" applyFill="1" applyBorder="1" applyAlignment="1" applyProtection="1">
      <alignment horizontal="center" vertical="center"/>
    </xf>
    <xf numFmtId="0" fontId="0" fillId="25" borderId="11" xfId="0" applyFill="1" applyBorder="1"/>
    <xf numFmtId="0" fontId="0" fillId="25" borderId="19" xfId="0" applyFill="1" applyBorder="1"/>
    <xf numFmtId="0" fontId="13" fillId="25" borderId="35" xfId="0" applyFont="1" applyFill="1" applyBorder="1" applyAlignment="1" applyProtection="1">
      <alignment horizontal="center"/>
    </xf>
    <xf numFmtId="167" fontId="13" fillId="25" borderId="35" xfId="0" applyNumberFormat="1" applyFont="1" applyFill="1" applyBorder="1" applyAlignment="1" applyProtection="1">
      <alignment horizontal="center"/>
    </xf>
    <xf numFmtId="0" fontId="0" fillId="25" borderId="12" xfId="0" applyFill="1" applyBorder="1"/>
    <xf numFmtId="0" fontId="0" fillId="25" borderId="26" xfId="0" applyFill="1" applyBorder="1"/>
    <xf numFmtId="0" fontId="25" fillId="25" borderId="0" xfId="0" applyFont="1" applyFill="1" applyProtection="1"/>
    <xf numFmtId="0" fontId="23" fillId="25" borderId="0" xfId="0" applyFont="1" applyFill="1" applyProtection="1"/>
    <xf numFmtId="0" fontId="10" fillId="25" borderId="29" xfId="0" applyFont="1" applyFill="1" applyBorder="1" applyAlignment="1" applyProtection="1">
      <alignment horizontal="center"/>
    </xf>
    <xf numFmtId="0" fontId="13" fillId="25" borderId="14" xfId="0" applyFont="1" applyFill="1" applyBorder="1" applyProtection="1"/>
    <xf numFmtId="0" fontId="9" fillId="25" borderId="35" xfId="0" applyFont="1" applyFill="1" applyBorder="1" applyAlignment="1">
      <alignment horizontal="center"/>
    </xf>
    <xf numFmtId="0" fontId="0" fillId="25" borderId="14" xfId="0" applyFill="1" applyBorder="1"/>
    <xf numFmtId="0" fontId="0" fillId="25" borderId="20" xfId="0" applyFill="1" applyBorder="1"/>
    <xf numFmtId="167" fontId="9" fillId="25" borderId="35" xfId="0" applyNumberFormat="1" applyFont="1" applyFill="1" applyBorder="1" applyAlignment="1">
      <alignment horizontal="center" vertical="center"/>
    </xf>
    <xf numFmtId="0" fontId="9" fillId="25" borderId="28" xfId="0" applyFont="1" applyFill="1" applyBorder="1" applyAlignment="1">
      <alignment vertical="center"/>
    </xf>
    <xf numFmtId="167" fontId="10" fillId="25" borderId="29" xfId="0" applyNumberFormat="1" applyFont="1" applyFill="1" applyBorder="1" applyAlignment="1" applyProtection="1">
      <alignment horizontal="center"/>
    </xf>
    <xf numFmtId="0" fontId="5" fillId="25" borderId="44" xfId="0" applyFont="1" applyFill="1" applyBorder="1" applyAlignment="1" applyProtection="1">
      <alignment horizontal="center"/>
    </xf>
    <xf numFmtId="0" fontId="18" fillId="25" borderId="20" xfId="0" applyFont="1" applyFill="1" applyBorder="1" applyProtection="1"/>
    <xf numFmtId="0" fontId="10" fillId="25" borderId="14" xfId="0" applyFont="1" applyFill="1" applyBorder="1" applyProtection="1"/>
    <xf numFmtId="0" fontId="10" fillId="25" borderId="11" xfId="0" applyFont="1" applyFill="1" applyBorder="1" applyAlignment="1" applyProtection="1">
      <alignment horizontal="center"/>
    </xf>
    <xf numFmtId="0" fontId="0" fillId="25" borderId="18" xfId="0" applyFill="1" applyBorder="1" applyAlignment="1">
      <alignment horizontal="center"/>
    </xf>
    <xf numFmtId="0" fontId="0" fillId="25" borderId="12" xfId="0" applyFill="1" applyBorder="1" applyAlignment="1">
      <alignment horizontal="center"/>
    </xf>
    <xf numFmtId="0" fontId="0" fillId="25" borderId="0" xfId="0" applyFill="1" applyBorder="1" applyAlignment="1">
      <alignment horizontal="left"/>
    </xf>
    <xf numFmtId="0" fontId="7" fillId="27" borderId="10" xfId="0" applyFont="1" applyFill="1" applyBorder="1" applyAlignment="1">
      <alignment horizontal="left"/>
    </xf>
    <xf numFmtId="0" fontId="27" fillId="27" borderId="27" xfId="0" applyFont="1" applyFill="1" applyBorder="1" applyAlignment="1">
      <alignment horizontal="center"/>
    </xf>
    <xf numFmtId="0" fontId="7" fillId="27" borderId="27" xfId="0" applyFont="1" applyFill="1" applyBorder="1" applyAlignment="1">
      <alignment horizontal="center"/>
    </xf>
    <xf numFmtId="0" fontId="7" fillId="27" borderId="30" xfId="0" applyFont="1" applyFill="1" applyBorder="1" applyAlignment="1">
      <alignment horizontal="center"/>
    </xf>
    <xf numFmtId="0" fontId="28" fillId="27" borderId="30" xfId="0" applyFont="1" applyFill="1" applyBorder="1" applyAlignment="1">
      <alignment horizontal="center"/>
    </xf>
    <xf numFmtId="0" fontId="0" fillId="25" borderId="30" xfId="0" applyFill="1" applyBorder="1"/>
    <xf numFmtId="0" fontId="9" fillId="25" borderId="0" xfId="0" applyFont="1" applyFill="1" applyBorder="1" applyProtection="1"/>
    <xf numFmtId="9" fontId="9" fillId="25" borderId="10" xfId="32" applyFont="1" applyFill="1" applyBorder="1" applyAlignment="1" applyProtection="1">
      <alignment horizontal="center" vertical="center"/>
    </xf>
    <xf numFmtId="9" fontId="9" fillId="25" borderId="33" xfId="32" applyFont="1" applyFill="1" applyBorder="1" applyAlignment="1" applyProtection="1">
      <alignment horizontal="right" vertical="center"/>
    </xf>
    <xf numFmtId="9" fontId="9" fillId="28" borderId="13" xfId="32" applyFont="1" applyFill="1" applyBorder="1" applyAlignment="1" applyProtection="1">
      <alignment horizontal="right" vertical="center"/>
    </xf>
    <xf numFmtId="0" fontId="9" fillId="25" borderId="16" xfId="0" applyFont="1" applyFill="1" applyBorder="1" applyAlignment="1" applyProtection="1">
      <alignment horizontal="right" vertical="center"/>
    </xf>
    <xf numFmtId="0" fontId="9" fillId="24" borderId="12" xfId="0" applyFont="1" applyFill="1" applyBorder="1" applyAlignment="1">
      <alignment horizontal="center"/>
    </xf>
    <xf numFmtId="0" fontId="0" fillId="24" borderId="12" xfId="0" applyFill="1" applyBorder="1" applyAlignment="1">
      <alignment horizontal="center"/>
    </xf>
    <xf numFmtId="0" fontId="9" fillId="25" borderId="17" xfId="0" applyFont="1" applyFill="1" applyBorder="1" applyAlignment="1">
      <alignment vertical="center"/>
    </xf>
    <xf numFmtId="0" fontId="9" fillId="25" borderId="18" xfId="0" applyFont="1" applyFill="1" applyBorder="1" applyProtection="1"/>
    <xf numFmtId="167" fontId="10" fillId="25" borderId="49" xfId="0" applyNumberFormat="1" applyFont="1" applyFill="1" applyBorder="1" applyProtection="1"/>
    <xf numFmtId="0" fontId="9" fillId="25" borderId="10" xfId="0" applyFont="1" applyFill="1" applyBorder="1" applyAlignment="1" applyProtection="1">
      <alignment horizontal="left"/>
    </xf>
    <xf numFmtId="0" fontId="9" fillId="25" borderId="50" xfId="0" applyFont="1" applyFill="1" applyBorder="1" applyAlignment="1" applyProtection="1">
      <alignment horizontal="left"/>
    </xf>
    <xf numFmtId="0" fontId="27" fillId="25" borderId="0" xfId="0" applyFont="1" applyFill="1" applyProtection="1"/>
    <xf numFmtId="0" fontId="0" fillId="25" borderId="0" xfId="0" applyFill="1" applyAlignment="1">
      <alignment horizontal="center"/>
    </xf>
    <xf numFmtId="171" fontId="9" fillId="25" borderId="35" xfId="32" applyNumberFormat="1" applyFont="1" applyFill="1" applyBorder="1" applyAlignment="1">
      <alignment horizontal="center" vertical="center"/>
    </xf>
    <xf numFmtId="167" fontId="13" fillId="25" borderId="35" xfId="0" applyNumberFormat="1" applyFont="1" applyFill="1" applyBorder="1" applyAlignment="1" applyProtection="1">
      <alignment horizontal="center" vertical="center"/>
    </xf>
    <xf numFmtId="167" fontId="13" fillId="25" borderId="35" xfId="32" applyNumberFormat="1" applyFont="1" applyFill="1" applyBorder="1" applyAlignment="1" applyProtection="1">
      <alignment horizontal="center" vertical="center"/>
    </xf>
    <xf numFmtId="0" fontId="0" fillId="25" borderId="35" xfId="0" applyFill="1" applyBorder="1"/>
    <xf numFmtId="0" fontId="10" fillId="25" borderId="47" xfId="0" applyFont="1" applyFill="1" applyBorder="1" applyProtection="1"/>
    <xf numFmtId="167" fontId="10" fillId="25" borderId="16" xfId="0" applyNumberFormat="1" applyFont="1" applyFill="1" applyBorder="1" applyAlignment="1" applyProtection="1">
      <alignment horizontal="center" vertical="center"/>
    </xf>
    <xf numFmtId="0" fontId="5" fillId="25" borderId="0" xfId="0" applyFont="1" applyFill="1" applyBorder="1" applyAlignment="1" applyProtection="1">
      <alignment horizontal="center" vertical="center"/>
    </xf>
    <xf numFmtId="0" fontId="23" fillId="25" borderId="0" xfId="0" applyFont="1" applyFill="1" applyAlignment="1" applyProtection="1">
      <alignment horizontal="right" vertical="center"/>
    </xf>
    <xf numFmtId="0" fontId="13" fillId="25" borderId="28" xfId="0" applyFont="1" applyFill="1" applyBorder="1"/>
    <xf numFmtId="0" fontId="7" fillId="26" borderId="0" xfId="0" applyFont="1" applyFill="1" applyBorder="1"/>
    <xf numFmtId="0" fontId="7" fillId="26" borderId="28" xfId="0" applyFont="1" applyFill="1" applyBorder="1" applyAlignment="1">
      <alignment horizontal="left"/>
    </xf>
    <xf numFmtId="0" fontId="20" fillId="26" borderId="10" xfId="0" applyFont="1" applyFill="1" applyBorder="1"/>
    <xf numFmtId="0" fontId="0" fillId="25" borderId="65" xfId="0" applyFill="1" applyBorder="1"/>
    <xf numFmtId="0" fontId="35" fillId="29" borderId="15" xfId="0" applyFont="1" applyFill="1" applyBorder="1" applyAlignment="1">
      <alignment horizontal="left"/>
    </xf>
    <xf numFmtId="0" fontId="37" fillId="26" borderId="10" xfId="0" applyFont="1" applyFill="1" applyBorder="1"/>
    <xf numFmtId="0" fontId="7" fillId="26" borderId="10" xfId="0" applyFont="1" applyFill="1" applyBorder="1" applyAlignment="1">
      <alignment horizontal="center"/>
    </xf>
    <xf numFmtId="0" fontId="0" fillId="25" borderId="18" xfId="0" applyFill="1" applyBorder="1" applyAlignment="1">
      <alignment horizontal="left"/>
    </xf>
    <xf numFmtId="0" fontId="0" fillId="25" borderId="19" xfId="0" applyFill="1" applyBorder="1" applyAlignment="1">
      <alignment horizontal="left"/>
    </xf>
    <xf numFmtId="0" fontId="0" fillId="25" borderId="29" xfId="0" applyFill="1" applyBorder="1" applyAlignment="1">
      <alignment horizontal="left"/>
    </xf>
    <xf numFmtId="0" fontId="0" fillId="25" borderId="15" xfId="0" applyFill="1" applyBorder="1" applyAlignment="1">
      <alignment horizontal="left"/>
    </xf>
    <xf numFmtId="0" fontId="13" fillId="25" borderId="28" xfId="0" applyFont="1" applyFill="1" applyBorder="1" applyAlignment="1">
      <alignment horizontal="left"/>
    </xf>
    <xf numFmtId="0" fontId="13" fillId="25" borderId="0" xfId="0" applyFont="1" applyFill="1" applyBorder="1" applyAlignment="1">
      <alignment horizontal="left"/>
    </xf>
    <xf numFmtId="0" fontId="13" fillId="25" borderId="29" xfId="0" applyFont="1" applyFill="1" applyBorder="1" applyAlignment="1">
      <alignment horizontal="left"/>
    </xf>
    <xf numFmtId="0" fontId="0" fillId="25" borderId="65" xfId="0" applyFill="1" applyBorder="1" applyAlignment="1">
      <alignment horizontal="left"/>
    </xf>
    <xf numFmtId="0" fontId="0" fillId="25" borderId="59" xfId="0" applyFill="1" applyBorder="1" applyAlignment="1">
      <alignment horizontal="left"/>
    </xf>
    <xf numFmtId="0" fontId="0" fillId="25" borderId="64" xfId="0" applyFill="1" applyBorder="1" applyAlignment="1">
      <alignment horizontal="left"/>
    </xf>
    <xf numFmtId="0" fontId="7" fillId="26" borderId="26" xfId="0" applyFont="1" applyFill="1" applyBorder="1" applyAlignment="1">
      <alignment horizontal="right"/>
    </xf>
    <xf numFmtId="0" fontId="7" fillId="26" borderId="30" xfId="0" applyFont="1" applyFill="1" applyBorder="1" applyAlignment="1">
      <alignment horizontal="right"/>
    </xf>
    <xf numFmtId="0" fontId="7" fillId="26" borderId="15" xfId="0" applyFont="1" applyFill="1" applyBorder="1" applyAlignment="1">
      <alignment horizontal="left"/>
    </xf>
    <xf numFmtId="0" fontId="7" fillId="26" borderId="10" xfId="0" applyFont="1" applyFill="1" applyBorder="1" applyAlignment="1">
      <alignment horizontal="left"/>
    </xf>
    <xf numFmtId="0" fontId="7" fillId="26" borderId="11" xfId="0" applyFont="1" applyFill="1" applyBorder="1" applyAlignment="1">
      <alignment horizontal="right"/>
    </xf>
    <xf numFmtId="0" fontId="13" fillId="25" borderId="15" xfId="0" applyFont="1" applyFill="1" applyBorder="1" applyAlignment="1">
      <alignment horizontal="left"/>
    </xf>
    <xf numFmtId="0" fontId="13" fillId="25" borderId="10" xfId="0" applyFont="1" applyFill="1" applyBorder="1" applyAlignment="1">
      <alignment horizontal="left"/>
    </xf>
    <xf numFmtId="0" fontId="13" fillId="25" borderId="11" xfId="0" applyFont="1" applyFill="1" applyBorder="1" applyAlignment="1">
      <alignment horizontal="left"/>
    </xf>
    <xf numFmtId="168" fontId="9" fillId="25" borderId="0" xfId="0" applyNumberFormat="1" applyFont="1" applyFill="1" applyBorder="1" applyAlignment="1" applyProtection="1">
      <alignment horizontal="center" vertical="center"/>
    </xf>
    <xf numFmtId="0" fontId="10" fillId="25" borderId="44" xfId="0" applyFont="1" applyFill="1" applyBorder="1" applyAlignment="1" applyProtection="1">
      <alignment horizontal="center" vertical="center"/>
    </xf>
    <xf numFmtId="0" fontId="9" fillId="29" borderId="33" xfId="0" applyFont="1" applyFill="1" applyBorder="1" applyAlignment="1" applyProtection="1">
      <alignment horizontal="center" vertical="center"/>
      <protection locked="0"/>
    </xf>
    <xf numFmtId="0" fontId="24" fillId="25" borderId="0" xfId="0" applyFont="1" applyFill="1" applyBorder="1" applyAlignment="1" applyProtection="1">
      <alignment vertical="center"/>
    </xf>
    <xf numFmtId="0" fontId="5" fillId="25" borderId="31" xfId="0" applyFont="1" applyFill="1" applyBorder="1" applyAlignment="1" applyProtection="1">
      <alignment horizontal="center" vertical="center"/>
    </xf>
    <xf numFmtId="164" fontId="5" fillId="25" borderId="31" xfId="0" applyNumberFormat="1" applyFont="1" applyFill="1" applyBorder="1" applyAlignment="1" applyProtection="1">
      <alignment horizontal="center" vertical="center"/>
    </xf>
    <xf numFmtId="0" fontId="5" fillId="25" borderId="31" xfId="0" applyFont="1" applyFill="1" applyBorder="1" applyAlignment="1" applyProtection="1">
      <alignment vertical="center"/>
    </xf>
    <xf numFmtId="0" fontId="5" fillId="25" borderId="40" xfId="0" applyFont="1" applyFill="1" applyBorder="1" applyAlignment="1" applyProtection="1">
      <alignment horizontal="center" vertical="center"/>
    </xf>
    <xf numFmtId="164" fontId="30" fillId="25" borderId="32" xfId="0" applyNumberFormat="1" applyFont="1" applyFill="1" applyBorder="1" applyAlignment="1" applyProtection="1">
      <alignment horizontal="left" vertical="center"/>
    </xf>
    <xf numFmtId="164" fontId="5" fillId="25" borderId="32" xfId="0" applyNumberFormat="1" applyFont="1" applyFill="1" applyBorder="1" applyAlignment="1" applyProtection="1">
      <alignment horizontal="center" vertical="center"/>
    </xf>
    <xf numFmtId="166" fontId="5" fillId="25" borderId="32" xfId="0" applyNumberFormat="1" applyFont="1" applyFill="1" applyBorder="1" applyAlignment="1" applyProtection="1">
      <alignment horizontal="center" vertical="center"/>
    </xf>
    <xf numFmtId="9" fontId="5" fillId="25" borderId="37" xfId="32" applyNumberFormat="1" applyFont="1" applyFill="1" applyBorder="1" applyAlignment="1" applyProtection="1">
      <alignment horizontal="center" vertical="center"/>
    </xf>
    <xf numFmtId="168" fontId="5" fillId="25" borderId="32" xfId="0" applyNumberFormat="1" applyFont="1" applyFill="1" applyBorder="1" applyAlignment="1" applyProtection="1">
      <alignment horizontal="center" vertical="center"/>
    </xf>
    <xf numFmtId="166" fontId="5" fillId="25" borderId="31" xfId="0" applyNumberFormat="1" applyFont="1" applyFill="1" applyBorder="1" applyAlignment="1" applyProtection="1">
      <alignment horizontal="center" vertical="center"/>
    </xf>
    <xf numFmtId="0" fontId="5" fillId="25" borderId="60" xfId="0" applyFont="1" applyFill="1" applyBorder="1" applyAlignment="1" applyProtection="1">
      <alignment horizontal="center" vertical="center"/>
    </xf>
    <xf numFmtId="164" fontId="5" fillId="25" borderId="47" xfId="0" applyNumberFormat="1" applyFont="1" applyFill="1" applyBorder="1" applyAlignment="1" applyProtection="1">
      <alignment horizontal="center" vertical="center"/>
    </xf>
    <xf numFmtId="0" fontId="5" fillId="25" borderId="13" xfId="0" applyFont="1" applyFill="1" applyBorder="1" applyAlignment="1" applyProtection="1">
      <alignment horizontal="center" vertical="center"/>
    </xf>
    <xf numFmtId="9" fontId="5" fillId="25" borderId="13" xfId="32" applyNumberFormat="1" applyFont="1" applyFill="1" applyBorder="1" applyAlignment="1" applyProtection="1">
      <alignment horizontal="center" vertical="center"/>
    </xf>
    <xf numFmtId="0" fontId="5" fillId="25" borderId="38" xfId="0" applyFont="1" applyFill="1" applyBorder="1" applyAlignment="1" applyProtection="1">
      <alignment vertical="center"/>
    </xf>
    <xf numFmtId="0" fontId="5" fillId="25" borderId="39" xfId="0" applyFont="1" applyFill="1" applyBorder="1" applyAlignment="1" applyProtection="1">
      <alignment horizontal="center" vertical="center"/>
    </xf>
    <xf numFmtId="165" fontId="5" fillId="29" borderId="13" xfId="0" applyNumberFormat="1" applyFont="1" applyFill="1" applyBorder="1" applyAlignment="1" applyProtection="1">
      <alignment horizontal="center" vertical="center"/>
      <protection locked="0"/>
    </xf>
    <xf numFmtId="0" fontId="5" fillId="25" borderId="13" xfId="0" applyFont="1" applyFill="1" applyBorder="1" applyAlignment="1" applyProtection="1">
      <alignment vertical="center"/>
    </xf>
    <xf numFmtId="0" fontId="5" fillId="25" borderId="40" xfId="0" applyFont="1" applyFill="1" applyBorder="1" applyAlignment="1" applyProtection="1">
      <alignment vertical="center"/>
    </xf>
    <xf numFmtId="0" fontId="5" fillId="25" borderId="57" xfId="0" applyFont="1" applyFill="1" applyBorder="1" applyAlignment="1" applyProtection="1">
      <alignment horizontal="center" vertical="center"/>
    </xf>
    <xf numFmtId="0" fontId="5" fillId="25" borderId="42" xfId="0" applyFont="1" applyFill="1" applyBorder="1" applyAlignment="1" applyProtection="1">
      <alignment horizontal="center" vertical="center"/>
    </xf>
    <xf numFmtId="0" fontId="6" fillId="25" borderId="13" xfId="0" applyFont="1" applyFill="1" applyBorder="1" applyAlignment="1" applyProtection="1">
      <alignment horizontal="center" vertical="center"/>
    </xf>
    <xf numFmtId="0" fontId="33" fillId="25" borderId="58" xfId="0" applyFont="1" applyFill="1" applyBorder="1" applyAlignment="1" applyProtection="1">
      <alignment horizontal="center" vertical="center"/>
    </xf>
    <xf numFmtId="0" fontId="5" fillId="25" borderId="58" xfId="0" applyFont="1" applyFill="1" applyBorder="1" applyAlignment="1" applyProtection="1">
      <alignment horizontal="center" vertical="center"/>
    </xf>
    <xf numFmtId="0" fontId="6" fillId="25" borderId="16" xfId="0" applyFont="1" applyFill="1" applyBorder="1" applyAlignment="1" applyProtection="1">
      <alignment horizontal="center" vertical="center"/>
    </xf>
    <xf numFmtId="0" fontId="5" fillId="25" borderId="13" xfId="0" applyFont="1" applyFill="1" applyBorder="1" applyAlignment="1" applyProtection="1">
      <alignment horizontal="left" vertical="center"/>
    </xf>
    <xf numFmtId="165" fontId="5" fillId="25" borderId="13" xfId="0" applyNumberFormat="1" applyFont="1" applyFill="1" applyBorder="1" applyAlignment="1" applyProtection="1">
      <alignment horizontal="center" vertical="center"/>
      <protection locked="0"/>
    </xf>
    <xf numFmtId="0" fontId="10" fillId="25" borderId="17" xfId="0" applyFont="1" applyFill="1" applyBorder="1" applyProtection="1"/>
    <xf numFmtId="0" fontId="3" fillId="25" borderId="14" xfId="0" applyFont="1" applyFill="1" applyBorder="1" applyAlignment="1" applyProtection="1">
      <alignment horizontal="center"/>
    </xf>
    <xf numFmtId="0" fontId="3" fillId="25" borderId="66" xfId="0" applyFont="1" applyFill="1" applyBorder="1" applyAlignment="1" applyProtection="1">
      <alignment horizontal="center"/>
    </xf>
    <xf numFmtId="0" fontId="9" fillId="25" borderId="42" xfId="0" applyFont="1" applyFill="1" applyBorder="1" applyAlignment="1">
      <alignment horizontal="center"/>
    </xf>
    <xf numFmtId="0" fontId="13" fillId="25" borderId="42" xfId="0" applyFont="1" applyFill="1" applyBorder="1" applyAlignment="1" applyProtection="1">
      <alignment horizontal="center"/>
    </xf>
    <xf numFmtId="167" fontId="13" fillId="25" borderId="43" xfId="0" applyNumberFormat="1" applyFont="1" applyFill="1" applyBorder="1" applyAlignment="1" applyProtection="1">
      <alignment horizontal="center"/>
    </xf>
    <xf numFmtId="0" fontId="13" fillId="25" borderId="43" xfId="0" applyFont="1" applyFill="1" applyBorder="1" applyAlignment="1" applyProtection="1">
      <alignment horizontal="center"/>
    </xf>
    <xf numFmtId="1" fontId="13" fillId="25" borderId="35" xfId="0" applyNumberFormat="1" applyFont="1" applyFill="1" applyBorder="1" applyAlignment="1" applyProtection="1">
      <alignment horizontal="center"/>
    </xf>
    <xf numFmtId="171" fontId="9" fillId="25" borderId="35" xfId="32" applyNumberFormat="1" applyFont="1" applyFill="1" applyBorder="1" applyAlignment="1">
      <alignment horizontal="center"/>
    </xf>
    <xf numFmtId="167" fontId="9" fillId="25" borderId="35" xfId="32" applyNumberFormat="1" applyFont="1" applyFill="1" applyBorder="1" applyAlignment="1">
      <alignment horizontal="center" vertical="center"/>
    </xf>
    <xf numFmtId="0" fontId="5" fillId="25" borderId="68" xfId="0" applyFont="1" applyFill="1" applyBorder="1" applyAlignment="1" applyProtection="1">
      <alignment horizontal="center"/>
    </xf>
    <xf numFmtId="171" fontId="9" fillId="25" borderId="34" xfId="32" applyNumberFormat="1" applyFont="1" applyFill="1" applyBorder="1" applyAlignment="1">
      <alignment horizontal="center" vertical="center"/>
    </xf>
    <xf numFmtId="171" fontId="13" fillId="25" borderId="34" xfId="32" applyNumberFormat="1" applyFont="1" applyFill="1" applyBorder="1" applyAlignment="1" applyProtection="1">
      <alignment horizontal="center" vertical="center"/>
    </xf>
    <xf numFmtId="0" fontId="12" fillId="25" borderId="42" xfId="0" applyFont="1" applyFill="1" applyBorder="1" applyAlignment="1" applyProtection="1">
      <alignment horizontal="center"/>
    </xf>
    <xf numFmtId="0" fontId="5" fillId="25" borderId="11" xfId="0" applyFont="1" applyFill="1" applyBorder="1" applyAlignment="1" applyProtection="1">
      <alignment horizontal="center"/>
    </xf>
    <xf numFmtId="0" fontId="5" fillId="25" borderId="19" xfId="0" applyFont="1" applyFill="1" applyBorder="1" applyAlignment="1" applyProtection="1">
      <alignment horizontal="center"/>
    </xf>
    <xf numFmtId="0" fontId="13" fillId="25" borderId="58" xfId="0" applyFont="1" applyFill="1" applyBorder="1" applyAlignment="1" applyProtection="1">
      <alignment horizontal="center"/>
    </xf>
    <xf numFmtId="0" fontId="39" fillId="25" borderId="32" xfId="0" applyFont="1" applyFill="1" applyBorder="1" applyAlignment="1" applyProtection="1">
      <alignment horizontal="center" vertical="center" wrapText="1"/>
    </xf>
    <xf numFmtId="0" fontId="13" fillId="25" borderId="48" xfId="0" applyFont="1" applyFill="1" applyBorder="1" applyAlignment="1" applyProtection="1">
      <alignment horizontal="center"/>
    </xf>
    <xf numFmtId="0" fontId="40" fillId="25" borderId="47" xfId="0" applyFont="1" applyFill="1" applyBorder="1" applyAlignment="1" applyProtection="1">
      <alignment horizontal="left" vertical="center"/>
    </xf>
    <xf numFmtId="167" fontId="13" fillId="25" borderId="11" xfId="0" applyNumberFormat="1" applyFont="1" applyFill="1" applyBorder="1" applyAlignment="1" applyProtection="1">
      <alignment horizontal="center"/>
    </xf>
    <xf numFmtId="167" fontId="13" fillId="25" borderId="37" xfId="0" applyNumberFormat="1" applyFont="1" applyFill="1" applyBorder="1" applyAlignment="1" applyProtection="1">
      <alignment horizontal="center"/>
    </xf>
    <xf numFmtId="1" fontId="0" fillId="25" borderId="26" xfId="0" applyNumberFormat="1" applyFill="1" applyBorder="1" applyAlignment="1">
      <alignment horizontal="center"/>
    </xf>
    <xf numFmtId="2" fontId="0" fillId="25" borderId="26" xfId="0" applyNumberFormat="1" applyFill="1" applyBorder="1" applyAlignment="1">
      <alignment horizontal="center"/>
    </xf>
    <xf numFmtId="2" fontId="0" fillId="25" borderId="30" xfId="0" applyNumberFormat="1" applyFill="1" applyBorder="1" applyAlignment="1">
      <alignment horizontal="center"/>
    </xf>
    <xf numFmtId="0" fontId="7" fillId="26" borderId="43" xfId="0" applyFont="1" applyFill="1" applyBorder="1" applyAlignment="1">
      <alignment horizontal="left"/>
    </xf>
    <xf numFmtId="0" fontId="7" fillId="26" borderId="29" xfId="0" applyFont="1" applyFill="1" applyBorder="1" applyAlignment="1">
      <alignment horizontal="center"/>
    </xf>
    <xf numFmtId="0" fontId="41" fillId="25" borderId="0" xfId="0" applyFont="1" applyFill="1"/>
    <xf numFmtId="0" fontId="7" fillId="26" borderId="11" xfId="0" applyFont="1" applyFill="1" applyBorder="1" applyAlignment="1">
      <alignment horizontal="left"/>
    </xf>
    <xf numFmtId="9" fontId="10" fillId="25" borderId="16" xfId="32" applyFont="1" applyFill="1" applyBorder="1" applyAlignment="1" applyProtection="1">
      <alignment horizontal="center" vertical="center"/>
    </xf>
    <xf numFmtId="0" fontId="23" fillId="25" borderId="35" xfId="0" applyFont="1" applyFill="1" applyBorder="1" applyAlignment="1" applyProtection="1">
      <alignment horizontal="center"/>
    </xf>
    <xf numFmtId="0" fontId="3" fillId="25" borderId="26" xfId="0" applyFont="1" applyFill="1" applyBorder="1" applyAlignment="1">
      <alignment horizontal="center"/>
    </xf>
    <xf numFmtId="0" fontId="3" fillId="24" borderId="12" xfId="0" applyFont="1" applyFill="1" applyBorder="1" applyAlignment="1">
      <alignment horizontal="center"/>
    </xf>
    <xf numFmtId="2" fontId="7" fillId="26" borderId="11" xfId="0" applyNumberFormat="1" applyFont="1" applyFill="1" applyBorder="1" applyAlignment="1">
      <alignment horizontal="left"/>
    </xf>
    <xf numFmtId="0" fontId="5" fillId="25" borderId="26" xfId="0" applyFont="1" applyFill="1" applyBorder="1" applyAlignment="1">
      <alignment horizontal="left"/>
    </xf>
    <xf numFmtId="0" fontId="5" fillId="25" borderId="26" xfId="0" applyFont="1" applyFill="1" applyBorder="1" applyAlignment="1">
      <alignment horizontal="center"/>
    </xf>
    <xf numFmtId="0" fontId="20" fillId="26" borderId="10" xfId="0" applyFont="1" applyFill="1" applyBorder="1" applyAlignment="1">
      <alignment horizontal="right"/>
    </xf>
    <xf numFmtId="0" fontId="20" fillId="26" borderId="10" xfId="0" applyFont="1" applyFill="1" applyBorder="1" applyAlignment="1">
      <alignment horizontal="left"/>
    </xf>
    <xf numFmtId="0" fontId="20" fillId="26" borderId="19" xfId="0" applyFont="1" applyFill="1" applyBorder="1" applyAlignment="1">
      <alignment horizontal="center"/>
    </xf>
    <xf numFmtId="0" fontId="0" fillId="25" borderId="0" xfId="0" applyFill="1" applyBorder="1" applyAlignment="1">
      <alignment horizontal="right"/>
    </xf>
    <xf numFmtId="0" fontId="0" fillId="25" borderId="18" xfId="0" applyFill="1" applyBorder="1" applyAlignment="1">
      <alignment horizontal="right"/>
    </xf>
    <xf numFmtId="0" fontId="0" fillId="26" borderId="15" xfId="0" applyFill="1" applyBorder="1"/>
    <xf numFmtId="0" fontId="7" fillId="26" borderId="28" xfId="0" applyFont="1" applyFill="1" applyBorder="1" applyAlignment="1">
      <alignment horizontal="right"/>
    </xf>
    <xf numFmtId="0" fontId="7" fillId="26" borderId="17" xfId="0" applyFont="1" applyFill="1" applyBorder="1" applyAlignment="1">
      <alignment horizontal="right"/>
    </xf>
    <xf numFmtId="0" fontId="43" fillId="25" borderId="13" xfId="0" applyFont="1" applyFill="1" applyBorder="1" applyAlignment="1" applyProtection="1">
      <alignment vertical="center"/>
    </xf>
    <xf numFmtId="0" fontId="24" fillId="25" borderId="13" xfId="0" applyFont="1" applyFill="1" applyBorder="1" applyAlignment="1" applyProtection="1">
      <alignment vertical="center"/>
    </xf>
    <xf numFmtId="0" fontId="5" fillId="29" borderId="13" xfId="0" applyNumberFormat="1" applyFont="1" applyFill="1" applyBorder="1" applyAlignment="1" applyProtection="1">
      <alignment horizontal="center" vertical="center"/>
      <protection locked="0"/>
    </xf>
    <xf numFmtId="0" fontId="42" fillId="25" borderId="10" xfId="0" applyFont="1" applyFill="1" applyBorder="1" applyAlignment="1" applyProtection="1">
      <alignment horizontal="center" vertical="center"/>
    </xf>
    <xf numFmtId="0" fontId="7" fillId="26" borderId="12" xfId="0" applyFont="1" applyFill="1" applyBorder="1" applyAlignment="1">
      <alignment horizontal="center"/>
    </xf>
    <xf numFmtId="0" fontId="44" fillId="25" borderId="0" xfId="0" applyFont="1" applyFill="1"/>
    <xf numFmtId="0" fontId="3" fillId="25" borderId="28" xfId="0" applyFont="1" applyFill="1" applyBorder="1" applyAlignment="1">
      <alignment horizontal="left"/>
    </xf>
    <xf numFmtId="0" fontId="3" fillId="25" borderId="17" xfId="0" applyFont="1" applyFill="1" applyBorder="1" applyAlignment="1">
      <alignment horizontal="left"/>
    </xf>
    <xf numFmtId="0" fontId="3" fillId="25" borderId="18" xfId="0" applyFont="1" applyFill="1" applyBorder="1" applyAlignment="1">
      <alignment horizontal="left"/>
    </xf>
    <xf numFmtId="0" fontId="0" fillId="25" borderId="10" xfId="0" applyFill="1" applyBorder="1" applyAlignment="1">
      <alignment horizontal="center"/>
    </xf>
    <xf numFmtId="0" fontId="35" fillId="29" borderId="28" xfId="0" applyFont="1" applyFill="1" applyBorder="1" applyAlignment="1">
      <alignment horizontal="left"/>
    </xf>
    <xf numFmtId="0" fontId="20" fillId="26" borderId="0" xfId="0" applyFont="1" applyFill="1" applyBorder="1"/>
    <xf numFmtId="2" fontId="7" fillId="26" borderId="29" xfId="0" applyNumberFormat="1" applyFont="1" applyFill="1" applyBorder="1" applyAlignment="1">
      <alignment horizontal="left"/>
    </xf>
    <xf numFmtId="0" fontId="3" fillId="25" borderId="0" xfId="0" applyFont="1" applyFill="1" applyBorder="1" applyAlignment="1">
      <alignment horizontal="left"/>
    </xf>
    <xf numFmtId="0" fontId="3" fillId="25" borderId="15" xfId="0" applyFont="1" applyFill="1" applyBorder="1" applyAlignment="1">
      <alignment horizontal="left"/>
    </xf>
    <xf numFmtId="0" fontId="3" fillId="25" borderId="10" xfId="0" applyFont="1" applyFill="1" applyBorder="1"/>
    <xf numFmtId="0" fontId="3" fillId="25" borderId="18" xfId="0" applyFont="1" applyFill="1" applyBorder="1"/>
    <xf numFmtId="0" fontId="0" fillId="25" borderId="43" xfId="0" applyFill="1" applyBorder="1" applyAlignment="1">
      <alignment horizontal="left"/>
    </xf>
    <xf numFmtId="0" fontId="0" fillId="25" borderId="41" xfId="0" applyFill="1" applyBorder="1" applyAlignment="1">
      <alignment horizontal="left"/>
    </xf>
    <xf numFmtId="0" fontId="0" fillId="25" borderId="67" xfId="0" applyFill="1" applyBorder="1" applyAlignment="1">
      <alignment horizontal="left"/>
    </xf>
    <xf numFmtId="2" fontId="18" fillId="25" borderId="26" xfId="0" applyNumberFormat="1" applyFont="1" applyFill="1" applyBorder="1" applyAlignment="1">
      <alignment horizontal="center"/>
    </xf>
    <xf numFmtId="0" fontId="18" fillId="25" borderId="26" xfId="0" applyFont="1" applyFill="1" applyBorder="1" applyAlignment="1">
      <alignment horizontal="center"/>
    </xf>
    <xf numFmtId="0" fontId="5" fillId="25" borderId="58" xfId="0" applyFont="1" applyFill="1" applyBorder="1" applyAlignment="1" applyProtection="1">
      <alignment vertical="center"/>
    </xf>
    <xf numFmtId="0" fontId="5" fillId="25" borderId="63" xfId="0" applyFont="1" applyFill="1" applyBorder="1" applyAlignment="1" applyProtection="1">
      <alignment vertical="center"/>
    </xf>
    <xf numFmtId="2" fontId="13" fillId="25" borderId="35" xfId="0" applyNumberFormat="1" applyFont="1" applyFill="1" applyBorder="1" applyAlignment="1" applyProtection="1">
      <alignment horizontal="center"/>
    </xf>
    <xf numFmtId="0" fontId="13" fillId="25" borderId="35" xfId="0" applyFont="1" applyFill="1" applyBorder="1" applyAlignment="1" applyProtection="1"/>
    <xf numFmtId="0" fontId="9" fillId="25" borderId="28" xfId="0" applyFont="1" applyFill="1" applyBorder="1" applyAlignment="1"/>
    <xf numFmtId="0" fontId="9" fillId="25" borderId="28" xfId="0" applyFont="1" applyFill="1" applyBorder="1" applyAlignment="1" applyProtection="1"/>
    <xf numFmtId="0" fontId="20" fillId="26" borderId="10" xfId="0" applyFont="1" applyFill="1" applyBorder="1" applyAlignment="1">
      <alignment horizontal="center"/>
    </xf>
    <xf numFmtId="0" fontId="20" fillId="26" borderId="18" xfId="0" applyFont="1" applyFill="1" applyBorder="1" applyAlignment="1">
      <alignment horizontal="center"/>
    </xf>
    <xf numFmtId="0" fontId="3" fillId="25" borderId="19" xfId="0" applyFont="1" applyFill="1" applyBorder="1"/>
    <xf numFmtId="0" fontId="3" fillId="25" borderId="18" xfId="0" applyFont="1" applyFill="1" applyBorder="1" applyAlignment="1">
      <alignment horizontal="right"/>
    </xf>
    <xf numFmtId="0" fontId="20" fillId="26" borderId="29" xfId="0" applyFont="1" applyFill="1" applyBorder="1" applyAlignment="1">
      <alignment horizontal="left"/>
    </xf>
    <xf numFmtId="0" fontId="2" fillId="25" borderId="28" xfId="33" applyNumberFormat="1" applyFont="1" applyFill="1" applyBorder="1"/>
    <xf numFmtId="0" fontId="2" fillId="25" borderId="0" xfId="33" applyNumberFormat="1" applyFont="1" applyFill="1" applyBorder="1"/>
    <xf numFmtId="0" fontId="2" fillId="25" borderId="17" xfId="33" applyNumberFormat="1" applyFont="1" applyFill="1" applyBorder="1"/>
    <xf numFmtId="0" fontId="2" fillId="25" borderId="18" xfId="33" applyNumberFormat="1" applyFont="1" applyFill="1" applyBorder="1"/>
    <xf numFmtId="172" fontId="2" fillId="25" borderId="0" xfId="33" applyNumberFormat="1" applyFont="1" applyFill="1" applyBorder="1"/>
    <xf numFmtId="172" fontId="2" fillId="25" borderId="18" xfId="33" applyNumberFormat="1" applyFont="1" applyFill="1" applyBorder="1"/>
    <xf numFmtId="0" fontId="0" fillId="26" borderId="17" xfId="0" applyFill="1" applyBorder="1"/>
    <xf numFmtId="0" fontId="0" fillId="25" borderId="11" xfId="0" applyFill="1" applyBorder="1" applyAlignment="1">
      <alignment horizontal="left"/>
    </xf>
    <xf numFmtId="0" fontId="0" fillId="26" borderId="27" xfId="0" applyFill="1" applyBorder="1"/>
    <xf numFmtId="0" fontId="0" fillId="26" borderId="26" xfId="0" applyFill="1" applyBorder="1"/>
    <xf numFmtId="0" fontId="9" fillId="25" borderId="0" xfId="0" applyFont="1" applyFill="1" applyBorder="1" applyAlignment="1" applyProtection="1">
      <alignment horizontal="right"/>
    </xf>
    <xf numFmtId="0" fontId="9" fillId="25" borderId="18" xfId="0" applyFont="1" applyFill="1" applyBorder="1" applyAlignment="1" applyProtection="1">
      <alignment horizontal="right"/>
    </xf>
    <xf numFmtId="0" fontId="27" fillId="26" borderId="10" xfId="0" applyFont="1" applyFill="1" applyBorder="1" applyProtection="1"/>
    <xf numFmtId="0" fontId="0" fillId="26" borderId="18" xfId="0" applyFill="1" applyBorder="1"/>
    <xf numFmtId="0" fontId="0" fillId="26" borderId="19" xfId="0" applyFill="1" applyBorder="1"/>
    <xf numFmtId="0" fontId="0" fillId="26" borderId="20" xfId="0" applyFill="1" applyBorder="1"/>
    <xf numFmtId="0" fontId="20" fillId="26" borderId="0" xfId="0" applyFont="1" applyFill="1" applyBorder="1" applyAlignment="1">
      <alignment horizontal="right"/>
    </xf>
    <xf numFmtId="0" fontId="20" fillId="26" borderId="18" xfId="0" applyFont="1" applyFill="1" applyBorder="1" applyAlignment="1">
      <alignment horizontal="right"/>
    </xf>
    <xf numFmtId="0" fontId="20" fillId="26" borderId="18" xfId="0" applyFont="1" applyFill="1" applyBorder="1" applyAlignment="1">
      <alignment horizontal="left"/>
    </xf>
    <xf numFmtId="0" fontId="20" fillId="26" borderId="0" xfId="0" applyFont="1" applyFill="1" applyBorder="1" applyAlignment="1">
      <alignment horizontal="left"/>
    </xf>
    <xf numFmtId="0" fontId="20" fillId="26" borderId="0" xfId="0" applyFont="1" applyFill="1" applyBorder="1" applyAlignment="1">
      <alignment horizontal="center"/>
    </xf>
    <xf numFmtId="0" fontId="10" fillId="25" borderId="0" xfId="0" applyFont="1" applyFill="1" applyProtection="1"/>
    <xf numFmtId="0" fontId="10" fillId="25" borderId="0" xfId="0" applyFont="1" applyFill="1" applyAlignment="1" applyProtection="1">
      <alignment horizontal="center"/>
    </xf>
    <xf numFmtId="0" fontId="18" fillId="25" borderId="0" xfId="0" applyFont="1" applyFill="1"/>
    <xf numFmtId="0" fontId="18" fillId="0" borderId="0" xfId="0" applyFont="1"/>
    <xf numFmtId="0" fontId="46" fillId="25" borderId="0" xfId="0" applyFont="1" applyFill="1" applyBorder="1" applyAlignment="1" applyProtection="1">
      <alignment vertical="center"/>
    </xf>
    <xf numFmtId="2" fontId="35" fillId="25" borderId="26" xfId="0" applyNumberFormat="1" applyFont="1" applyFill="1" applyBorder="1" applyAlignment="1">
      <alignment horizontal="center"/>
    </xf>
    <xf numFmtId="9" fontId="5" fillId="25" borderId="10" xfId="32" applyFont="1" applyFill="1" applyBorder="1" applyAlignment="1" applyProtection="1">
      <alignment horizontal="center" vertical="center"/>
    </xf>
    <xf numFmtId="9" fontId="5" fillId="25" borderId="11" xfId="32" applyFont="1" applyFill="1" applyBorder="1" applyAlignment="1" applyProtection="1">
      <alignment horizontal="center" vertical="center"/>
    </xf>
    <xf numFmtId="0" fontId="0" fillId="29" borderId="18" xfId="0" applyFill="1" applyBorder="1"/>
    <xf numFmtId="0" fontId="7" fillId="26" borderId="27" xfId="0" applyFont="1" applyFill="1" applyBorder="1" applyAlignment="1">
      <alignment horizontal="center"/>
    </xf>
    <xf numFmtId="0" fontId="7" fillId="26" borderId="0" xfId="0" applyFont="1" applyFill="1"/>
    <xf numFmtId="0" fontId="7" fillId="26" borderId="27" xfId="0" applyFont="1" applyFill="1" applyBorder="1"/>
    <xf numFmtId="0" fontId="7" fillId="26" borderId="17" xfId="0" applyFont="1" applyFill="1" applyBorder="1"/>
    <xf numFmtId="0" fontId="7" fillId="26" borderId="30" xfId="0" applyFont="1" applyFill="1" applyBorder="1"/>
    <xf numFmtId="0" fontId="0" fillId="29" borderId="20" xfId="0" applyFill="1" applyBorder="1"/>
    <xf numFmtId="0" fontId="0" fillId="29" borderId="22" xfId="0" applyFill="1" applyBorder="1"/>
    <xf numFmtId="0" fontId="0" fillId="29" borderId="14" xfId="0" applyFill="1" applyBorder="1" applyAlignment="1">
      <alignment horizontal="left"/>
    </xf>
    <xf numFmtId="0" fontId="0" fillId="29" borderId="12" xfId="0" applyFill="1" applyBorder="1" applyAlignment="1">
      <alignment horizontal="center"/>
    </xf>
    <xf numFmtId="0" fontId="7" fillId="26" borderId="30" xfId="0" applyFont="1" applyFill="1" applyBorder="1" applyAlignment="1">
      <alignment horizontal="center"/>
    </xf>
    <xf numFmtId="0" fontId="0" fillId="25" borderId="22" xfId="0" applyFill="1" applyBorder="1"/>
    <xf numFmtId="0" fontId="20" fillId="26" borderId="30" xfId="0" applyFont="1" applyFill="1" applyBorder="1" applyAlignment="1">
      <alignment horizontal="center"/>
    </xf>
    <xf numFmtId="0" fontId="27" fillId="27" borderId="15" xfId="0" applyFont="1" applyFill="1" applyBorder="1" applyAlignment="1">
      <alignment horizontal="center"/>
    </xf>
    <xf numFmtId="0" fontId="28" fillId="27" borderId="17" xfId="0" applyFont="1" applyFill="1" applyBorder="1" applyAlignment="1">
      <alignment horizontal="center"/>
    </xf>
    <xf numFmtId="0" fontId="7" fillId="27" borderId="11" xfId="0" applyFont="1" applyFill="1" applyBorder="1" applyAlignment="1">
      <alignment horizontal="center"/>
    </xf>
    <xf numFmtId="0" fontId="7" fillId="27" borderId="19" xfId="0" applyFont="1" applyFill="1" applyBorder="1" applyAlignment="1">
      <alignment horizontal="center"/>
    </xf>
    <xf numFmtId="0" fontId="28" fillId="26" borderId="30" xfId="0" applyFont="1" applyFill="1" applyBorder="1" applyAlignment="1">
      <alignment horizontal="center"/>
    </xf>
    <xf numFmtId="0" fontId="0" fillId="24" borderId="30" xfId="0" applyFill="1" applyBorder="1" applyAlignment="1">
      <alignment horizontal="center"/>
    </xf>
    <xf numFmtId="0" fontId="20" fillId="26" borderId="17" xfId="0" applyFont="1" applyFill="1" applyBorder="1" applyAlignment="1">
      <alignment horizontal="left"/>
    </xf>
    <xf numFmtId="0" fontId="0" fillId="29" borderId="27" xfId="0" applyFill="1" applyBorder="1" applyAlignment="1">
      <alignment horizontal="left"/>
    </xf>
    <xf numFmtId="0" fontId="0" fillId="29" borderId="26" xfId="0" applyFill="1" applyBorder="1" applyAlignment="1">
      <alignment horizontal="left"/>
    </xf>
    <xf numFmtId="0" fontId="0" fillId="29" borderId="30" xfId="0" applyFill="1" applyBorder="1" applyAlignment="1">
      <alignment horizontal="left"/>
    </xf>
    <xf numFmtId="2" fontId="0" fillId="29" borderId="12" xfId="0" applyNumberFormat="1" applyFill="1" applyBorder="1" applyAlignment="1">
      <alignment horizontal="center"/>
    </xf>
    <xf numFmtId="0" fontId="7" fillId="26" borderId="11" xfId="0" applyFont="1" applyFill="1" applyBorder="1" applyAlignment="1">
      <alignment horizontal="center"/>
    </xf>
    <xf numFmtId="0" fontId="7" fillId="26" borderId="19" xfId="0" applyFont="1" applyFill="1" applyBorder="1" applyAlignment="1">
      <alignment horizontal="center"/>
    </xf>
    <xf numFmtId="9" fontId="0" fillId="25" borderId="0" xfId="32" applyFont="1" applyFill="1" applyBorder="1" applyAlignment="1">
      <alignment horizontal="center"/>
    </xf>
    <xf numFmtId="9" fontId="0" fillId="25" borderId="18" xfId="32" applyFont="1" applyFill="1" applyBorder="1" applyAlignment="1">
      <alignment horizontal="center"/>
    </xf>
    <xf numFmtId="2" fontId="0" fillId="25" borderId="12" xfId="0" applyNumberFormat="1" applyFill="1" applyBorder="1" applyAlignment="1">
      <alignment horizontal="center"/>
    </xf>
    <xf numFmtId="167" fontId="0" fillId="25" borderId="12" xfId="0" applyNumberFormat="1" applyFill="1" applyBorder="1" applyAlignment="1">
      <alignment horizontal="center"/>
    </xf>
    <xf numFmtId="0" fontId="0" fillId="25" borderId="28" xfId="0" applyFill="1" applyBorder="1" applyAlignment="1" applyProtection="1">
      <alignment horizontal="center"/>
      <protection locked="0"/>
    </xf>
    <xf numFmtId="0" fontId="0" fillId="25" borderId="17" xfId="0" applyFill="1" applyBorder="1" applyAlignment="1" applyProtection="1">
      <alignment horizontal="center"/>
      <protection locked="0"/>
    </xf>
    <xf numFmtId="0" fontId="5" fillId="25" borderId="40" xfId="0" applyFont="1" applyFill="1" applyBorder="1" applyAlignment="1" applyProtection="1">
      <alignment horizontal="left" vertical="center"/>
    </xf>
    <xf numFmtId="0" fontId="50" fillId="25" borderId="40" xfId="0" applyFont="1" applyFill="1" applyBorder="1" applyAlignment="1" applyProtection="1">
      <alignment horizontal="center" vertical="center"/>
    </xf>
    <xf numFmtId="0" fontId="19" fillId="25" borderId="0" xfId="0" applyFont="1" applyFill="1" applyAlignment="1" applyProtection="1">
      <alignment vertical="center"/>
    </xf>
    <xf numFmtId="0" fontId="7" fillId="27" borderId="20" xfId="0" applyFont="1" applyFill="1" applyBorder="1"/>
    <xf numFmtId="0" fontId="7" fillId="27" borderId="14" xfId="0" applyFont="1" applyFill="1" applyBorder="1"/>
    <xf numFmtId="0" fontId="7" fillId="27" borderId="12" xfId="0" applyFont="1" applyFill="1" applyBorder="1"/>
    <xf numFmtId="0" fontId="51" fillId="25" borderId="0" xfId="0" applyFont="1" applyFill="1" applyAlignment="1">
      <alignment horizontal="right"/>
    </xf>
    <xf numFmtId="0" fontId="18" fillId="25" borderId="0" xfId="0" applyFont="1" applyFill="1" applyAlignment="1">
      <alignment horizontal="center"/>
    </xf>
    <xf numFmtId="164" fontId="39" fillId="25" borderId="52" xfId="0" applyNumberFormat="1" applyFont="1" applyFill="1" applyBorder="1" applyAlignment="1" applyProtection="1">
      <alignment horizontal="center" vertical="center" wrapText="1"/>
    </xf>
    <xf numFmtId="0" fontId="51" fillId="25" borderId="0" xfId="0" applyFont="1" applyFill="1" applyBorder="1" applyAlignment="1">
      <alignment horizontal="right"/>
    </xf>
    <xf numFmtId="0" fontId="18" fillId="25" borderId="0" xfId="0" applyFont="1" applyFill="1" applyBorder="1" applyAlignment="1">
      <alignment horizontal="center"/>
    </xf>
    <xf numFmtId="0" fontId="9" fillId="25" borderId="27" xfId="0" applyFont="1" applyFill="1" applyBorder="1"/>
    <xf numFmtId="0" fontId="9" fillId="25" borderId="17" xfId="0" applyFont="1" applyFill="1" applyBorder="1"/>
    <xf numFmtId="0" fontId="9" fillId="25" borderId="19" xfId="0" applyFont="1" applyFill="1" applyBorder="1"/>
    <xf numFmtId="0" fontId="9" fillId="25" borderId="15" xfId="0" applyFont="1" applyFill="1" applyBorder="1" applyAlignment="1">
      <alignment horizontal="center"/>
    </xf>
    <xf numFmtId="0" fontId="9" fillId="25" borderId="11" xfId="0" applyFont="1" applyFill="1" applyBorder="1" applyAlignment="1">
      <alignment horizontal="center"/>
    </xf>
    <xf numFmtId="0" fontId="9" fillId="25" borderId="28" xfId="0" applyFont="1" applyFill="1" applyBorder="1" applyAlignment="1">
      <alignment horizontal="center"/>
    </xf>
    <xf numFmtId="0" fontId="9" fillId="25" borderId="29" xfId="0" applyFont="1" applyFill="1" applyBorder="1" applyAlignment="1">
      <alignment horizontal="center"/>
    </xf>
    <xf numFmtId="0" fontId="9" fillId="25" borderId="17" xfId="0" applyFont="1" applyFill="1" applyBorder="1" applyAlignment="1">
      <alignment horizontal="center"/>
    </xf>
    <xf numFmtId="0" fontId="9" fillId="25" borderId="19" xfId="0" applyFont="1" applyFill="1" applyBorder="1" applyAlignment="1">
      <alignment horizontal="center"/>
    </xf>
    <xf numFmtId="0" fontId="20" fillId="25" borderId="28" xfId="0" applyFont="1" applyFill="1" applyBorder="1" applyAlignment="1">
      <alignment horizontal="left"/>
    </xf>
    <xf numFmtId="0" fontId="7" fillId="26" borderId="27" xfId="0" applyFont="1" applyFill="1" applyBorder="1" applyAlignment="1">
      <alignment horizontal="right"/>
    </xf>
    <xf numFmtId="0" fontId="27" fillId="26" borderId="27" xfId="0" applyFont="1" applyFill="1" applyBorder="1"/>
    <xf numFmtId="0" fontId="27" fillId="26" borderId="15" xfId="0" applyFont="1" applyFill="1" applyBorder="1" applyAlignment="1">
      <alignment horizontal="left"/>
    </xf>
    <xf numFmtId="0" fontId="27" fillId="26" borderId="11" xfId="0" applyFont="1" applyFill="1" applyBorder="1" applyAlignment="1">
      <alignment horizontal="center"/>
    </xf>
    <xf numFmtId="2" fontId="0" fillId="25" borderId="27" xfId="0" applyNumberFormat="1" applyFill="1" applyBorder="1" applyAlignment="1">
      <alignment horizontal="center"/>
    </xf>
    <xf numFmtId="167" fontId="0" fillId="25" borderId="30" xfId="0" applyNumberFormat="1" applyFill="1" applyBorder="1" applyAlignment="1">
      <alignment horizontal="center"/>
    </xf>
    <xf numFmtId="167" fontId="0" fillId="25" borderId="18" xfId="0" applyNumberFormat="1" applyFill="1" applyBorder="1" applyAlignment="1">
      <alignment horizontal="center"/>
    </xf>
    <xf numFmtId="0" fontId="0" fillId="24" borderId="12" xfId="0" applyFill="1" applyBorder="1"/>
    <xf numFmtId="2" fontId="0" fillId="24" borderId="12" xfId="0" applyNumberFormat="1" applyFill="1" applyBorder="1" applyAlignment="1">
      <alignment horizontal="center"/>
    </xf>
    <xf numFmtId="167" fontId="25" fillId="25" borderId="0" xfId="0" applyNumberFormat="1" applyFont="1" applyFill="1" applyProtection="1"/>
    <xf numFmtId="0" fontId="15" fillId="25" borderId="20" xfId="0" applyFont="1" applyFill="1" applyBorder="1" applyAlignment="1" applyProtection="1">
      <alignment horizontal="left" vertical="center"/>
    </xf>
    <xf numFmtId="9" fontId="9" fillId="25" borderId="14" xfId="32" applyFont="1" applyFill="1" applyBorder="1" applyAlignment="1" applyProtection="1">
      <alignment horizontal="center" vertical="center"/>
    </xf>
    <xf numFmtId="0" fontId="5" fillId="25" borderId="14" xfId="0" applyFont="1" applyFill="1" applyBorder="1" applyAlignment="1" applyProtection="1">
      <alignment horizontal="left" vertical="center"/>
    </xf>
    <xf numFmtId="9" fontId="5" fillId="25" borderId="10" xfId="32" applyFont="1" applyFill="1" applyBorder="1" applyAlignment="1" applyProtection="1">
      <alignment horizontal="left" vertical="center"/>
    </xf>
    <xf numFmtId="0" fontId="20" fillId="26" borderId="28" xfId="0" applyFont="1" applyFill="1" applyBorder="1"/>
    <xf numFmtId="0" fontId="52" fillId="26" borderId="15" xfId="0" applyFont="1" applyFill="1" applyBorder="1"/>
    <xf numFmtId="164" fontId="53" fillId="25" borderId="32" xfId="0" applyNumberFormat="1" applyFont="1" applyFill="1" applyBorder="1" applyAlignment="1" applyProtection="1">
      <alignment horizontal="center" vertical="center" wrapText="1"/>
    </xf>
    <xf numFmtId="0" fontId="0" fillId="0" borderId="0" xfId="0" applyFill="1"/>
    <xf numFmtId="14" fontId="0" fillId="0" borderId="0" xfId="0" applyNumberFormat="1" applyFill="1"/>
    <xf numFmtId="0" fontId="0" fillId="0" borderId="0" xfId="0" applyFill="1" applyAlignment="1">
      <alignment horizontal="center"/>
    </xf>
    <xf numFmtId="0" fontId="9" fillId="25" borderId="11" xfId="0" applyFont="1" applyFill="1" applyBorder="1" applyAlignment="1" applyProtection="1">
      <alignment horizontal="center"/>
    </xf>
    <xf numFmtId="0" fontId="5" fillId="25" borderId="16" xfId="0" applyFont="1" applyFill="1" applyBorder="1" applyAlignment="1" applyProtection="1">
      <alignment horizontal="center" vertical="center"/>
    </xf>
    <xf numFmtId="0" fontId="21" fillId="25" borderId="0" xfId="33" applyNumberFormat="1" applyFont="1" applyFill="1" applyBorder="1" applyAlignment="1">
      <alignment horizontal="left"/>
    </xf>
    <xf numFmtId="0" fontId="3" fillId="25" borderId="0" xfId="33" applyNumberFormat="1" applyFont="1" applyFill="1" applyBorder="1" applyAlignment="1" applyProtection="1">
      <alignment horizontal="left"/>
      <protection locked="0"/>
    </xf>
    <xf numFmtId="0" fontId="7" fillId="26" borderId="12" xfId="0" applyFont="1" applyFill="1" applyBorder="1"/>
    <xf numFmtId="0" fontId="7" fillId="26" borderId="12" xfId="0" applyFont="1" applyFill="1" applyBorder="1" applyAlignment="1">
      <alignment horizontal="right"/>
    </xf>
    <xf numFmtId="0" fontId="16" fillId="25" borderId="47" xfId="0" applyFont="1" applyFill="1" applyBorder="1" applyAlignment="1" applyProtection="1">
      <alignment horizontal="left" vertical="center"/>
    </xf>
    <xf numFmtId="0" fontId="16" fillId="25" borderId="48" xfId="0" applyFont="1" applyFill="1" applyBorder="1" applyAlignment="1" applyProtection="1">
      <alignment horizontal="left" vertical="center"/>
    </xf>
    <xf numFmtId="0" fontId="16" fillId="25" borderId="40" xfId="0" applyFont="1" applyFill="1" applyBorder="1" applyAlignment="1" applyProtection="1">
      <alignment horizontal="left" vertical="center"/>
    </xf>
    <xf numFmtId="0" fontId="16" fillId="25" borderId="31" xfId="0" applyFont="1" applyFill="1" applyBorder="1" applyAlignment="1" applyProtection="1">
      <alignment horizontal="left" vertical="center"/>
    </xf>
    <xf numFmtId="0" fontId="16" fillId="25" borderId="46" xfId="0" applyFont="1" applyFill="1" applyBorder="1" applyAlignment="1" applyProtection="1">
      <alignment horizontal="left" vertical="center"/>
    </xf>
    <xf numFmtId="0" fontId="16" fillId="25" borderId="51" xfId="0" applyFont="1" applyFill="1" applyBorder="1" applyAlignment="1" applyProtection="1">
      <alignment horizontal="left" vertical="center"/>
    </xf>
    <xf numFmtId="0" fontId="16" fillId="25" borderId="63" xfId="0" applyFont="1" applyFill="1" applyBorder="1" applyAlignment="1" applyProtection="1">
      <alignment horizontal="left" vertical="center"/>
    </xf>
    <xf numFmtId="0" fontId="16" fillId="25" borderId="60" xfId="0" applyFont="1" applyFill="1" applyBorder="1" applyAlignment="1" applyProtection="1">
      <alignment horizontal="left" vertical="center"/>
    </xf>
    <xf numFmtId="0" fontId="16" fillId="25" borderId="69" xfId="0" applyFont="1" applyFill="1" applyBorder="1" applyAlignment="1" applyProtection="1">
      <alignment horizontal="left" vertical="center"/>
    </xf>
    <xf numFmtId="0" fontId="0" fillId="27" borderId="14" xfId="0" applyFill="1" applyBorder="1"/>
    <xf numFmtId="0" fontId="0" fillId="27" borderId="22" xfId="0" applyFill="1" applyBorder="1"/>
    <xf numFmtId="0" fontId="31" fillId="25" borderId="58" xfId="0" applyFont="1" applyFill="1" applyBorder="1" applyAlignment="1">
      <alignment horizontal="center" wrapText="1"/>
    </xf>
    <xf numFmtId="0" fontId="55" fillId="31" borderId="13" xfId="0" applyFont="1" applyFill="1" applyBorder="1" applyAlignment="1">
      <alignment wrapText="1"/>
    </xf>
    <xf numFmtId="0" fontId="10" fillId="32" borderId="13" xfId="0" applyFont="1" applyFill="1" applyBorder="1" applyAlignment="1">
      <alignment wrapText="1"/>
    </xf>
    <xf numFmtId="0" fontId="10" fillId="0" borderId="0" xfId="0" applyFont="1" applyAlignment="1">
      <alignment wrapText="1"/>
    </xf>
    <xf numFmtId="0" fontId="56" fillId="25" borderId="13" xfId="0" applyFont="1" applyFill="1" applyBorder="1" applyAlignment="1">
      <alignment horizontal="center" wrapText="1"/>
    </xf>
    <xf numFmtId="0" fontId="57" fillId="31" borderId="13" xfId="0" applyFont="1" applyFill="1" applyBorder="1" applyAlignment="1">
      <alignment wrapText="1"/>
    </xf>
    <xf numFmtId="0" fontId="57" fillId="32" borderId="13" xfId="0" applyFont="1" applyFill="1" applyBorder="1" applyAlignment="1">
      <alignment wrapText="1"/>
    </xf>
    <xf numFmtId="0" fontId="57" fillId="0" borderId="0" xfId="0" applyFont="1" applyAlignment="1">
      <alignment wrapText="1"/>
    </xf>
    <xf numFmtId="0" fontId="34" fillId="25" borderId="13" xfId="0" applyFont="1" applyFill="1" applyBorder="1" applyAlignment="1">
      <alignment horizontal="center" wrapText="1"/>
    </xf>
    <xf numFmtId="0" fontId="9" fillId="31" borderId="13" xfId="0" applyFont="1" applyFill="1" applyBorder="1" applyAlignment="1">
      <alignment wrapText="1"/>
    </xf>
    <xf numFmtId="0" fontId="9" fillId="32" borderId="13" xfId="0" applyFont="1" applyFill="1" applyBorder="1" applyAlignment="1">
      <alignment wrapText="1"/>
    </xf>
    <xf numFmtId="0" fontId="9" fillId="0" borderId="0" xfId="0" applyFont="1" applyAlignment="1">
      <alignment wrapText="1"/>
    </xf>
    <xf numFmtId="0" fontId="5" fillId="25" borderId="21" xfId="0" applyFont="1" applyFill="1" applyBorder="1" applyAlignment="1" applyProtection="1">
      <alignment horizontal="center" vertical="center"/>
    </xf>
    <xf numFmtId="168" fontId="5" fillId="25" borderId="72" xfId="0" applyNumberFormat="1" applyFont="1" applyFill="1" applyBorder="1" applyProtection="1"/>
    <xf numFmtId="168" fontId="5" fillId="25" borderId="22" xfId="0" applyNumberFormat="1" applyFont="1" applyFill="1" applyBorder="1" applyAlignment="1" applyProtection="1">
      <alignment horizontal="center"/>
    </xf>
    <xf numFmtId="0" fontId="50" fillId="25" borderId="47" xfId="0" applyFont="1" applyFill="1" applyBorder="1" applyAlignment="1" applyProtection="1">
      <alignment horizontal="center" vertical="center"/>
    </xf>
    <xf numFmtId="164" fontId="5" fillId="25" borderId="52" xfId="0" applyNumberFormat="1" applyFont="1" applyFill="1" applyBorder="1" applyAlignment="1" applyProtection="1">
      <alignment horizontal="center" vertical="center"/>
    </xf>
    <xf numFmtId="0" fontId="6" fillId="25" borderId="57" xfId="0" applyFont="1" applyFill="1" applyBorder="1" applyAlignment="1" applyProtection="1">
      <alignment horizontal="center" vertical="center"/>
    </xf>
    <xf numFmtId="166" fontId="5" fillId="25" borderId="53" xfId="0" applyNumberFormat="1" applyFont="1" applyFill="1" applyBorder="1" applyAlignment="1" applyProtection="1">
      <alignment horizontal="center" vertical="center"/>
    </xf>
    <xf numFmtId="0" fontId="13" fillId="25" borderId="14" xfId="0" applyFont="1" applyFill="1" applyBorder="1" applyAlignment="1" applyProtection="1">
      <alignment vertical="center"/>
    </xf>
    <xf numFmtId="0" fontId="14" fillId="25" borderId="22" xfId="0" applyFont="1" applyFill="1" applyBorder="1" applyAlignment="1" applyProtection="1">
      <alignment horizontal="center" vertical="center"/>
    </xf>
    <xf numFmtId="0" fontId="13" fillId="25" borderId="68" xfId="0" applyFont="1" applyFill="1" applyBorder="1" applyAlignment="1" applyProtection="1">
      <alignment horizontal="center" vertical="center"/>
    </xf>
    <xf numFmtId="168" fontId="5" fillId="25" borderId="56" xfId="0" applyNumberFormat="1" applyFont="1" applyFill="1" applyBorder="1" applyProtection="1"/>
    <xf numFmtId="0" fontId="25" fillId="25" borderId="14" xfId="0" applyFont="1" applyFill="1" applyBorder="1" applyProtection="1"/>
    <xf numFmtId="164" fontId="5" fillId="25" borderId="32" xfId="0" applyNumberFormat="1" applyFont="1" applyFill="1" applyBorder="1" applyAlignment="1" applyProtection="1">
      <alignment horizontal="center" vertical="center" wrapText="1"/>
    </xf>
    <xf numFmtId="3" fontId="5" fillId="25" borderId="13" xfId="0" applyNumberFormat="1" applyFont="1" applyFill="1" applyBorder="1" applyAlignment="1" applyProtection="1">
      <alignment horizontal="center" vertical="center"/>
      <protection locked="0"/>
    </xf>
    <xf numFmtId="3" fontId="5" fillId="25" borderId="13" xfId="0" applyNumberFormat="1" applyFont="1" applyFill="1" applyBorder="1" applyAlignment="1" applyProtection="1">
      <alignment horizontal="center" vertical="center"/>
    </xf>
    <xf numFmtId="3" fontId="5" fillId="24" borderId="57" xfId="0" applyNumberFormat="1" applyFont="1" applyFill="1" applyBorder="1" applyAlignment="1" applyProtection="1">
      <alignment horizontal="center" vertical="center"/>
      <protection locked="0"/>
    </xf>
    <xf numFmtId="3" fontId="5" fillId="25" borderId="57" xfId="0" applyNumberFormat="1" applyFont="1" applyFill="1" applyBorder="1" applyAlignment="1" applyProtection="1">
      <alignment horizontal="center" vertical="center"/>
      <protection locked="0"/>
    </xf>
    <xf numFmtId="2" fontId="51" fillId="25" borderId="26" xfId="0" applyNumberFormat="1" applyFont="1" applyFill="1" applyBorder="1" applyAlignment="1">
      <alignment horizontal="center"/>
    </xf>
    <xf numFmtId="1" fontId="0" fillId="25" borderId="12" xfId="0" applyNumberFormat="1" applyFill="1" applyBorder="1" applyAlignment="1">
      <alignment horizontal="center"/>
    </xf>
    <xf numFmtId="1" fontId="0" fillId="29" borderId="12" xfId="0" applyNumberFormat="1" applyFill="1" applyBorder="1" applyAlignment="1" applyProtection="1">
      <alignment horizontal="center"/>
      <protection locked="0"/>
    </xf>
    <xf numFmtId="0" fontId="0" fillId="29" borderId="12" xfId="0" applyFill="1" applyBorder="1" applyAlignment="1" applyProtection="1">
      <alignment horizontal="center"/>
      <protection locked="0"/>
    </xf>
    <xf numFmtId="1" fontId="0" fillId="26" borderId="30" xfId="0" applyNumberFormat="1" applyFill="1" applyBorder="1" applyAlignment="1">
      <alignment horizontal="center"/>
    </xf>
    <xf numFmtId="0" fontId="0" fillId="25" borderId="22" xfId="0" applyFill="1" applyBorder="1" applyAlignment="1">
      <alignment horizontal="center"/>
    </xf>
    <xf numFmtId="0" fontId="0" fillId="25" borderId="26" xfId="0" applyFill="1" applyBorder="1" applyAlignment="1">
      <alignment horizontal="left"/>
    </xf>
    <xf numFmtId="0" fontId="9" fillId="31" borderId="13" xfId="0" quotePrefix="1" applyFont="1" applyFill="1" applyBorder="1" applyAlignment="1">
      <alignment wrapText="1"/>
    </xf>
    <xf numFmtId="0" fontId="0" fillId="25" borderId="11" xfId="0" applyNumberFormat="1" applyFill="1" applyBorder="1" applyAlignment="1">
      <alignment horizontal="center"/>
    </xf>
    <xf numFmtId="0" fontId="0" fillId="25" borderId="28" xfId="0" applyNumberFormat="1" applyFill="1" applyBorder="1" applyAlignment="1">
      <alignment horizontal="center"/>
    </xf>
    <xf numFmtId="0" fontId="0" fillId="25" borderId="29" xfId="0" applyNumberFormat="1" applyFill="1" applyBorder="1" applyAlignment="1">
      <alignment horizontal="center"/>
    </xf>
    <xf numFmtId="0" fontId="0" fillId="25" borderId="19" xfId="0" applyNumberFormat="1" applyFill="1" applyBorder="1" applyAlignment="1">
      <alignment horizontal="center"/>
    </xf>
    <xf numFmtId="1" fontId="0" fillId="29" borderId="12" xfId="0" applyNumberFormat="1" applyFill="1" applyBorder="1" applyAlignment="1">
      <alignment horizontal="center"/>
    </xf>
    <xf numFmtId="1" fontId="7" fillId="26" borderId="12" xfId="0" applyNumberFormat="1" applyFont="1" applyFill="1" applyBorder="1" applyAlignment="1">
      <alignment horizontal="center"/>
    </xf>
    <xf numFmtId="1" fontId="0" fillId="29" borderId="20" xfId="0" applyNumberFormat="1" applyFill="1" applyBorder="1" applyAlignment="1">
      <alignment horizontal="center"/>
    </xf>
    <xf numFmtId="164" fontId="39" fillId="25" borderId="32" xfId="0" applyNumberFormat="1" applyFont="1" applyFill="1" applyBorder="1" applyAlignment="1" applyProtection="1">
      <alignment horizontal="center" vertical="center" wrapText="1"/>
    </xf>
    <xf numFmtId="2" fontId="0" fillId="29" borderId="20" xfId="0" applyNumberFormat="1" applyFill="1" applyBorder="1" applyAlignment="1">
      <alignment horizontal="center"/>
    </xf>
    <xf numFmtId="0" fontId="0" fillId="25" borderId="27" xfId="0" applyNumberFormat="1" applyFill="1" applyBorder="1" applyAlignment="1">
      <alignment horizontal="center"/>
    </xf>
    <xf numFmtId="0" fontId="0" fillId="25" borderId="26" xfId="0" applyNumberFormat="1" applyFill="1" applyBorder="1" applyAlignment="1">
      <alignment horizontal="center"/>
    </xf>
    <xf numFmtId="0" fontId="0" fillId="25" borderId="30" xfId="0" applyNumberFormat="1" applyFill="1" applyBorder="1" applyAlignment="1">
      <alignment horizontal="center"/>
    </xf>
    <xf numFmtId="0" fontId="0" fillId="25" borderId="67" xfId="0" applyFill="1" applyBorder="1"/>
    <xf numFmtId="0" fontId="0" fillId="25" borderId="43" xfId="0" applyFill="1" applyBorder="1" applyAlignment="1">
      <alignment horizontal="center"/>
    </xf>
    <xf numFmtId="0" fontId="0" fillId="25" borderId="67" xfId="0" applyFill="1" applyBorder="1" applyAlignment="1">
      <alignment horizontal="center"/>
    </xf>
    <xf numFmtId="0" fontId="51" fillId="25" borderId="17" xfId="0" applyFont="1" applyFill="1" applyBorder="1"/>
    <xf numFmtId="1" fontId="0" fillId="25" borderId="18" xfId="0" applyNumberFormat="1" applyFill="1" applyBorder="1" applyAlignment="1">
      <alignment horizontal="center"/>
    </xf>
    <xf numFmtId="0" fontId="3" fillId="25" borderId="19" xfId="0" applyFont="1" applyFill="1" applyBorder="1" applyAlignment="1">
      <alignment horizontal="center"/>
    </xf>
    <xf numFmtId="0" fontId="51" fillId="25" borderId="30" xfId="0" applyFont="1" applyFill="1" applyBorder="1"/>
    <xf numFmtId="0" fontId="44" fillId="25" borderId="28" xfId="0" applyFont="1" applyFill="1" applyBorder="1"/>
    <xf numFmtId="170" fontId="9" fillId="25" borderId="0" xfId="0" applyNumberFormat="1" applyFont="1" applyFill="1" applyProtection="1"/>
    <xf numFmtId="9" fontId="0" fillId="25" borderId="29" xfId="32" applyFont="1" applyFill="1" applyBorder="1" applyAlignment="1">
      <alignment horizontal="center"/>
    </xf>
    <xf numFmtId="9" fontId="0" fillId="25" borderId="19" xfId="32" applyFont="1" applyFill="1" applyBorder="1" applyAlignment="1">
      <alignment horizontal="center"/>
    </xf>
    <xf numFmtId="0" fontId="19" fillId="25" borderId="25" xfId="0" applyFont="1" applyFill="1" applyBorder="1" applyAlignment="1" applyProtection="1">
      <alignment vertical="center"/>
    </xf>
    <xf numFmtId="0" fontId="47" fillId="25" borderId="16" xfId="0" applyFont="1" applyFill="1" applyBorder="1" applyAlignment="1" applyProtection="1">
      <alignment horizontal="center" vertical="center"/>
    </xf>
    <xf numFmtId="173" fontId="47" fillId="25" borderId="16" xfId="0" applyNumberFormat="1" applyFont="1" applyFill="1" applyBorder="1" applyAlignment="1" applyProtection="1">
      <alignment horizontal="center" vertical="center"/>
    </xf>
    <xf numFmtId="168" fontId="47" fillId="25" borderId="51" xfId="0" applyNumberFormat="1" applyFont="1" applyFill="1" applyBorder="1" applyAlignment="1" applyProtection="1">
      <alignment vertical="center"/>
    </xf>
    <xf numFmtId="168" fontId="47" fillId="25" borderId="52" xfId="0" applyNumberFormat="1" applyFont="1" applyFill="1" applyBorder="1" applyAlignment="1" applyProtection="1">
      <alignment horizontal="center" vertical="center"/>
    </xf>
    <xf numFmtId="0" fontId="42" fillId="25" borderId="0" xfId="0" applyFont="1" applyFill="1" applyProtection="1"/>
    <xf numFmtId="0" fontId="27" fillId="26" borderId="11" xfId="0" applyFont="1" applyFill="1" applyBorder="1" applyAlignment="1" applyProtection="1">
      <alignment horizontal="left"/>
    </xf>
    <xf numFmtId="0" fontId="0" fillId="26" borderId="14" xfId="0" applyFill="1" applyBorder="1"/>
    <xf numFmtId="0" fontId="41" fillId="25" borderId="28" xfId="0" applyFont="1" applyFill="1" applyBorder="1" applyAlignment="1">
      <alignment horizontal="center"/>
    </xf>
    <xf numFmtId="0" fontId="18" fillId="25" borderId="28" xfId="0" applyFont="1" applyFill="1" applyBorder="1" applyAlignment="1">
      <alignment horizontal="center"/>
    </xf>
    <xf numFmtId="0" fontId="7" fillId="33" borderId="10" xfId="0" applyFont="1" applyFill="1" applyBorder="1"/>
    <xf numFmtId="0" fontId="30" fillId="33" borderId="11" xfId="0" applyFont="1" applyFill="1" applyBorder="1" applyAlignment="1">
      <alignment horizontal="center"/>
    </xf>
    <xf numFmtId="0" fontId="7" fillId="33" borderId="27" xfId="0" applyFont="1" applyFill="1" applyBorder="1" applyAlignment="1">
      <alignment horizontal="center"/>
    </xf>
    <xf numFmtId="0" fontId="7" fillId="33" borderId="28" xfId="0" applyFont="1" applyFill="1" applyBorder="1"/>
    <xf numFmtId="0" fontId="7" fillId="33" borderId="26" xfId="0" applyFont="1" applyFill="1" applyBorder="1"/>
    <xf numFmtId="0" fontId="36" fillId="33" borderId="26" xfId="0" applyFont="1" applyFill="1" applyBorder="1" applyAlignment="1">
      <alignment horizontal="center"/>
    </xf>
    <xf numFmtId="0" fontId="7" fillId="33" borderId="26" xfId="0" applyFont="1" applyFill="1" applyBorder="1" applyAlignment="1">
      <alignment horizontal="center"/>
    </xf>
    <xf numFmtId="0" fontId="7" fillId="33" borderId="28" xfId="0" applyFont="1" applyFill="1" applyBorder="1" applyAlignment="1">
      <alignment horizontal="center"/>
    </xf>
    <xf numFmtId="0" fontId="20" fillId="27" borderId="12" xfId="0" applyFont="1" applyFill="1" applyBorder="1" applyAlignment="1">
      <alignment horizontal="center"/>
    </xf>
    <xf numFmtId="0" fontId="0" fillId="25" borderId="27" xfId="0" applyFill="1" applyBorder="1" applyAlignment="1" applyProtection="1">
      <alignment horizontal="center"/>
    </xf>
    <xf numFmtId="0" fontId="0" fillId="25" borderId="26" xfId="0" applyFill="1" applyBorder="1" applyAlignment="1" applyProtection="1">
      <alignment horizontal="center"/>
    </xf>
    <xf numFmtId="0" fontId="0" fillId="25" borderId="30" xfId="0" applyFill="1" applyBorder="1" applyAlignment="1" applyProtection="1">
      <alignment horizontal="center"/>
    </xf>
    <xf numFmtId="0" fontId="34" fillId="25" borderId="58" xfId="0" applyFont="1" applyFill="1" applyBorder="1" applyAlignment="1">
      <alignment horizontal="center" wrapText="1"/>
    </xf>
    <xf numFmtId="0" fontId="9" fillId="31" borderId="58" xfId="0" applyFont="1" applyFill="1" applyBorder="1" applyAlignment="1">
      <alignment wrapText="1"/>
    </xf>
    <xf numFmtId="0" fontId="9" fillId="32" borderId="58" xfId="0" applyFont="1" applyFill="1" applyBorder="1" applyAlignment="1">
      <alignment wrapText="1"/>
    </xf>
    <xf numFmtId="0" fontId="0" fillId="26" borderId="12" xfId="0" applyFill="1" applyBorder="1" applyAlignment="1">
      <alignment horizontal="center"/>
    </xf>
    <xf numFmtId="0" fontId="7" fillId="26" borderId="29" xfId="0" applyFont="1" applyFill="1" applyBorder="1"/>
    <xf numFmtId="1" fontId="0" fillId="25" borderId="22" xfId="0" applyNumberFormat="1" applyFill="1" applyBorder="1" applyAlignment="1">
      <alignment horizontal="center"/>
    </xf>
    <xf numFmtId="1" fontId="0" fillId="25" borderId="30" xfId="0" applyNumberFormat="1" applyFill="1" applyBorder="1" applyAlignment="1">
      <alignment horizontal="center"/>
    </xf>
    <xf numFmtId="0" fontId="7" fillId="26" borderId="22" xfId="0" applyFont="1" applyFill="1" applyBorder="1" applyAlignment="1">
      <alignment horizontal="center"/>
    </xf>
    <xf numFmtId="2" fontId="25" fillId="25" borderId="0" xfId="0" applyNumberFormat="1" applyFont="1" applyFill="1" applyProtection="1"/>
    <xf numFmtId="0" fontId="7" fillId="30" borderId="14" xfId="0" applyFont="1" applyFill="1" applyBorder="1" applyAlignment="1" applyProtection="1">
      <alignment horizontal="center"/>
      <protection locked="0"/>
    </xf>
    <xf numFmtId="0" fontId="0" fillId="30" borderId="29" xfId="0" applyFill="1" applyBorder="1" applyAlignment="1" applyProtection="1">
      <alignment horizontal="center"/>
      <protection locked="0"/>
    </xf>
    <xf numFmtId="0" fontId="0" fillId="30" borderId="19" xfId="0" applyFill="1" applyBorder="1" applyAlignment="1" applyProtection="1">
      <alignment horizontal="center"/>
      <protection locked="0"/>
    </xf>
    <xf numFmtId="0" fontId="3" fillId="30" borderId="10" xfId="0" applyFont="1" applyFill="1" applyBorder="1" applyAlignment="1" applyProtection="1">
      <alignment horizontal="center"/>
      <protection locked="0"/>
    </xf>
    <xf numFmtId="0" fontId="3" fillId="30" borderId="11" xfId="0" applyFont="1" applyFill="1" applyBorder="1" applyAlignment="1" applyProtection="1">
      <alignment horizontal="center"/>
      <protection locked="0"/>
    </xf>
    <xf numFmtId="0" fontId="3" fillId="24" borderId="10" xfId="0" applyFont="1" applyFill="1" applyBorder="1" applyAlignment="1" applyProtection="1">
      <alignment horizontal="left"/>
    </xf>
    <xf numFmtId="0" fontId="9" fillId="30" borderId="11" xfId="0" applyFont="1" applyFill="1" applyBorder="1" applyProtection="1">
      <protection locked="0"/>
    </xf>
    <xf numFmtId="0" fontId="9" fillId="30" borderId="29" xfId="0" applyFont="1" applyFill="1" applyBorder="1" applyProtection="1">
      <protection locked="0"/>
    </xf>
    <xf numFmtId="0" fontId="9" fillId="30" borderId="19" xfId="0" applyFont="1" applyFill="1" applyBorder="1" applyProtection="1">
      <protection locked="0"/>
    </xf>
    <xf numFmtId="0" fontId="7" fillId="26" borderId="20" xfId="0" applyFont="1" applyFill="1" applyBorder="1" applyProtection="1"/>
    <xf numFmtId="0" fontId="0" fillId="26" borderId="22" xfId="0" applyFill="1" applyBorder="1" applyProtection="1"/>
    <xf numFmtId="0" fontId="0" fillId="25" borderId="28" xfId="0" applyFill="1" applyBorder="1" applyAlignment="1" applyProtection="1">
      <alignment horizontal="left"/>
    </xf>
    <xf numFmtId="0" fontId="0" fillId="25" borderId="29" xfId="0" applyFill="1" applyBorder="1" applyAlignment="1" applyProtection="1">
      <alignment horizontal="center"/>
    </xf>
    <xf numFmtId="0" fontId="0" fillId="25" borderId="17" xfId="0" applyFill="1" applyBorder="1" applyAlignment="1" applyProtection="1">
      <alignment horizontal="left"/>
    </xf>
    <xf numFmtId="0" fontId="0" fillId="25" borderId="19" xfId="0" applyFill="1" applyBorder="1" applyAlignment="1" applyProtection="1">
      <alignment horizontal="center"/>
    </xf>
    <xf numFmtId="0" fontId="0" fillId="25" borderId="14" xfId="0" applyFill="1" applyBorder="1" applyProtection="1"/>
    <xf numFmtId="0" fontId="0" fillId="25" borderId="0" xfId="0" applyFill="1" applyProtection="1"/>
    <xf numFmtId="0" fontId="27" fillId="26" borderId="20" xfId="0" applyFont="1" applyFill="1" applyBorder="1" applyAlignment="1" applyProtection="1">
      <alignment horizontal="left"/>
    </xf>
    <xf numFmtId="167" fontId="0" fillId="25" borderId="29" xfId="0" applyNumberFormat="1" applyFill="1" applyBorder="1" applyAlignment="1" applyProtection="1">
      <alignment horizontal="center"/>
    </xf>
    <xf numFmtId="167" fontId="0" fillId="25" borderId="19" xfId="0" applyNumberFormat="1" applyFill="1" applyBorder="1" applyAlignment="1" applyProtection="1">
      <alignment horizontal="center"/>
    </xf>
    <xf numFmtId="0" fontId="0" fillId="25" borderId="20" xfId="0" applyFill="1" applyBorder="1" applyProtection="1"/>
    <xf numFmtId="167" fontId="0" fillId="25" borderId="22" xfId="0" applyNumberFormat="1" applyFill="1" applyBorder="1" applyAlignment="1" applyProtection="1">
      <alignment horizontal="center"/>
    </xf>
    <xf numFmtId="0" fontId="9" fillId="25" borderId="0" xfId="0" applyFont="1" applyFill="1" applyBorder="1"/>
    <xf numFmtId="1" fontId="9" fillId="25" borderId="0" xfId="0" applyNumberFormat="1" applyFont="1" applyFill="1" applyBorder="1" applyAlignment="1">
      <alignment horizontal="left"/>
    </xf>
    <xf numFmtId="1" fontId="9" fillId="25" borderId="0" xfId="0" applyNumberFormat="1" applyFont="1" applyFill="1" applyBorder="1" applyAlignment="1">
      <alignment horizontal="center"/>
    </xf>
    <xf numFmtId="167" fontId="9" fillId="25" borderId="0" xfId="0" applyNumberFormat="1" applyFont="1" applyFill="1" applyBorder="1" applyAlignment="1">
      <alignment horizontal="center"/>
    </xf>
    <xf numFmtId="0" fontId="3" fillId="25" borderId="28" xfId="0" applyFont="1" applyFill="1" applyBorder="1" applyAlignment="1" applyProtection="1">
      <alignment horizontal="left"/>
    </xf>
    <xf numFmtId="0" fontId="3" fillId="25" borderId="17" xfId="0" applyFont="1" applyFill="1" applyBorder="1" applyAlignment="1" applyProtection="1">
      <alignment horizontal="left"/>
    </xf>
    <xf numFmtId="1" fontId="9" fillId="25" borderId="15" xfId="0" applyNumberFormat="1" applyFont="1" applyFill="1" applyBorder="1" applyAlignment="1">
      <alignment horizontal="left"/>
    </xf>
    <xf numFmtId="1" fontId="23" fillId="34" borderId="20" xfId="0" applyNumberFormat="1" applyFont="1" applyFill="1" applyBorder="1" applyAlignment="1">
      <alignment horizontal="left"/>
    </xf>
    <xf numFmtId="1" fontId="23" fillId="34" borderId="14" xfId="0" applyNumberFormat="1" applyFont="1" applyFill="1" applyBorder="1" applyAlignment="1">
      <alignment horizontal="center"/>
    </xf>
    <xf numFmtId="1" fontId="9" fillId="25" borderId="27" xfId="0" applyNumberFormat="1" applyFont="1" applyFill="1" applyBorder="1" applyAlignment="1">
      <alignment horizontal="center"/>
    </xf>
    <xf numFmtId="0" fontId="0" fillId="34" borderId="20" xfId="0" applyFill="1" applyBorder="1"/>
    <xf numFmtId="0" fontId="0" fillId="29" borderId="19" xfId="0" applyFill="1" applyBorder="1" applyAlignment="1">
      <alignment horizontal="left"/>
    </xf>
    <xf numFmtId="0" fontId="0" fillId="27" borderId="17" xfId="0" applyFill="1" applyBorder="1"/>
    <xf numFmtId="0" fontId="5" fillId="24" borderId="20" xfId="0" applyFont="1" applyFill="1" applyBorder="1"/>
    <xf numFmtId="1" fontId="9" fillId="25" borderId="30" xfId="0" applyNumberFormat="1" applyFont="1" applyFill="1" applyBorder="1" applyAlignment="1">
      <alignment horizontal="center"/>
    </xf>
    <xf numFmtId="1" fontId="9" fillId="25" borderId="30" xfId="0" applyNumberFormat="1" applyFont="1" applyFill="1" applyBorder="1" applyAlignment="1">
      <alignment horizontal="left"/>
    </xf>
    <xf numFmtId="0" fontId="0" fillId="30" borderId="30" xfId="0" applyFill="1" applyBorder="1" applyProtection="1">
      <protection locked="0"/>
    </xf>
    <xf numFmtId="0" fontId="0" fillId="34" borderId="12" xfId="0" applyFill="1" applyBorder="1"/>
    <xf numFmtId="167" fontId="9" fillId="25" borderId="30" xfId="0" applyNumberFormat="1" applyFont="1" applyFill="1" applyBorder="1" applyAlignment="1">
      <alignment horizontal="center"/>
    </xf>
    <xf numFmtId="0" fontId="9" fillId="25" borderId="26" xfId="0" applyFont="1" applyFill="1" applyBorder="1" applyAlignment="1">
      <alignment horizontal="left"/>
    </xf>
    <xf numFmtId="1" fontId="0" fillId="25" borderId="17" xfId="0" applyNumberFormat="1" applyFill="1" applyBorder="1" applyAlignment="1">
      <alignment horizontal="center"/>
    </xf>
    <xf numFmtId="1" fontId="0" fillId="25" borderId="15" xfId="0" applyNumberFormat="1" applyFill="1" applyBorder="1"/>
    <xf numFmtId="1" fontId="0" fillId="25" borderId="28" xfId="0" applyNumberFormat="1" applyFill="1" applyBorder="1"/>
    <xf numFmtId="1" fontId="0" fillId="25" borderId="17" xfId="0" applyNumberFormat="1" applyFill="1" applyBorder="1"/>
    <xf numFmtId="0" fontId="9" fillId="25" borderId="30" xfId="0" applyFont="1" applyFill="1" applyBorder="1" applyAlignment="1">
      <alignment horizontal="left"/>
    </xf>
    <xf numFmtId="167" fontId="20" fillId="26" borderId="22" xfId="0" applyNumberFormat="1" applyFont="1" applyFill="1" applyBorder="1" applyAlignment="1">
      <alignment horizontal="center"/>
    </xf>
    <xf numFmtId="0" fontId="9" fillId="25" borderId="18" xfId="0" applyFont="1" applyFill="1" applyBorder="1" applyAlignment="1">
      <alignment horizontal="center"/>
    </xf>
    <xf numFmtId="0" fontId="0" fillId="25" borderId="12" xfId="0" applyFill="1" applyBorder="1" applyAlignment="1">
      <alignment horizontal="left"/>
    </xf>
    <xf numFmtId="0" fontId="0" fillId="29" borderId="14" xfId="0" applyFill="1" applyBorder="1"/>
    <xf numFmtId="0" fontId="0" fillId="25" borderId="30" xfId="0" applyFill="1" applyBorder="1" applyAlignment="1" applyProtection="1">
      <alignment horizontal="center"/>
      <protection locked="0"/>
    </xf>
    <xf numFmtId="0" fontId="20" fillId="27" borderId="76" xfId="0" applyFont="1" applyFill="1" applyBorder="1" applyAlignment="1">
      <alignment horizontal="center"/>
    </xf>
    <xf numFmtId="0" fontId="0" fillId="25" borderId="62" xfId="0" applyFill="1" applyBorder="1" applyAlignment="1" applyProtection="1">
      <alignment horizontal="center"/>
      <protection locked="0"/>
    </xf>
    <xf numFmtId="169" fontId="0" fillId="25" borderId="27" xfId="0" applyNumberFormat="1" applyFill="1" applyBorder="1" applyAlignment="1">
      <alignment horizontal="center"/>
    </xf>
    <xf numFmtId="169" fontId="0" fillId="25" borderId="15" xfId="0" applyNumberFormat="1" applyFill="1" applyBorder="1" applyAlignment="1">
      <alignment horizontal="center"/>
    </xf>
    <xf numFmtId="169" fontId="0" fillId="25" borderId="26" xfId="0" applyNumberFormat="1" applyFill="1" applyBorder="1" applyAlignment="1">
      <alignment horizontal="center"/>
    </xf>
    <xf numFmtId="169" fontId="0" fillId="25" borderId="28" xfId="0" applyNumberFormat="1" applyFill="1" applyBorder="1" applyAlignment="1">
      <alignment horizontal="center"/>
    </xf>
    <xf numFmtId="0" fontId="0" fillId="25" borderId="77" xfId="0" applyFill="1" applyBorder="1" applyAlignment="1" applyProtection="1">
      <alignment horizontal="center"/>
      <protection locked="0"/>
    </xf>
    <xf numFmtId="169" fontId="0" fillId="25" borderId="30" xfId="0" applyNumberFormat="1" applyFill="1" applyBorder="1" applyAlignment="1">
      <alignment horizontal="center"/>
    </xf>
    <xf numFmtId="169" fontId="0" fillId="25" borderId="17" xfId="0" applyNumberFormat="1" applyFill="1" applyBorder="1" applyAlignment="1">
      <alignment horizontal="center"/>
    </xf>
    <xf numFmtId="0" fontId="75" fillId="25" borderId="0" xfId="0" applyFont="1" applyFill="1" applyAlignment="1">
      <alignment horizontal="right"/>
    </xf>
    <xf numFmtId="0" fontId="20" fillId="27" borderId="15" xfId="0" applyFont="1" applyFill="1" applyBorder="1" applyAlignment="1">
      <alignment horizontal="center"/>
    </xf>
    <xf numFmtId="169" fontId="3" fillId="29" borderId="12" xfId="0" applyNumberFormat="1" applyFont="1" applyFill="1" applyBorder="1" applyAlignment="1">
      <alignment horizontal="center"/>
    </xf>
    <xf numFmtId="169" fontId="0" fillId="29" borderId="12" xfId="0" applyNumberFormat="1" applyFill="1" applyBorder="1" applyAlignment="1">
      <alignment horizontal="center"/>
    </xf>
    <xf numFmtId="0" fontId="18" fillId="29" borderId="12" xfId="0" applyFont="1" applyFill="1" applyBorder="1"/>
    <xf numFmtId="0" fontId="20" fillId="27" borderId="15" xfId="0" applyFont="1" applyFill="1" applyBorder="1" applyAlignment="1">
      <alignment horizontal="left"/>
    </xf>
    <xf numFmtId="0" fontId="20" fillId="27" borderId="11" xfId="0" applyFont="1" applyFill="1" applyBorder="1" applyAlignment="1">
      <alignment horizontal="center"/>
    </xf>
    <xf numFmtId="167" fontId="0" fillId="25" borderId="15" xfId="0" applyNumberFormat="1" applyFill="1" applyBorder="1" applyAlignment="1">
      <alignment horizontal="left"/>
    </xf>
    <xf numFmtId="167" fontId="0" fillId="25" borderId="28" xfId="0" applyNumberFormat="1" applyFill="1" applyBorder="1" applyAlignment="1">
      <alignment horizontal="left"/>
    </xf>
    <xf numFmtId="167" fontId="0" fillId="25" borderId="17" xfId="0" applyNumberFormat="1" applyFill="1" applyBorder="1" applyAlignment="1">
      <alignment horizontal="left"/>
    </xf>
    <xf numFmtId="167" fontId="0" fillId="29" borderId="20" xfId="0" applyNumberFormat="1" applyFill="1" applyBorder="1" applyAlignment="1">
      <alignment horizontal="left"/>
    </xf>
    <xf numFmtId="167" fontId="0" fillId="29" borderId="12" xfId="0" applyNumberFormat="1" applyFill="1" applyBorder="1" applyAlignment="1">
      <alignment horizontal="center"/>
    </xf>
    <xf numFmtId="167" fontId="0" fillId="25" borderId="27" xfId="0" applyNumberFormat="1" applyFill="1" applyBorder="1" applyAlignment="1">
      <alignment horizontal="center"/>
    </xf>
    <xf numFmtId="167" fontId="0" fillId="25" borderId="22" xfId="0" applyNumberFormat="1" applyFill="1" applyBorder="1" applyAlignment="1">
      <alignment horizontal="center"/>
    </xf>
    <xf numFmtId="0" fontId="2" fillId="25" borderId="26" xfId="0" applyFont="1" applyFill="1" applyBorder="1"/>
    <xf numFmtId="0" fontId="2" fillId="25" borderId="30" xfId="0" applyFont="1" applyFill="1" applyBorder="1"/>
    <xf numFmtId="0" fontId="2" fillId="0" borderId="0" xfId="0" applyFont="1" applyFill="1"/>
    <xf numFmtId="9" fontId="9" fillId="25" borderId="0" xfId="0" applyNumberFormat="1" applyFont="1" applyFill="1" applyAlignment="1" applyProtection="1">
      <alignment horizontal="left"/>
    </xf>
    <xf numFmtId="166" fontId="5" fillId="25" borderId="33" xfId="0" applyNumberFormat="1" applyFont="1" applyFill="1" applyBorder="1" applyAlignment="1" applyProtection="1">
      <alignment horizontal="center" vertical="center"/>
    </xf>
    <xf numFmtId="0" fontId="2" fillId="25" borderId="15" xfId="0" applyFont="1" applyFill="1" applyBorder="1"/>
    <xf numFmtId="0" fontId="2" fillId="25" borderId="28" xfId="0" applyFont="1" applyFill="1" applyBorder="1"/>
    <xf numFmtId="0" fontId="9" fillId="25" borderId="0" xfId="0" applyFont="1" applyFill="1" applyBorder="1" applyAlignment="1" applyProtection="1">
      <alignment horizontal="center"/>
    </xf>
    <xf numFmtId="0" fontId="7" fillId="33" borderId="15" xfId="0" applyFont="1" applyFill="1" applyBorder="1" applyAlignment="1">
      <alignment horizontal="center"/>
    </xf>
    <xf numFmtId="0" fontId="0" fillId="25" borderId="0" xfId="0" applyFill="1" applyAlignment="1">
      <alignment horizontal="left"/>
    </xf>
    <xf numFmtId="0" fontId="77" fillId="36" borderId="0" xfId="0" applyFont="1" applyFill="1"/>
    <xf numFmtId="0" fontId="77" fillId="36" borderId="0" xfId="0" applyFont="1" applyFill="1" applyAlignment="1">
      <alignment horizontal="center"/>
    </xf>
    <xf numFmtId="0" fontId="77" fillId="36" borderId="15" xfId="0" applyFont="1" applyFill="1" applyBorder="1" applyAlignment="1">
      <alignment horizontal="center"/>
    </xf>
    <xf numFmtId="0" fontId="77" fillId="36" borderId="27" xfId="0" applyFont="1" applyFill="1" applyBorder="1"/>
    <xf numFmtId="0" fontId="77" fillId="36" borderId="15" xfId="0" applyFont="1" applyFill="1" applyBorder="1"/>
    <xf numFmtId="0" fontId="77" fillId="36" borderId="11" xfId="0" applyFont="1" applyFill="1" applyBorder="1"/>
    <xf numFmtId="0" fontId="77" fillId="36" borderId="27" xfId="0" applyFont="1" applyFill="1" applyBorder="1" applyAlignment="1">
      <alignment horizontal="center"/>
    </xf>
    <xf numFmtId="0" fontId="77" fillId="36" borderId="26" xfId="0" applyFont="1" applyFill="1" applyBorder="1" applyAlignment="1">
      <alignment horizontal="center"/>
    </xf>
    <xf numFmtId="0" fontId="77" fillId="36" borderId="29" xfId="0" applyFont="1" applyFill="1" applyBorder="1" applyAlignment="1">
      <alignment horizontal="center"/>
    </xf>
    <xf numFmtId="0" fontId="77" fillId="36" borderId="26" xfId="0" applyFont="1" applyFill="1" applyBorder="1"/>
    <xf numFmtId="0" fontId="77" fillId="36" borderId="11" xfId="0" applyFont="1" applyFill="1" applyBorder="1" applyAlignment="1">
      <alignment horizontal="center"/>
    </xf>
    <xf numFmtId="0" fontId="77" fillId="36" borderId="17" xfId="0" applyFont="1" applyFill="1" applyBorder="1" applyAlignment="1">
      <alignment horizontal="center"/>
    </xf>
    <xf numFmtId="0" fontId="77" fillId="36" borderId="19" xfId="0" applyFont="1" applyFill="1" applyBorder="1" applyAlignment="1">
      <alignment horizontal="center"/>
    </xf>
    <xf numFmtId="0" fontId="77" fillId="36" borderId="30" xfId="0" applyFont="1" applyFill="1" applyBorder="1" applyAlignment="1">
      <alignment horizontal="center"/>
    </xf>
    <xf numFmtId="167" fontId="77" fillId="36" borderId="27" xfId="0" applyNumberFormat="1" applyFont="1" applyFill="1" applyBorder="1" applyAlignment="1">
      <alignment horizontal="center"/>
    </xf>
    <xf numFmtId="2" fontId="77" fillId="36" borderId="11" xfId="0" applyNumberFormat="1" applyFont="1" applyFill="1" applyBorder="1" applyAlignment="1">
      <alignment horizontal="center"/>
    </xf>
    <xf numFmtId="0" fontId="77" fillId="36" borderId="29" xfId="0" applyFont="1" applyFill="1" applyBorder="1"/>
    <xf numFmtId="0" fontId="77" fillId="36" borderId="28" xfId="0" applyFont="1" applyFill="1" applyBorder="1"/>
    <xf numFmtId="2" fontId="77" fillId="36" borderId="29" xfId="0" applyNumberFormat="1" applyFont="1" applyFill="1" applyBorder="1"/>
    <xf numFmtId="167" fontId="77" fillId="36" borderId="28" xfId="0" applyNumberFormat="1" applyFont="1" applyFill="1" applyBorder="1" applyAlignment="1">
      <alignment horizontal="center"/>
    </xf>
    <xf numFmtId="167" fontId="77" fillId="36" borderId="29" xfId="0" applyNumberFormat="1" applyFont="1" applyFill="1" applyBorder="1" applyAlignment="1">
      <alignment horizontal="center"/>
    </xf>
    <xf numFmtId="167" fontId="77" fillId="36" borderId="26" xfId="0" applyNumberFormat="1" applyFont="1" applyFill="1" applyBorder="1" applyAlignment="1">
      <alignment horizontal="center"/>
    </xf>
    <xf numFmtId="2" fontId="77" fillId="36" borderId="26" xfId="0" applyNumberFormat="1" applyFont="1" applyFill="1" applyBorder="1" applyAlignment="1">
      <alignment horizontal="center"/>
    </xf>
    <xf numFmtId="0" fontId="77" fillId="36" borderId="17" xfId="0" applyFont="1" applyFill="1" applyBorder="1"/>
    <xf numFmtId="0" fontId="77" fillId="36" borderId="19" xfId="0" applyFont="1" applyFill="1" applyBorder="1"/>
    <xf numFmtId="0" fontId="77" fillId="36" borderId="30" xfId="0" applyFont="1" applyFill="1" applyBorder="1"/>
    <xf numFmtId="2" fontId="77" fillId="36" borderId="19" xfId="0" applyNumberFormat="1" applyFont="1" applyFill="1" applyBorder="1"/>
    <xf numFmtId="167" fontId="77" fillId="36" borderId="17" xfId="0" applyNumberFormat="1" applyFont="1" applyFill="1" applyBorder="1" applyAlignment="1">
      <alignment horizontal="center"/>
    </xf>
    <xf numFmtId="167" fontId="77" fillId="36" borderId="19" xfId="0" applyNumberFormat="1" applyFont="1" applyFill="1" applyBorder="1" applyAlignment="1">
      <alignment horizontal="center"/>
    </xf>
    <xf numFmtId="167" fontId="77" fillId="36" borderId="30" xfId="0" applyNumberFormat="1" applyFont="1" applyFill="1" applyBorder="1" applyAlignment="1">
      <alignment horizontal="center"/>
    </xf>
    <xf numFmtId="0" fontId="0" fillId="36" borderId="0" xfId="0" applyFill="1"/>
    <xf numFmtId="2" fontId="1" fillId="25" borderId="26" xfId="0" applyNumberFormat="1" applyFont="1" applyFill="1" applyBorder="1" applyAlignment="1">
      <alignment horizontal="center"/>
    </xf>
    <xf numFmtId="0" fontId="7" fillId="33" borderId="27" xfId="0" applyFont="1" applyFill="1" applyBorder="1" applyAlignment="1">
      <alignment horizontal="left"/>
    </xf>
    <xf numFmtId="0" fontId="7" fillId="33" borderId="26" xfId="0" applyFont="1" applyFill="1" applyBorder="1" applyAlignment="1">
      <alignment horizontal="left"/>
    </xf>
    <xf numFmtId="0" fontId="30" fillId="33" borderId="0" xfId="0" applyFont="1" applyFill="1" applyBorder="1" applyAlignment="1">
      <alignment horizontal="center"/>
    </xf>
    <xf numFmtId="0" fontId="1" fillId="25" borderId="20" xfId="0" applyFont="1" applyFill="1" applyBorder="1" applyProtection="1"/>
    <xf numFmtId="0" fontId="3" fillId="36" borderId="0" xfId="0" applyFont="1" applyFill="1"/>
    <xf numFmtId="0" fontId="18" fillId="36" borderId="0" xfId="0" applyFont="1" applyFill="1"/>
    <xf numFmtId="0" fontId="0" fillId="38" borderId="29" xfId="0" applyFill="1" applyBorder="1" applyAlignment="1" applyProtection="1">
      <alignment horizontal="center"/>
      <protection locked="0"/>
    </xf>
    <xf numFmtId="0" fontId="0" fillId="38" borderId="19" xfId="0" applyFill="1" applyBorder="1" applyAlignment="1" applyProtection="1">
      <alignment horizontal="center"/>
      <protection locked="0"/>
    </xf>
    <xf numFmtId="0" fontId="9" fillId="25" borderId="19" xfId="0" applyFont="1" applyFill="1" applyBorder="1" applyProtection="1"/>
    <xf numFmtId="0" fontId="15" fillId="25" borderId="0" xfId="0" applyFont="1" applyFill="1" applyAlignment="1"/>
    <xf numFmtId="0" fontId="0" fillId="25" borderId="0" xfId="0" applyFill="1" applyAlignment="1"/>
    <xf numFmtId="0" fontId="10" fillId="25" borderId="28" xfId="0" applyFont="1" applyFill="1" applyBorder="1" applyAlignment="1"/>
    <xf numFmtId="0" fontId="0" fillId="25" borderId="0" xfId="0" applyFill="1" applyBorder="1" applyAlignment="1"/>
    <xf numFmtId="0" fontId="0" fillId="25" borderId="28" xfId="0" applyFill="1" applyBorder="1" applyAlignment="1"/>
    <xf numFmtId="0" fontId="9" fillId="25" borderId="0" xfId="0" applyFont="1" applyFill="1" applyAlignment="1"/>
    <xf numFmtId="0" fontId="0" fillId="25" borderId="18" xfId="0" applyFill="1" applyBorder="1" applyAlignment="1"/>
    <xf numFmtId="0" fontId="9" fillId="25" borderId="15" xfId="0" applyFont="1" applyFill="1" applyBorder="1" applyAlignment="1">
      <alignment horizontal="left"/>
    </xf>
    <xf numFmtId="0" fontId="13" fillId="25" borderId="0" xfId="0" applyFont="1" applyFill="1" applyAlignment="1" applyProtection="1"/>
    <xf numFmtId="0" fontId="9" fillId="25" borderId="10" xfId="0" applyFont="1" applyFill="1" applyBorder="1" applyAlignment="1">
      <alignment horizontal="center"/>
    </xf>
    <xf numFmtId="49" fontId="9" fillId="25" borderId="0" xfId="0" applyNumberFormat="1" applyFont="1" applyFill="1" applyBorder="1" applyAlignment="1">
      <alignment horizontal="center"/>
    </xf>
    <xf numFmtId="0" fontId="42" fillId="25" borderId="0" xfId="0" applyFont="1" applyFill="1" applyBorder="1" applyAlignment="1">
      <alignment horizontal="center"/>
    </xf>
    <xf numFmtId="0" fontId="13" fillId="25" borderId="49" xfId="0" applyFont="1" applyFill="1" applyBorder="1" applyAlignment="1" applyProtection="1"/>
    <xf numFmtId="164" fontId="9" fillId="25" borderId="35" xfId="0" applyNumberFormat="1" applyFont="1" applyFill="1" applyBorder="1" applyAlignment="1">
      <alignment horizontal="center"/>
    </xf>
    <xf numFmtId="0" fontId="13" fillId="25" borderId="43" xfId="0" applyFont="1" applyFill="1" applyBorder="1" applyAlignment="1" applyProtection="1"/>
    <xf numFmtId="0" fontId="10" fillId="25" borderId="29" xfId="0" applyFont="1" applyFill="1" applyBorder="1" applyAlignment="1" applyProtection="1"/>
    <xf numFmtId="167" fontId="9" fillId="25" borderId="35" xfId="0" applyNumberFormat="1" applyFont="1" applyFill="1" applyBorder="1" applyAlignment="1">
      <alignment horizontal="center"/>
    </xf>
    <xf numFmtId="167" fontId="10" fillId="25" borderId="29" xfId="0" applyNumberFormat="1" applyFont="1" applyFill="1" applyBorder="1" applyAlignment="1">
      <alignment horizontal="center"/>
    </xf>
    <xf numFmtId="166" fontId="13" fillId="25" borderId="35" xfId="0" applyNumberFormat="1" applyFont="1" applyFill="1" applyBorder="1" applyAlignment="1" applyProtection="1">
      <alignment horizontal="center"/>
    </xf>
    <xf numFmtId="166" fontId="13" fillId="25" borderId="43" xfId="0" applyNumberFormat="1" applyFont="1" applyFill="1" applyBorder="1" applyAlignment="1" applyProtection="1">
      <alignment horizontal="center"/>
    </xf>
    <xf numFmtId="166" fontId="10" fillId="25" borderId="29" xfId="0" applyNumberFormat="1" applyFont="1" applyFill="1" applyBorder="1" applyAlignment="1" applyProtection="1">
      <alignment horizontal="center"/>
    </xf>
    <xf numFmtId="0" fontId="5" fillId="25" borderId="35" xfId="0" applyFont="1" applyFill="1" applyBorder="1" applyAlignment="1">
      <alignment horizontal="center"/>
    </xf>
    <xf numFmtId="0" fontId="13" fillId="25" borderId="29" xfId="0" applyFont="1" applyFill="1" applyBorder="1" applyAlignment="1" applyProtection="1"/>
    <xf numFmtId="0" fontId="10" fillId="25" borderId="22" xfId="0" applyFont="1" applyFill="1" applyBorder="1" applyAlignment="1" applyProtection="1">
      <alignment horizontal="center"/>
    </xf>
    <xf numFmtId="0" fontId="9" fillId="25" borderId="14" xfId="0" applyFont="1" applyFill="1" applyBorder="1" applyAlignment="1"/>
    <xf numFmtId="0" fontId="9" fillId="25" borderId="0" xfId="0" applyFont="1" applyFill="1" applyAlignment="1">
      <alignment horizontal="left"/>
    </xf>
    <xf numFmtId="1" fontId="7" fillId="26" borderId="12" xfId="0" applyNumberFormat="1" applyFont="1" applyFill="1" applyBorder="1" applyAlignment="1">
      <alignment horizontal="left"/>
    </xf>
    <xf numFmtId="0" fontId="9" fillId="29" borderId="15" xfId="0" applyFont="1" applyFill="1" applyBorder="1" applyAlignment="1" applyProtection="1">
      <alignment horizontal="left"/>
    </xf>
    <xf numFmtId="0" fontId="9" fillId="29" borderId="28" xfId="0" applyFont="1" applyFill="1" applyBorder="1" applyAlignment="1" applyProtection="1">
      <alignment horizontal="left"/>
    </xf>
    <xf numFmtId="0" fontId="9" fillId="29" borderId="17" xfId="0" applyFont="1" applyFill="1" applyBorder="1" applyAlignment="1" applyProtection="1">
      <alignment horizontal="left"/>
    </xf>
    <xf numFmtId="0" fontId="27" fillId="26" borderId="27" xfId="0" applyFont="1" applyFill="1" applyBorder="1" applyProtection="1"/>
    <xf numFmtId="0" fontId="0" fillId="39" borderId="0" xfId="0" applyFill="1" applyBorder="1" applyAlignment="1" applyProtection="1">
      <alignment horizontal="center"/>
      <protection locked="0"/>
    </xf>
    <xf numFmtId="0" fontId="0" fillId="39" borderId="18" xfId="0" applyFill="1" applyBorder="1" applyAlignment="1" applyProtection="1">
      <alignment horizontal="center"/>
      <protection locked="0"/>
    </xf>
    <xf numFmtId="0" fontId="0" fillId="39" borderId="29" xfId="0" applyFill="1" applyBorder="1" applyAlignment="1" applyProtection="1">
      <alignment horizontal="center"/>
      <protection locked="0"/>
    </xf>
    <xf numFmtId="0" fontId="0" fillId="39" borderId="19" xfId="0" applyFill="1" applyBorder="1" applyAlignment="1" applyProtection="1">
      <alignment horizontal="center"/>
      <protection locked="0"/>
    </xf>
    <xf numFmtId="0" fontId="0" fillId="39" borderId="30" xfId="0" applyFill="1" applyBorder="1" applyAlignment="1" applyProtection="1">
      <alignment horizontal="center"/>
      <protection locked="0"/>
    </xf>
    <xf numFmtId="0" fontId="0" fillId="39" borderId="12" xfId="0" applyFill="1" applyBorder="1" applyAlignment="1" applyProtection="1">
      <alignment horizontal="center"/>
      <protection locked="0"/>
    </xf>
    <xf numFmtId="0" fontId="9" fillId="25" borderId="29" xfId="0" applyFont="1" applyFill="1" applyBorder="1" applyAlignment="1" applyProtection="1">
      <alignment horizontal="left" vertical="center"/>
    </xf>
    <xf numFmtId="0" fontId="9" fillId="25" borderId="28" xfId="0" applyFont="1" applyFill="1" applyBorder="1" applyAlignment="1">
      <alignment horizontal="left" vertical="center"/>
    </xf>
    <xf numFmtId="0" fontId="9" fillId="25" borderId="29" xfId="0" applyFont="1" applyFill="1" applyBorder="1" applyAlignment="1">
      <alignment horizontal="left" vertical="center"/>
    </xf>
    <xf numFmtId="0" fontId="80" fillId="36" borderId="0" xfId="0" applyFont="1" applyFill="1"/>
    <xf numFmtId="0" fontId="80" fillId="36" borderId="0" xfId="0" applyFont="1" applyFill="1" applyBorder="1"/>
    <xf numFmtId="0" fontId="80" fillId="36" borderId="18" xfId="0" applyFont="1" applyFill="1" applyBorder="1"/>
    <xf numFmtId="4" fontId="9" fillId="37" borderId="74" xfId="0" applyNumberFormat="1" applyFont="1" applyFill="1" applyBorder="1" applyAlignment="1" applyProtection="1">
      <alignment horizontal="center"/>
      <protection locked="0"/>
    </xf>
    <xf numFmtId="4" fontId="80" fillId="36" borderId="22" xfId="0" applyNumberFormat="1" applyFont="1" applyFill="1" applyBorder="1" applyAlignment="1">
      <alignment horizontal="center"/>
    </xf>
    <xf numFmtId="173" fontId="9" fillId="36" borderId="74" xfId="0" applyNumberFormat="1" applyFont="1" applyFill="1" applyBorder="1" applyAlignment="1" applyProtection="1">
      <alignment horizontal="center"/>
      <protection locked="0"/>
    </xf>
    <xf numFmtId="0" fontId="80" fillId="36" borderId="29" xfId="0" applyFont="1" applyFill="1" applyBorder="1"/>
    <xf numFmtId="0" fontId="80" fillId="36" borderId="75" xfId="0" applyFont="1" applyFill="1" applyBorder="1"/>
    <xf numFmtId="0" fontId="80" fillId="36" borderId="11" xfId="0" applyFont="1" applyFill="1" applyBorder="1"/>
    <xf numFmtId="0" fontId="80" fillId="36" borderId="19" xfId="0" applyFont="1" applyFill="1" applyBorder="1"/>
    <xf numFmtId="0" fontId="80" fillId="36" borderId="61" xfId="0" applyFont="1" applyFill="1" applyBorder="1"/>
    <xf numFmtId="173" fontId="81" fillId="36" borderId="74" xfId="0" applyNumberFormat="1" applyFont="1" applyFill="1" applyBorder="1" applyAlignment="1">
      <alignment horizontal="center"/>
    </xf>
    <xf numFmtId="173" fontId="81" fillId="36" borderId="22" xfId="0" applyNumberFormat="1" applyFont="1" applyFill="1" applyBorder="1" applyAlignment="1">
      <alignment horizontal="center"/>
    </xf>
    <xf numFmtId="0" fontId="80" fillId="36" borderId="28" xfId="0" applyFont="1" applyFill="1" applyBorder="1"/>
    <xf numFmtId="0" fontId="9" fillId="25" borderId="70" xfId="0" applyFont="1" applyFill="1" applyBorder="1" applyProtection="1"/>
    <xf numFmtId="0" fontId="81" fillId="36" borderId="17" xfId="0" applyFont="1" applyFill="1" applyBorder="1"/>
    <xf numFmtId="0" fontId="81" fillId="36" borderId="17" xfId="0" applyFont="1" applyFill="1" applyBorder="1" applyAlignment="1">
      <alignment horizontal="right"/>
    </xf>
    <xf numFmtId="0" fontId="9" fillId="25" borderId="21" xfId="0" applyFont="1" applyFill="1" applyBorder="1" applyAlignment="1" applyProtection="1">
      <alignment horizontal="center" vertical="center"/>
    </xf>
    <xf numFmtId="0" fontId="9" fillId="25" borderId="21" xfId="0" applyFont="1" applyFill="1" applyBorder="1" applyAlignment="1">
      <alignment horizontal="center" vertical="center"/>
    </xf>
    <xf numFmtId="0" fontId="81" fillId="36" borderId="14" xfId="0" applyFont="1" applyFill="1" applyBorder="1"/>
    <xf numFmtId="0" fontId="81" fillId="36" borderId="22" xfId="0" applyFont="1" applyFill="1" applyBorder="1"/>
    <xf numFmtId="0" fontId="83" fillId="36" borderId="17" xfId="0" applyFont="1" applyFill="1" applyBorder="1"/>
    <xf numFmtId="0" fontId="31" fillId="25" borderId="17" xfId="0" applyFont="1" applyFill="1" applyBorder="1" applyProtection="1"/>
    <xf numFmtId="0" fontId="9" fillId="25" borderId="55" xfId="0" applyFont="1" applyFill="1" applyBorder="1" applyProtection="1"/>
    <xf numFmtId="0" fontId="80" fillId="36" borderId="47" xfId="0" applyFont="1" applyFill="1" applyBorder="1"/>
    <xf numFmtId="0" fontId="9" fillId="25" borderId="0" xfId="0" applyFont="1" applyFill="1" applyBorder="1" applyAlignment="1">
      <alignment horizontal="left" vertical="center"/>
    </xf>
    <xf numFmtId="0" fontId="83" fillId="36" borderId="18" xfId="0" applyFont="1" applyFill="1" applyBorder="1"/>
    <xf numFmtId="0" fontId="9" fillId="25" borderId="0" xfId="0" applyFont="1" applyFill="1" applyAlignment="1" applyProtection="1">
      <alignment horizontal="center"/>
    </xf>
    <xf numFmtId="0" fontId="77" fillId="36" borderId="11" xfId="0" applyFont="1" applyFill="1" applyBorder="1" applyAlignment="1">
      <alignment horizontal="center"/>
    </xf>
    <xf numFmtId="0" fontId="1" fillId="25" borderId="20" xfId="0" applyFont="1" applyFill="1" applyBorder="1" applyAlignment="1" applyProtection="1">
      <alignment horizontal="left"/>
    </xf>
    <xf numFmtId="0" fontId="17" fillId="25" borderId="14" xfId="0" applyFont="1" applyFill="1" applyBorder="1" applyAlignment="1">
      <alignment horizontal="center"/>
    </xf>
    <xf numFmtId="0" fontId="9" fillId="25" borderId="14" xfId="0" applyFont="1" applyFill="1" applyBorder="1" applyProtection="1"/>
    <xf numFmtId="0" fontId="9" fillId="25" borderId="14" xfId="0" applyFont="1" applyFill="1" applyBorder="1" applyAlignment="1">
      <alignment horizontal="left" vertical="center"/>
    </xf>
    <xf numFmtId="0" fontId="1" fillId="25" borderId="14" xfId="0" applyFont="1" applyFill="1" applyBorder="1" applyProtection="1"/>
    <xf numFmtId="0" fontId="31" fillId="25" borderId="18" xfId="0" applyFont="1" applyFill="1" applyBorder="1" applyProtection="1"/>
    <xf numFmtId="0" fontId="9" fillId="25" borderId="61" xfId="0" applyFont="1" applyFill="1" applyBorder="1" applyProtection="1"/>
    <xf numFmtId="0" fontId="9" fillId="25" borderId="47" xfId="0" applyFont="1" applyFill="1" applyBorder="1" applyProtection="1"/>
    <xf numFmtId="0" fontId="18" fillId="25" borderId="14" xfId="0" applyFont="1" applyFill="1" applyBorder="1" applyProtection="1"/>
    <xf numFmtId="0" fontId="9" fillId="25" borderId="0" xfId="0" applyFont="1" applyFill="1" applyBorder="1" applyAlignment="1"/>
    <xf numFmtId="0" fontId="9" fillId="25" borderId="0" xfId="0" applyFont="1" applyFill="1" applyBorder="1" applyAlignment="1" applyProtection="1"/>
    <xf numFmtId="0" fontId="13" fillId="25" borderId="0" xfId="0" applyFont="1" applyFill="1" applyBorder="1" applyAlignment="1" applyProtection="1"/>
    <xf numFmtId="0" fontId="18" fillId="25" borderId="10" xfId="0" applyFont="1" applyFill="1" applyBorder="1" applyProtection="1"/>
    <xf numFmtId="0" fontId="10" fillId="25" borderId="18" xfId="0" applyFont="1" applyFill="1" applyBorder="1" applyProtection="1"/>
    <xf numFmtId="0" fontId="9" fillId="25" borderId="47" xfId="0" applyFont="1" applyFill="1" applyBorder="1" applyAlignment="1" applyProtection="1">
      <alignment vertical="center"/>
    </xf>
    <xf numFmtId="0" fontId="1" fillId="25" borderId="14" xfId="0" applyFont="1" applyFill="1" applyBorder="1" applyAlignment="1" applyProtection="1">
      <alignment horizontal="left"/>
    </xf>
    <xf numFmtId="0" fontId="9" fillId="25" borderId="14" xfId="0" applyFont="1" applyFill="1" applyBorder="1" applyAlignment="1">
      <alignment horizontal="center" vertical="center"/>
    </xf>
    <xf numFmtId="0" fontId="10" fillId="40" borderId="60" xfId="0" applyFont="1" applyFill="1" applyBorder="1" applyAlignment="1">
      <alignment horizontal="center"/>
    </xf>
    <xf numFmtId="0" fontId="13" fillId="35" borderId="0" xfId="0" applyFont="1" applyFill="1" applyProtection="1"/>
    <xf numFmtId="0" fontId="0" fillId="25" borderId="10" xfId="0" applyFill="1" applyBorder="1" applyAlignment="1"/>
    <xf numFmtId="0" fontId="9" fillId="25" borderId="55" xfId="0" applyFont="1" applyFill="1" applyBorder="1" applyAlignment="1" applyProtection="1"/>
    <xf numFmtId="167" fontId="9" fillId="24" borderId="39" xfId="0" applyNumberFormat="1" applyFont="1" applyFill="1" applyBorder="1" applyAlignment="1" applyProtection="1">
      <alignment horizontal="center"/>
      <protection locked="0"/>
    </xf>
    <xf numFmtId="0" fontId="77" fillId="36" borderId="32" xfId="0" applyFont="1" applyFill="1" applyBorder="1"/>
    <xf numFmtId="167" fontId="9" fillId="24" borderId="52" xfId="0" applyNumberFormat="1" applyFont="1" applyFill="1" applyBorder="1" applyAlignment="1" applyProtection="1">
      <alignment horizontal="center"/>
      <protection locked="0"/>
    </xf>
    <xf numFmtId="0" fontId="9" fillId="25" borderId="61" xfId="0" applyFont="1" applyFill="1" applyBorder="1" applyAlignment="1">
      <alignment horizontal="center"/>
    </xf>
    <xf numFmtId="167" fontId="77" fillId="36" borderId="15" xfId="0" applyNumberFormat="1" applyFont="1" applyFill="1" applyBorder="1" applyAlignment="1">
      <alignment horizontal="center"/>
    </xf>
    <xf numFmtId="0" fontId="77" fillId="36" borderId="10"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173" fontId="85" fillId="36" borderId="73" xfId="0" applyNumberFormat="1" applyFont="1" applyFill="1" applyBorder="1" applyAlignment="1">
      <alignment horizontal="right"/>
    </xf>
    <xf numFmtId="0" fontId="85" fillId="36" borderId="0" xfId="0" applyFont="1" applyFill="1" applyBorder="1" applyAlignment="1">
      <alignment horizontal="right"/>
    </xf>
    <xf numFmtId="173" fontId="85" fillId="36" borderId="11" xfId="0" applyNumberFormat="1" applyFont="1" applyFill="1" applyBorder="1" applyAlignment="1">
      <alignment horizontal="right"/>
    </xf>
    <xf numFmtId="0" fontId="87" fillId="36" borderId="0" xfId="0" applyFont="1" applyFill="1" applyBorder="1"/>
    <xf numFmtId="0" fontId="84" fillId="36" borderId="73" xfId="0" applyFont="1" applyFill="1" applyBorder="1" applyAlignment="1">
      <alignment horizontal="center"/>
    </xf>
    <xf numFmtId="0" fontId="84" fillId="36" borderId="11" xfId="0" applyFont="1" applyFill="1" applyBorder="1" applyAlignment="1">
      <alignment horizontal="center"/>
    </xf>
    <xf numFmtId="0" fontId="84" fillId="36" borderId="75" xfId="0" applyFont="1" applyFill="1" applyBorder="1" applyAlignment="1">
      <alignment horizontal="center"/>
    </xf>
    <xf numFmtId="0" fontId="84" fillId="36" borderId="0" xfId="0" applyFont="1" applyFill="1"/>
    <xf numFmtId="0" fontId="84" fillId="36" borderId="29" xfId="0" applyFont="1" applyFill="1" applyBorder="1" applyAlignment="1">
      <alignment horizontal="center"/>
    </xf>
    <xf numFmtId="0" fontId="9" fillId="25" borderId="0" xfId="0" applyFont="1" applyFill="1" applyBorder="1" applyAlignment="1">
      <alignment horizontal="left" vertical="center"/>
    </xf>
    <xf numFmtId="0" fontId="9" fillId="25" borderId="17" xfId="0" applyFont="1" applyFill="1" applyBorder="1" applyAlignment="1" applyProtection="1">
      <alignment horizontal="center"/>
    </xf>
    <xf numFmtId="0" fontId="0" fillId="25" borderId="17" xfId="0" applyFill="1" applyBorder="1" applyAlignment="1">
      <alignment horizontal="center"/>
    </xf>
    <xf numFmtId="0" fontId="89" fillId="41" borderId="10" xfId="0" applyFont="1" applyFill="1" applyBorder="1"/>
    <xf numFmtId="0" fontId="89" fillId="41" borderId="0" xfId="0" applyFont="1" applyFill="1" applyBorder="1"/>
    <xf numFmtId="0" fontId="89" fillId="41" borderId="17" xfId="0" applyFont="1" applyFill="1" applyBorder="1"/>
    <xf numFmtId="0" fontId="89" fillId="41" borderId="18" xfId="0" applyFont="1" applyFill="1" applyBorder="1"/>
    <xf numFmtId="0" fontId="91" fillId="41" borderId="15" xfId="0" applyFont="1" applyFill="1" applyBorder="1"/>
    <xf numFmtId="0" fontId="45" fillId="25" borderId="0" xfId="0" applyFont="1" applyFill="1" applyAlignment="1" applyProtection="1">
      <alignment horizontal="right"/>
    </xf>
    <xf numFmtId="0" fontId="25" fillId="25" borderId="0" xfId="0" applyFont="1" applyFill="1" applyAlignment="1" applyProtection="1"/>
    <xf numFmtId="166" fontId="5" fillId="25" borderId="38" xfId="0" applyNumberFormat="1" applyFont="1" applyFill="1" applyBorder="1" applyAlignment="1" applyProtection="1">
      <alignment horizontal="center" vertical="center"/>
    </xf>
    <xf numFmtId="166" fontId="5" fillId="25" borderId="39" xfId="0" applyNumberFormat="1" applyFont="1" applyFill="1" applyBorder="1" applyAlignment="1" applyProtection="1">
      <alignment horizontal="center" vertical="center"/>
    </xf>
    <xf numFmtId="0" fontId="13" fillId="35" borderId="22" xfId="0" applyFont="1" applyFill="1" applyBorder="1" applyProtection="1"/>
    <xf numFmtId="0" fontId="9" fillId="25" borderId="20" xfId="0" applyFont="1" applyFill="1" applyBorder="1" applyAlignment="1" applyProtection="1">
      <alignment horizontal="center"/>
    </xf>
    <xf numFmtId="167" fontId="77" fillId="36" borderId="10" xfId="0" applyNumberFormat="1" applyFont="1" applyFill="1" applyBorder="1" applyAlignment="1">
      <alignment horizontal="center"/>
    </xf>
    <xf numFmtId="0" fontId="77" fillId="36" borderId="0" xfId="0" applyFont="1" applyFill="1" applyBorder="1"/>
    <xf numFmtId="2" fontId="77" fillId="36" borderId="17" xfId="0" applyNumberFormat="1" applyFont="1" applyFill="1" applyBorder="1" applyAlignment="1">
      <alignment horizontal="center"/>
    </xf>
    <xf numFmtId="2" fontId="77" fillId="36" borderId="18" xfId="0" applyNumberFormat="1" applyFont="1" applyFill="1" applyBorder="1" applyAlignment="1">
      <alignment horizontal="center"/>
    </xf>
    <xf numFmtId="2" fontId="77" fillId="36" borderId="30" xfId="0" applyNumberFormat="1" applyFont="1" applyFill="1" applyBorder="1" applyAlignment="1">
      <alignment horizontal="center"/>
    </xf>
    <xf numFmtId="0" fontId="25" fillId="25" borderId="28" xfId="0" applyFont="1" applyFill="1" applyBorder="1" applyProtection="1"/>
    <xf numFmtId="0" fontId="13" fillId="25" borderId="29" xfId="0" applyFont="1" applyFill="1" applyBorder="1" applyProtection="1"/>
    <xf numFmtId="0" fontId="77" fillId="36" borderId="15" xfId="0" applyFont="1" applyFill="1" applyBorder="1" applyAlignment="1">
      <alignment horizontal="left"/>
    </xf>
    <xf numFmtId="0" fontId="77" fillId="36" borderId="18" xfId="0" applyFont="1" applyFill="1" applyBorder="1" applyAlignment="1">
      <alignment horizontal="center"/>
    </xf>
    <xf numFmtId="0" fontId="25" fillId="25" borderId="26" xfId="0" applyFont="1" applyFill="1" applyBorder="1" applyProtection="1"/>
    <xf numFmtId="0" fontId="77" fillId="36" borderId="0" xfId="0" applyFont="1" applyFill="1" applyBorder="1" applyAlignment="1">
      <alignment horizontal="center"/>
    </xf>
    <xf numFmtId="0" fontId="13" fillId="25" borderId="26" xfId="0" applyFont="1" applyFill="1" applyBorder="1" applyProtection="1"/>
    <xf numFmtId="0" fontId="77" fillId="36" borderId="10" xfId="0" applyFont="1" applyFill="1" applyBorder="1"/>
    <xf numFmtId="0" fontId="77" fillId="36" borderId="18" xfId="0" applyFont="1" applyFill="1" applyBorder="1"/>
    <xf numFmtId="0" fontId="13" fillId="25" borderId="28" xfId="0" applyFont="1" applyFill="1" applyBorder="1" applyProtection="1"/>
    <xf numFmtId="0" fontId="90" fillId="41" borderId="27" xfId="0" applyFont="1" applyFill="1" applyBorder="1" applyAlignment="1">
      <alignment horizontal="center"/>
    </xf>
    <xf numFmtId="0" fontId="90" fillId="41" borderId="26" xfId="0" applyFont="1" applyFill="1" applyBorder="1" applyAlignment="1">
      <alignment horizontal="center"/>
    </xf>
    <xf numFmtId="0" fontId="90" fillId="41" borderId="30" xfId="0" applyFont="1" applyFill="1" applyBorder="1" applyAlignment="1">
      <alignment horizontal="center"/>
    </xf>
    <xf numFmtId="0" fontId="13" fillId="35" borderId="22" xfId="0" applyFont="1" applyFill="1" applyBorder="1" applyAlignment="1" applyProtection="1">
      <alignment horizontal="center"/>
    </xf>
    <xf numFmtId="0" fontId="2" fillId="25" borderId="0" xfId="0" applyFont="1" applyFill="1"/>
    <xf numFmtId="0" fontId="2" fillId="25" borderId="0" xfId="0" applyFont="1" applyFill="1" applyAlignment="1">
      <alignment horizontal="center"/>
    </xf>
    <xf numFmtId="0" fontId="89" fillId="41" borderId="28" xfId="0" applyFont="1" applyFill="1" applyBorder="1" applyAlignment="1">
      <alignment horizontal="center"/>
    </xf>
    <xf numFmtId="0" fontId="89" fillId="41" borderId="29" xfId="0" applyFont="1" applyFill="1" applyBorder="1" applyAlignment="1">
      <alignment horizontal="center"/>
    </xf>
    <xf numFmtId="0" fontId="89" fillId="41" borderId="26" xfId="0" applyFont="1" applyFill="1" applyBorder="1" applyAlignment="1">
      <alignment horizontal="center"/>
    </xf>
    <xf numFmtId="0" fontId="0" fillId="39" borderId="26" xfId="0" applyFill="1" applyBorder="1" applyAlignment="1" applyProtection="1">
      <alignment horizontal="center"/>
      <protection locked="0"/>
    </xf>
    <xf numFmtId="0" fontId="2" fillId="25" borderId="0" xfId="0" quotePrefix="1" applyFont="1" applyFill="1"/>
    <xf numFmtId="167" fontId="0" fillId="25" borderId="28" xfId="0" applyNumberFormat="1" applyFill="1" applyBorder="1" applyAlignment="1">
      <alignment horizontal="center"/>
    </xf>
    <xf numFmtId="167" fontId="0" fillId="25" borderId="26" xfId="0" applyNumberFormat="1" applyFill="1" applyBorder="1" applyAlignment="1">
      <alignment horizontal="center"/>
    </xf>
    <xf numFmtId="167" fontId="0" fillId="25" borderId="17" xfId="0" applyNumberFormat="1" applyFill="1" applyBorder="1" applyAlignment="1">
      <alignment horizontal="center"/>
    </xf>
    <xf numFmtId="2" fontId="89" fillId="41" borderId="28" xfId="0" applyNumberFormat="1" applyFont="1" applyFill="1" applyBorder="1" applyAlignment="1">
      <alignment horizontal="center"/>
    </xf>
    <xf numFmtId="167" fontId="0" fillId="25" borderId="29" xfId="0" applyNumberFormat="1" applyFill="1" applyBorder="1" applyAlignment="1">
      <alignment horizontal="center"/>
    </xf>
    <xf numFmtId="167" fontId="0" fillId="35" borderId="12" xfId="0" applyNumberFormat="1" applyFill="1" applyBorder="1" applyAlignment="1">
      <alignment horizontal="center"/>
    </xf>
    <xf numFmtId="0" fontId="2" fillId="25" borderId="0" xfId="0" applyFont="1" applyFill="1" applyAlignment="1">
      <alignment horizontal="left"/>
    </xf>
    <xf numFmtId="0" fontId="9" fillId="25" borderId="20" xfId="0" applyFont="1" applyFill="1" applyBorder="1" applyProtection="1"/>
    <xf numFmtId="167" fontId="13" fillId="35" borderId="22" xfId="0" applyNumberFormat="1" applyFont="1" applyFill="1" applyBorder="1" applyAlignment="1" applyProtection="1">
      <alignment horizontal="center"/>
    </xf>
    <xf numFmtId="1" fontId="9" fillId="35" borderId="26" xfId="0" applyNumberFormat="1" applyFont="1" applyFill="1" applyBorder="1" applyAlignment="1">
      <alignment horizontal="center"/>
    </xf>
    <xf numFmtId="1" fontId="23" fillId="41" borderId="20" xfId="0" applyNumberFormat="1" applyFont="1" applyFill="1" applyBorder="1" applyAlignment="1">
      <alignment horizontal="left"/>
    </xf>
    <xf numFmtId="1" fontId="23" fillId="41" borderId="14" xfId="0" applyNumberFormat="1" applyFont="1" applyFill="1" applyBorder="1" applyAlignment="1">
      <alignment horizontal="center"/>
    </xf>
    <xf numFmtId="1" fontId="82" fillId="41" borderId="0" xfId="0" applyNumberFormat="1" applyFont="1" applyFill="1" applyBorder="1" applyAlignment="1">
      <alignment horizontal="left"/>
    </xf>
    <xf numFmtId="1" fontId="82" fillId="41" borderId="0" xfId="0" applyNumberFormat="1" applyFont="1" applyFill="1" applyBorder="1" applyAlignment="1">
      <alignment horizontal="center"/>
    </xf>
    <xf numFmtId="1" fontId="9" fillId="41" borderId="10" xfId="0" applyNumberFormat="1" applyFont="1" applyFill="1" applyBorder="1" applyAlignment="1">
      <alignment horizontal="left"/>
    </xf>
    <xf numFmtId="1" fontId="9" fillId="41" borderId="10" xfId="0" applyNumberFormat="1" applyFont="1" applyFill="1" applyBorder="1" applyAlignment="1">
      <alignment horizontal="center"/>
    </xf>
    <xf numFmtId="167" fontId="9" fillId="41" borderId="11" xfId="0" applyNumberFormat="1" applyFont="1" applyFill="1" applyBorder="1" applyAlignment="1">
      <alignment horizontal="center"/>
    </xf>
    <xf numFmtId="1" fontId="23" fillId="41" borderId="17" xfId="0" applyNumberFormat="1" applyFont="1" applyFill="1" applyBorder="1" applyAlignment="1">
      <alignment horizontal="left"/>
    </xf>
    <xf numFmtId="1" fontId="23" fillId="41" borderId="18" xfId="0" applyNumberFormat="1" applyFont="1" applyFill="1" applyBorder="1" applyAlignment="1">
      <alignment horizontal="center"/>
    </xf>
    <xf numFmtId="1" fontId="27" fillId="41" borderId="15" xfId="0" applyNumberFormat="1" applyFont="1" applyFill="1" applyBorder="1" applyAlignment="1">
      <alignment horizontal="left"/>
    </xf>
    <xf numFmtId="0" fontId="93" fillId="41" borderId="28" xfId="0" applyFont="1" applyFill="1" applyBorder="1"/>
    <xf numFmtId="167" fontId="80" fillId="35" borderId="29" xfId="0" applyNumberFormat="1" applyFont="1" applyFill="1" applyBorder="1" applyAlignment="1">
      <alignment horizontal="center"/>
    </xf>
    <xf numFmtId="1" fontId="23" fillId="41" borderId="19" xfId="0" applyNumberFormat="1" applyFont="1" applyFill="1" applyBorder="1" applyAlignment="1">
      <alignment horizontal="center"/>
    </xf>
    <xf numFmtId="0" fontId="9" fillId="25" borderId="46" xfId="0" applyFont="1" applyFill="1" applyBorder="1" applyAlignment="1" applyProtection="1">
      <alignment vertical="center"/>
    </xf>
    <xf numFmtId="0" fontId="9" fillId="25" borderId="69" xfId="0" applyFont="1" applyFill="1" applyBorder="1" applyAlignment="1" applyProtection="1">
      <alignment vertical="center"/>
    </xf>
    <xf numFmtId="0" fontId="31" fillId="25" borderId="18" xfId="0" applyFont="1" applyFill="1" applyBorder="1" applyAlignment="1" applyProtection="1">
      <alignment horizontal="left" vertical="center"/>
    </xf>
    <xf numFmtId="0" fontId="15" fillId="25" borderId="14" xfId="0" applyFont="1" applyFill="1" applyBorder="1" applyAlignment="1" applyProtection="1">
      <alignment horizontal="left" vertical="center"/>
    </xf>
    <xf numFmtId="0" fontId="19" fillId="25" borderId="48" xfId="0" applyFont="1" applyFill="1" applyBorder="1" applyAlignment="1" applyProtection="1">
      <alignment vertical="center"/>
    </xf>
    <xf numFmtId="0" fontId="9" fillId="25" borderId="10" xfId="0" applyFont="1" applyFill="1" applyBorder="1" applyAlignment="1" applyProtection="1">
      <alignment horizontal="right" vertical="center"/>
    </xf>
    <xf numFmtId="0" fontId="10" fillId="25" borderId="18" xfId="0" applyFont="1" applyFill="1" applyBorder="1" applyAlignment="1" applyProtection="1">
      <alignment vertical="center"/>
    </xf>
    <xf numFmtId="0" fontId="10" fillId="25" borderId="19" xfId="0" applyFont="1" applyFill="1" applyBorder="1" applyAlignment="1" applyProtection="1">
      <alignment horizontal="center" vertical="center"/>
    </xf>
    <xf numFmtId="0" fontId="9" fillId="25" borderId="17" xfId="0" applyFont="1" applyFill="1" applyBorder="1" applyAlignment="1" applyProtection="1">
      <alignment vertical="center"/>
    </xf>
    <xf numFmtId="0" fontId="5" fillId="36" borderId="10" xfId="33" applyNumberFormat="1" applyFont="1" applyFill="1" applyBorder="1" applyAlignment="1" applyProtection="1">
      <alignment horizontal="right" vertical="center"/>
    </xf>
    <xf numFmtId="0" fontId="9" fillId="36" borderId="70" xfId="33" applyNumberFormat="1" applyFont="1" applyFill="1" applyBorder="1" applyAlignment="1" applyProtection="1">
      <alignment horizontal="left"/>
    </xf>
    <xf numFmtId="0" fontId="9" fillId="36" borderId="17" xfId="33" applyNumberFormat="1" applyFont="1" applyFill="1" applyBorder="1" applyAlignment="1" applyProtection="1">
      <alignment horizontal="left"/>
    </xf>
    <xf numFmtId="0" fontId="16" fillId="25" borderId="0" xfId="0" applyFont="1" applyFill="1" applyAlignment="1" applyProtection="1">
      <alignment horizontal="right"/>
    </xf>
    <xf numFmtId="0" fontId="25" fillId="25" borderId="15" xfId="0" applyFont="1" applyFill="1" applyBorder="1" applyProtection="1"/>
    <xf numFmtId="0" fontId="9" fillId="25" borderId="14" xfId="0" applyFont="1" applyFill="1" applyBorder="1" applyAlignment="1" applyProtection="1">
      <alignment horizontal="center"/>
    </xf>
    <xf numFmtId="0" fontId="80" fillId="25" borderId="27" xfId="0" applyFont="1" applyFill="1" applyBorder="1" applyAlignment="1" applyProtection="1">
      <alignment horizontal="center"/>
    </xf>
    <xf numFmtId="0" fontId="80" fillId="25" borderId="26" xfId="0" applyFont="1" applyFill="1" applyBorder="1" applyAlignment="1" applyProtection="1">
      <alignment horizontal="center"/>
    </xf>
    <xf numFmtId="0" fontId="80" fillId="25" borderId="30" xfId="0" applyFont="1" applyFill="1" applyBorder="1" applyAlignment="1" applyProtection="1">
      <alignment horizontal="center"/>
    </xf>
    <xf numFmtId="0" fontId="43" fillId="25" borderId="34" xfId="0" applyFont="1" applyFill="1" applyBorder="1" applyAlignment="1" applyProtection="1">
      <alignment horizontal="right" vertical="center"/>
    </xf>
    <xf numFmtId="0" fontId="9" fillId="25" borderId="34" xfId="0" applyFont="1" applyFill="1" applyBorder="1" applyAlignment="1" applyProtection="1">
      <alignment horizontal="left" vertical="center"/>
    </xf>
    <xf numFmtId="0" fontId="80" fillId="37" borderId="74" xfId="0" applyFont="1" applyFill="1" applyBorder="1" applyAlignment="1" applyProtection="1">
      <alignment horizontal="center"/>
      <protection locked="0"/>
    </xf>
    <xf numFmtId="0" fontId="80" fillId="36" borderId="0" xfId="0" applyFont="1" applyFill="1" applyBorder="1" applyProtection="1">
      <protection locked="0"/>
    </xf>
    <xf numFmtId="0" fontId="80" fillId="37" borderId="22" xfId="0" applyFont="1" applyFill="1" applyBorder="1" applyAlignment="1" applyProtection="1">
      <alignment horizontal="center"/>
      <protection locked="0"/>
    </xf>
    <xf numFmtId="173" fontId="80" fillId="36" borderId="22" xfId="0" applyNumberFormat="1" applyFont="1" applyFill="1" applyBorder="1" applyAlignment="1" applyProtection="1">
      <alignment horizontal="center"/>
      <protection locked="0"/>
    </xf>
    <xf numFmtId="0" fontId="80" fillId="36" borderId="10" xfId="0" applyFont="1" applyFill="1" applyBorder="1" applyProtection="1">
      <protection locked="0"/>
    </xf>
    <xf numFmtId="0" fontId="82" fillId="36" borderId="0" xfId="0" applyFont="1" applyFill="1" applyBorder="1" applyAlignment="1" applyProtection="1">
      <alignment horizontal="center"/>
      <protection locked="0"/>
    </xf>
    <xf numFmtId="0" fontId="82" fillId="36" borderId="10" xfId="0" applyFont="1" applyFill="1" applyBorder="1" applyAlignment="1" applyProtection="1">
      <alignment horizontal="center"/>
      <protection locked="0"/>
    </xf>
    <xf numFmtId="0" fontId="9" fillId="25" borderId="70" xfId="0" applyFont="1" applyFill="1" applyBorder="1" applyAlignment="1" applyProtection="1">
      <alignment vertical="center"/>
    </xf>
    <xf numFmtId="0" fontId="9"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13" fillId="25" borderId="46" xfId="0" applyFont="1" applyFill="1" applyBorder="1" applyAlignment="1" applyProtection="1">
      <alignment vertical="center"/>
    </xf>
    <xf numFmtId="0" fontId="15" fillId="25" borderId="15" xfId="0" applyFont="1" applyFill="1" applyBorder="1" applyAlignment="1" applyProtection="1">
      <alignment vertical="center"/>
    </xf>
    <xf numFmtId="0" fontId="15" fillId="25" borderId="10" xfId="0" applyFont="1" applyFill="1" applyBorder="1" applyAlignment="1" applyProtection="1">
      <alignment vertical="center"/>
    </xf>
    <xf numFmtId="22" fontId="16" fillId="25" borderId="0" xfId="0" applyNumberFormat="1" applyFont="1" applyFill="1" applyAlignment="1" applyProtection="1">
      <alignment horizontal="left"/>
    </xf>
    <xf numFmtId="0" fontId="0" fillId="25" borderId="28" xfId="0"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0" fontId="9" fillId="25" borderId="0" xfId="0" applyFont="1" applyFill="1" applyAlignment="1" applyProtection="1">
      <alignment horizontal="center"/>
    </xf>
    <xf numFmtId="0" fontId="93" fillId="25" borderId="0" xfId="0" applyFont="1" applyFill="1" applyProtection="1"/>
    <xf numFmtId="0" fontId="82" fillId="25" borderId="0" xfId="0" applyFont="1" applyFill="1" applyProtection="1"/>
    <xf numFmtId="0" fontId="0" fillId="39" borderId="12" xfId="0" applyFill="1" applyBorder="1" applyAlignment="1">
      <alignment horizontal="center"/>
    </xf>
    <xf numFmtId="0" fontId="89" fillId="41" borderId="12" xfId="0" applyFont="1" applyFill="1" applyBorder="1"/>
    <xf numFmtId="0" fontId="89" fillId="41" borderId="12" xfId="0" applyFont="1" applyFill="1" applyBorder="1" applyAlignment="1">
      <alignment horizontal="center"/>
    </xf>
    <xf numFmtId="0" fontId="2" fillId="25" borderId="26" xfId="0" applyFont="1" applyFill="1" applyBorder="1" applyAlignment="1">
      <alignment horizontal="center"/>
    </xf>
    <xf numFmtId="0" fontId="2" fillId="25" borderId="30" xfId="0" applyFont="1" applyFill="1" applyBorder="1" applyAlignment="1">
      <alignment horizontal="center"/>
    </xf>
    <xf numFmtId="0" fontId="2" fillId="25" borderId="0" xfId="0" applyFont="1" applyFill="1" applyBorder="1"/>
    <xf numFmtId="0" fontId="0" fillId="25" borderId="79" xfId="0" applyFill="1" applyBorder="1" applyAlignment="1">
      <alignment horizontal="center"/>
    </xf>
    <xf numFmtId="0" fontId="0" fillId="26" borderId="29" xfId="0" applyFill="1" applyBorder="1" applyAlignment="1">
      <alignment horizontal="center"/>
    </xf>
    <xf numFmtId="0" fontId="0" fillId="36" borderId="26" xfId="0" applyFill="1" applyBorder="1" applyAlignment="1">
      <alignment horizontal="center"/>
    </xf>
    <xf numFmtId="0" fontId="0" fillId="36" borderId="30" xfId="0" applyFill="1" applyBorder="1" applyAlignment="1">
      <alignment horizontal="center"/>
    </xf>
    <xf numFmtId="0" fontId="5" fillId="36" borderId="27" xfId="0" applyFont="1" applyFill="1" applyBorder="1" applyAlignment="1">
      <alignment horizontal="center"/>
    </xf>
    <xf numFmtId="0" fontId="5" fillId="36" borderId="26" xfId="0" applyFont="1" applyFill="1" applyBorder="1" applyAlignment="1">
      <alignment horizontal="center"/>
    </xf>
    <xf numFmtId="0" fontId="0" fillId="39" borderId="0" xfId="0" applyFill="1" applyAlignment="1">
      <alignment horizontal="center"/>
    </xf>
    <xf numFmtId="0" fontId="0" fillId="25" borderId="79" xfId="0" applyFill="1" applyBorder="1" applyAlignment="1">
      <alignment horizontal="left"/>
    </xf>
    <xf numFmtId="9" fontId="0" fillId="25" borderId="79" xfId="32" applyFont="1" applyFill="1" applyBorder="1" applyAlignment="1">
      <alignment horizontal="center"/>
    </xf>
    <xf numFmtId="9" fontId="0" fillId="25" borderId="11" xfId="32" applyFont="1" applyFill="1" applyBorder="1" applyAlignment="1">
      <alignment horizontal="center"/>
    </xf>
    <xf numFmtId="0" fontId="0" fillId="25" borderId="79" xfId="0" applyFill="1" applyBorder="1"/>
    <xf numFmtId="0" fontId="27" fillId="26" borderId="14" xfId="0" applyFont="1" applyFill="1" applyBorder="1" applyAlignment="1" applyProtection="1">
      <alignment horizontal="center"/>
    </xf>
    <xf numFmtId="167" fontId="0" fillId="25" borderId="0" xfId="0" applyNumberFormat="1" applyFill="1" applyBorder="1" applyAlignment="1">
      <alignment horizontal="center"/>
    </xf>
    <xf numFmtId="1" fontId="97" fillId="25" borderId="0" xfId="0" applyNumberFormat="1" applyFont="1" applyFill="1" applyBorder="1" applyAlignment="1">
      <alignment horizontal="center"/>
    </xf>
    <xf numFmtId="0" fontId="41" fillId="29" borderId="30" xfId="0" applyFont="1" applyFill="1" applyBorder="1" applyAlignment="1">
      <alignment horizontal="center"/>
    </xf>
    <xf numFmtId="0" fontId="7" fillId="26" borderId="20" xfId="0" applyFont="1" applyFill="1" applyBorder="1" applyAlignment="1">
      <alignment horizontal="center"/>
    </xf>
    <xf numFmtId="2" fontId="0" fillId="39" borderId="27" xfId="0" applyNumberFormat="1" applyFill="1" applyBorder="1" applyAlignment="1">
      <alignment horizontal="center"/>
    </xf>
    <xf numFmtId="2" fontId="0" fillId="39" borderId="26" xfId="0" applyNumberFormat="1" applyFill="1" applyBorder="1" applyAlignment="1">
      <alignment horizontal="center"/>
    </xf>
    <xf numFmtId="0" fontId="2" fillId="25" borderId="27" xfId="0" applyFont="1" applyFill="1" applyBorder="1" applyAlignment="1">
      <alignment horizontal="center"/>
    </xf>
    <xf numFmtId="2" fontId="0" fillId="39" borderId="30" xfId="0" applyNumberFormat="1" applyFill="1" applyBorder="1" applyAlignment="1">
      <alignment horizontal="center"/>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xf numFmtId="0" fontId="90" fillId="41" borderId="18" xfId="0" applyFont="1" applyFill="1" applyBorder="1" applyAlignment="1">
      <alignment horizontal="center"/>
    </xf>
    <xf numFmtId="0" fontId="90" fillId="41" borderId="18" xfId="0" applyFont="1" applyFill="1" applyBorder="1"/>
    <xf numFmtId="0" fontId="90" fillId="41" borderId="12" xfId="0" applyFont="1" applyFill="1" applyBorder="1"/>
    <xf numFmtId="0" fontId="0" fillId="39" borderId="27" xfId="0" applyFill="1" applyBorder="1"/>
    <xf numFmtId="0" fontId="0" fillId="39" borderId="26" xfId="0" applyFill="1" applyBorder="1"/>
    <xf numFmtId="0" fontId="0" fillId="39" borderId="30" xfId="0" applyFill="1" applyBorder="1"/>
    <xf numFmtId="0" fontId="5" fillId="43" borderId="13" xfId="0" applyFont="1" applyFill="1" applyBorder="1" applyAlignment="1" applyProtection="1">
      <alignment horizontal="center" vertical="center"/>
      <protection locked="0"/>
    </xf>
    <xf numFmtId="0" fontId="5" fillId="43" borderId="58" xfId="0" applyFont="1" applyFill="1" applyBorder="1" applyAlignment="1" applyProtection="1">
      <alignment horizontal="center" vertical="center"/>
      <protection locked="0"/>
    </xf>
    <xf numFmtId="0" fontId="10" fillId="43" borderId="60" xfId="0" applyFont="1" applyFill="1" applyBorder="1" applyAlignment="1" applyProtection="1">
      <alignment horizontal="center"/>
      <protection locked="0"/>
    </xf>
    <xf numFmtId="0" fontId="2" fillId="25" borderId="0" xfId="0" applyFont="1" applyFill="1" applyBorder="1" applyAlignment="1">
      <alignment horizontal="right"/>
    </xf>
    <xf numFmtId="167" fontId="0" fillId="36" borderId="28" xfId="0" applyNumberFormat="1" applyFill="1" applyBorder="1" applyAlignment="1">
      <alignment horizontal="center"/>
    </xf>
    <xf numFmtId="2" fontId="0" fillId="36" borderId="28" xfId="0" applyNumberFormat="1" applyFill="1" applyBorder="1" applyAlignment="1">
      <alignment horizontal="center"/>
    </xf>
    <xf numFmtId="2" fontId="0" fillId="36" borderId="0" xfId="0" applyNumberForma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xf numFmtId="167" fontId="0" fillId="36" borderId="0" xfId="0" applyNumberFormat="1" applyFill="1" applyBorder="1" applyAlignment="1">
      <alignment horizontal="center"/>
    </xf>
    <xf numFmtId="0" fontId="0" fillId="36" borderId="15" xfId="0" applyFill="1" applyBorder="1" applyAlignment="1">
      <alignment horizontal="center"/>
    </xf>
    <xf numFmtId="0" fontId="0" fillId="36" borderId="79" xfId="0" applyFill="1" applyBorder="1" applyAlignment="1">
      <alignment horizontal="center"/>
    </xf>
    <xf numFmtId="0" fontId="0" fillId="36" borderId="11" xfId="0" applyFill="1" applyBorder="1" applyAlignment="1">
      <alignment horizontal="center"/>
    </xf>
    <xf numFmtId="167" fontId="0" fillId="36" borderId="29" xfId="0" applyNumberFormat="1" applyFill="1" applyBorder="1" applyAlignment="1">
      <alignment horizontal="center"/>
    </xf>
    <xf numFmtId="2" fontId="0" fillId="36" borderId="29" xfId="0" applyNumberFormat="1" applyFill="1" applyBorder="1" applyAlignment="1">
      <alignment horizontal="center"/>
    </xf>
    <xf numFmtId="0" fontId="3" fillId="30" borderId="22" xfId="0" applyFont="1" applyFill="1" applyBorder="1" applyAlignment="1" applyProtection="1">
      <alignment horizontal="center"/>
      <protection locked="0"/>
    </xf>
    <xf numFmtId="0" fontId="9" fillId="25" borderId="19" xfId="0" applyFont="1" applyFill="1" applyBorder="1" applyAlignment="1">
      <alignment horizontal="left"/>
    </xf>
    <xf numFmtId="0" fontId="5" fillId="25" borderId="27" xfId="0" applyFont="1" applyFill="1" applyBorder="1" applyAlignment="1">
      <alignment horizontal="center"/>
    </xf>
    <xf numFmtId="169" fontId="0" fillId="36" borderId="17" xfId="0" applyNumberFormat="1" applyFill="1" applyBorder="1" applyAlignment="1">
      <alignment horizontal="center"/>
    </xf>
    <xf numFmtId="169" fontId="0" fillId="36" borderId="18" xfId="0" applyNumberFormat="1" applyFill="1" applyBorder="1" applyAlignment="1">
      <alignment horizontal="center"/>
    </xf>
    <xf numFmtId="169" fontId="0" fillId="36" borderId="19" xfId="0" applyNumberFormat="1" applyFill="1" applyBorder="1" applyAlignment="1">
      <alignment horizontal="center"/>
    </xf>
    <xf numFmtId="0" fontId="13" fillId="25" borderId="34" xfId="0" applyFont="1" applyFill="1" applyBorder="1" applyAlignment="1" applyProtection="1">
      <alignment vertical="center"/>
    </xf>
    <xf numFmtId="164" fontId="5" fillId="25" borderId="53" xfId="0" applyNumberFormat="1" applyFont="1" applyFill="1" applyBorder="1" applyAlignment="1" applyProtection="1">
      <alignment horizontal="center" vertical="center"/>
    </xf>
    <xf numFmtId="164" fontId="39" fillId="25" borderId="54" xfId="0" applyNumberFormat="1" applyFont="1" applyFill="1" applyBorder="1" applyAlignment="1" applyProtection="1">
      <alignment horizontal="center" vertical="center" wrapText="1"/>
    </xf>
    <xf numFmtId="0" fontId="9" fillId="25" borderId="28" xfId="0" applyFont="1" applyFill="1" applyBorder="1" applyAlignment="1" applyProtection="1">
      <alignment vertical="center"/>
    </xf>
    <xf numFmtId="167" fontId="13" fillId="25" borderId="0" xfId="0" applyNumberFormat="1" applyFont="1" applyFill="1" applyProtection="1"/>
    <xf numFmtId="2" fontId="13" fillId="25" borderId="0" xfId="0" applyNumberFormat="1" applyFont="1" applyFill="1" applyProtection="1"/>
    <xf numFmtId="4" fontId="5" fillId="25" borderId="13" xfId="0" applyNumberFormat="1" applyFont="1" applyFill="1" applyBorder="1" applyAlignment="1" applyProtection="1">
      <alignment horizontal="center" vertical="center"/>
    </xf>
    <xf numFmtId="3" fontId="5" fillId="36" borderId="13" xfId="0" applyNumberFormat="1" applyFont="1" applyFill="1" applyBorder="1" applyAlignment="1" applyProtection="1">
      <alignment horizontal="center" vertical="center"/>
      <protection locked="0"/>
    </xf>
    <xf numFmtId="0" fontId="9" fillId="25" borderId="18" xfId="0" applyFont="1" applyFill="1" applyBorder="1" applyAlignment="1" applyProtection="1">
      <alignment horizontal="right" vertical="center"/>
    </xf>
    <xf numFmtId="0" fontId="0" fillId="39" borderId="22" xfId="0" applyFill="1" applyBorder="1" applyAlignment="1">
      <alignment horizontal="center"/>
    </xf>
    <xf numFmtId="0" fontId="40" fillId="36" borderId="32" xfId="0" applyFont="1" applyFill="1" applyBorder="1" applyAlignment="1" applyProtection="1">
      <alignment horizontal="center" vertical="center" wrapText="1"/>
    </xf>
    <xf numFmtId="0" fontId="2" fillId="25" borderId="29" xfId="0" applyFont="1" applyFill="1" applyBorder="1" applyAlignment="1">
      <alignment horizontal="right"/>
    </xf>
    <xf numFmtId="0" fontId="40" fillId="25" borderId="37" xfId="0" applyFont="1" applyFill="1" applyBorder="1" applyAlignment="1" applyProtection="1">
      <alignment horizontal="center" vertical="center" wrapText="1"/>
    </xf>
    <xf numFmtId="0" fontId="92" fillId="25" borderId="13" xfId="0" applyFont="1" applyFill="1" applyBorder="1" applyAlignment="1" applyProtection="1">
      <alignment horizontal="center" vertical="center"/>
      <protection locked="0"/>
    </xf>
    <xf numFmtId="164" fontId="92" fillId="25" borderId="13" xfId="0" applyNumberFormat="1" applyFont="1" applyFill="1" applyBorder="1" applyAlignment="1" applyProtection="1">
      <alignment horizontal="center" vertical="center"/>
      <protection locked="0"/>
    </xf>
    <xf numFmtId="164" fontId="92" fillId="25" borderId="57" xfId="0" applyNumberFormat="1" applyFont="1" applyFill="1" applyBorder="1" applyAlignment="1" applyProtection="1">
      <alignment horizontal="center" vertical="center"/>
    </xf>
    <xf numFmtId="164" fontId="98" fillId="25" borderId="13" xfId="0" applyNumberFormat="1" applyFont="1" applyFill="1" applyBorder="1" applyAlignment="1" applyProtection="1">
      <alignment horizontal="center" vertical="center" wrapText="1"/>
      <protection locked="0"/>
    </xf>
    <xf numFmtId="9" fontId="92" fillId="25" borderId="13" xfId="32" applyNumberFormat="1" applyFont="1" applyFill="1" applyBorder="1" applyAlignment="1" applyProtection="1">
      <alignment horizontal="center" vertical="center"/>
    </xf>
    <xf numFmtId="0" fontId="9" fillId="36" borderId="61" xfId="0" applyFont="1" applyFill="1" applyBorder="1" applyAlignment="1" applyProtection="1">
      <alignment horizontal="right"/>
    </xf>
    <xf numFmtId="0" fontId="5" fillId="29" borderId="13" xfId="0" applyNumberFormat="1" applyFont="1" applyFill="1" applyBorder="1" applyAlignment="1" applyProtection="1">
      <alignment horizontal="center" vertical="center"/>
    </xf>
    <xf numFmtId="0" fontId="5" fillId="29" borderId="16" xfId="0" applyNumberFormat="1" applyFont="1" applyFill="1" applyBorder="1" applyAlignment="1" applyProtection="1">
      <alignment horizontal="center" vertical="center"/>
    </xf>
    <xf numFmtId="0" fontId="5" fillId="25" borderId="16" xfId="0" applyNumberFormat="1" applyFont="1" applyFill="1" applyBorder="1" applyAlignment="1" applyProtection="1">
      <alignment horizontal="center" vertical="center"/>
    </xf>
    <xf numFmtId="0" fontId="15" fillId="25" borderId="0" xfId="0" applyFont="1" applyFill="1" applyAlignment="1" applyProtection="1"/>
    <xf numFmtId="0" fontId="10" fillId="25" borderId="28" xfId="0" applyFont="1" applyFill="1" applyBorder="1" applyAlignment="1" applyProtection="1"/>
    <xf numFmtId="0" fontId="0" fillId="25" borderId="0" xfId="0" applyFill="1" applyAlignment="1" applyProtection="1"/>
    <xf numFmtId="0" fontId="0" fillId="25" borderId="0" xfId="0" applyFill="1" applyBorder="1" applyAlignment="1" applyProtection="1"/>
    <xf numFmtId="0" fontId="0" fillId="25" borderId="28" xfId="0" applyFill="1" applyBorder="1" applyAlignment="1" applyProtection="1"/>
    <xf numFmtId="0" fontId="9" fillId="25" borderId="0" xfId="0" applyFont="1" applyFill="1" applyAlignment="1" applyProtection="1"/>
    <xf numFmtId="0" fontId="89" fillId="25" borderId="0" xfId="0" applyFont="1" applyFill="1" applyAlignment="1" applyProtection="1"/>
    <xf numFmtId="0" fontId="0" fillId="25" borderId="0" xfId="0" applyFill="1" applyAlignment="1" applyProtection="1">
      <alignment vertical="center"/>
    </xf>
    <xf numFmtId="0" fontId="0" fillId="36" borderId="0" xfId="0" applyFill="1" applyAlignment="1" applyProtection="1"/>
    <xf numFmtId="0" fontId="0" fillId="25" borderId="10" xfId="0" applyFill="1" applyBorder="1" applyAlignment="1" applyProtection="1"/>
    <xf numFmtId="9" fontId="9" fillId="25" borderId="38" xfId="32" applyFont="1" applyFill="1" applyBorder="1" applyAlignment="1" applyProtection="1">
      <alignment horizontal="center" vertical="center"/>
    </xf>
    <xf numFmtId="0" fontId="9" fillId="29" borderId="40" xfId="32" applyNumberFormat="1" applyFont="1" applyFill="1" applyBorder="1" applyAlignment="1" applyProtection="1">
      <alignment horizontal="center" vertical="center"/>
    </xf>
    <xf numFmtId="0" fontId="9" fillId="25" borderId="40" xfId="0" applyFont="1" applyFill="1" applyBorder="1" applyAlignment="1" applyProtection="1">
      <alignment horizontal="center"/>
    </xf>
    <xf numFmtId="0" fontId="16" fillId="25" borderId="51" xfId="0" applyFont="1" applyFill="1" applyBorder="1" applyAlignment="1" applyProtection="1">
      <alignment horizontal="center" vertical="center"/>
    </xf>
    <xf numFmtId="0" fontId="9" fillId="25" borderId="21" xfId="0" applyFont="1" applyFill="1" applyBorder="1" applyProtection="1"/>
    <xf numFmtId="0" fontId="9" fillId="25" borderId="22" xfId="0" applyFont="1" applyFill="1" applyBorder="1" applyProtection="1"/>
    <xf numFmtId="0" fontId="18" fillId="25" borderId="0" xfId="0" applyFont="1" applyFill="1" applyProtection="1"/>
    <xf numFmtId="0" fontId="9" fillId="25" borderId="44" xfId="0" applyFont="1" applyFill="1" applyBorder="1" applyProtection="1"/>
    <xf numFmtId="0" fontId="0" fillId="25" borderId="21" xfId="0" applyFill="1" applyBorder="1" applyProtection="1"/>
    <xf numFmtId="0" fontId="5" fillId="24" borderId="21" xfId="0" applyNumberFormat="1" applyFont="1" applyFill="1" applyBorder="1" applyAlignment="1" applyProtection="1">
      <alignment horizontal="center" vertical="center"/>
    </xf>
    <xf numFmtId="0" fontId="5" fillId="25" borderId="21" xfId="0" applyNumberFormat="1" applyFont="1" applyFill="1" applyBorder="1" applyAlignment="1" applyProtection="1">
      <alignment horizontal="center" vertical="center"/>
    </xf>
    <xf numFmtId="0" fontId="5" fillId="24" borderId="16" xfId="0" applyNumberFormat="1" applyFont="1" applyFill="1" applyBorder="1" applyAlignment="1" applyProtection="1">
      <alignment horizontal="center" vertical="center"/>
    </xf>
    <xf numFmtId="0" fontId="0" fillId="25" borderId="66" xfId="0" applyFill="1" applyBorder="1" applyProtection="1"/>
    <xf numFmtId="0" fontId="9" fillId="25" borderId="17" xfId="0" applyFont="1" applyFill="1" applyBorder="1" applyProtection="1"/>
    <xf numFmtId="0" fontId="0" fillId="25" borderId="18" xfId="0" applyFill="1" applyBorder="1" applyProtection="1"/>
    <xf numFmtId="0" fontId="0" fillId="25" borderId="68" xfId="0" applyFill="1" applyBorder="1" applyProtection="1"/>
    <xf numFmtId="0" fontId="3" fillId="25" borderId="0" xfId="0" applyFont="1" applyFill="1" applyProtection="1"/>
    <xf numFmtId="3" fontId="92" fillId="36" borderId="13" xfId="0" applyNumberFormat="1" applyFont="1" applyFill="1" applyBorder="1" applyAlignment="1" applyProtection="1">
      <alignment horizontal="center" vertical="center"/>
      <protection locked="0"/>
    </xf>
    <xf numFmtId="0" fontId="10" fillId="43" borderId="70" xfId="0" applyFont="1" applyFill="1" applyBorder="1" applyAlignment="1" applyProtection="1">
      <alignment horizontal="center" vertical="center"/>
      <protection locked="0"/>
    </xf>
    <xf numFmtId="0" fontId="10" fillId="43" borderId="55" xfId="0" applyFont="1" applyFill="1" applyBorder="1" applyAlignment="1" applyProtection="1">
      <alignment horizontal="center" vertical="center"/>
      <protection locked="0"/>
    </xf>
    <xf numFmtId="2" fontId="100" fillId="25" borderId="26" xfId="0" applyNumberFormat="1" applyFont="1" applyFill="1" applyBorder="1" applyAlignment="1">
      <alignment horizontal="center"/>
    </xf>
    <xf numFmtId="0" fontId="100" fillId="25" borderId="26" xfId="0" applyFont="1" applyFill="1" applyBorder="1"/>
    <xf numFmtId="0" fontId="31" fillId="39" borderId="58" xfId="0" applyFont="1" applyFill="1" applyBorder="1" applyAlignment="1">
      <alignment horizontal="center" wrapText="1"/>
    </xf>
    <xf numFmtId="0" fontId="9" fillId="0" borderId="0" xfId="0" applyFont="1" applyAlignment="1">
      <alignment horizontal="left" wrapText="1"/>
    </xf>
    <xf numFmtId="0" fontId="34" fillId="25" borderId="13" xfId="0" applyFont="1" applyFill="1" applyBorder="1" applyAlignment="1">
      <alignment horizontal="left" wrapText="1"/>
    </xf>
    <xf numFmtId="0" fontId="34" fillId="25" borderId="58" xfId="0" applyFont="1" applyFill="1" applyBorder="1" applyAlignment="1">
      <alignment horizontal="left" wrapText="1"/>
    </xf>
    <xf numFmtId="0" fontId="34" fillId="36" borderId="58" xfId="0" applyFont="1" applyFill="1" applyBorder="1" applyAlignment="1">
      <alignment horizontal="center" wrapText="1"/>
    </xf>
    <xf numFmtId="0" fontId="10" fillId="37" borderId="13" xfId="0" applyFont="1" applyFill="1" applyBorder="1" applyAlignment="1">
      <alignment wrapText="1"/>
    </xf>
    <xf numFmtId="0" fontId="9" fillId="37" borderId="13" xfId="0" applyFont="1" applyFill="1" applyBorder="1" applyAlignment="1">
      <alignment wrapText="1"/>
    </xf>
    <xf numFmtId="0" fontId="57" fillId="37" borderId="13" xfId="0" applyFont="1" applyFill="1" applyBorder="1" applyAlignment="1">
      <alignment wrapText="1"/>
    </xf>
    <xf numFmtId="0" fontId="9" fillId="37" borderId="58" xfId="0" applyFont="1" applyFill="1" applyBorder="1" applyAlignment="1">
      <alignment wrapText="1"/>
    </xf>
    <xf numFmtId="167" fontId="9" fillId="31" borderId="13" xfId="0" applyNumberFormat="1" applyFont="1" applyFill="1" applyBorder="1" applyAlignment="1">
      <alignment wrapText="1"/>
    </xf>
    <xf numFmtId="167" fontId="9" fillId="37" borderId="13" xfId="0" applyNumberFormat="1" applyFont="1" applyFill="1" applyBorder="1" applyAlignment="1">
      <alignment wrapText="1"/>
    </xf>
    <xf numFmtId="174" fontId="9" fillId="31" borderId="13" xfId="44" applyNumberFormat="1" applyFont="1" applyFill="1" applyBorder="1" applyAlignment="1">
      <alignment wrapText="1"/>
    </xf>
    <xf numFmtId="174" fontId="9" fillId="37" borderId="13" xfId="44" applyNumberFormat="1" applyFont="1" applyFill="1" applyBorder="1" applyAlignment="1">
      <alignment wrapText="1"/>
    </xf>
    <xf numFmtId="174" fontId="9" fillId="32" borderId="13" xfId="44" applyNumberFormat="1" applyFont="1" applyFill="1" applyBorder="1" applyAlignment="1">
      <alignment wrapText="1"/>
    </xf>
    <xf numFmtId="174" fontId="9" fillId="0" borderId="0" xfId="44" applyNumberFormat="1" applyFont="1" applyAlignment="1">
      <alignment wrapText="1"/>
    </xf>
    <xf numFmtId="0" fontId="9" fillId="31" borderId="58" xfId="0" quotePrefix="1" applyFont="1" applyFill="1" applyBorder="1" applyAlignment="1">
      <alignment wrapText="1"/>
    </xf>
    <xf numFmtId="0" fontId="34" fillId="25" borderId="57" xfId="0" applyFont="1" applyFill="1" applyBorder="1" applyAlignment="1">
      <alignment horizontal="center" wrapText="1"/>
    </xf>
    <xf numFmtId="0" fontId="34" fillId="25" borderId="57" xfId="0" applyFont="1" applyFill="1" applyBorder="1" applyAlignment="1">
      <alignment horizontal="left" wrapText="1"/>
    </xf>
    <xf numFmtId="0" fontId="9" fillId="31" borderId="57" xfId="0" applyFont="1" applyFill="1" applyBorder="1" applyAlignment="1">
      <alignment wrapText="1"/>
    </xf>
    <xf numFmtId="0" fontId="9" fillId="37" borderId="57" xfId="0" applyFont="1" applyFill="1" applyBorder="1" applyAlignment="1">
      <alignment wrapText="1"/>
    </xf>
    <xf numFmtId="0" fontId="9" fillId="32" borderId="57" xfId="0" applyFont="1" applyFill="1" applyBorder="1" applyAlignment="1">
      <alignment wrapText="1"/>
    </xf>
    <xf numFmtId="0" fontId="9" fillId="0" borderId="0" xfId="0" applyFont="1" applyBorder="1" applyAlignment="1">
      <alignment wrapText="1"/>
    </xf>
    <xf numFmtId="0" fontId="90" fillId="26" borderId="79" xfId="0" applyFont="1" applyFill="1" applyBorder="1"/>
    <xf numFmtId="0" fontId="0" fillId="26" borderId="79" xfId="0" applyFill="1" applyBorder="1"/>
    <xf numFmtId="0" fontId="7" fillId="26" borderId="79" xfId="0" applyFont="1" applyFill="1" applyBorder="1" applyAlignment="1">
      <alignment horizontal="center"/>
    </xf>
    <xf numFmtId="0" fontId="5" fillId="25" borderId="14" xfId="0" applyFont="1" applyFill="1" applyBorder="1" applyAlignment="1" applyProtection="1">
      <alignment vertical="center"/>
    </xf>
    <xf numFmtId="0" fontId="34" fillId="25" borderId="16" xfId="0" applyFont="1" applyFill="1" applyBorder="1" applyAlignment="1">
      <alignment horizontal="center" wrapText="1"/>
    </xf>
    <xf numFmtId="0" fontId="34" fillId="25" borderId="16" xfId="0" applyFont="1" applyFill="1" applyBorder="1" applyAlignment="1">
      <alignment horizontal="left" wrapText="1"/>
    </xf>
    <xf numFmtId="0" fontId="9" fillId="31" borderId="16" xfId="0" applyFont="1" applyFill="1" applyBorder="1" applyAlignment="1">
      <alignment wrapText="1"/>
    </xf>
    <xf numFmtId="0" fontId="9" fillId="37" borderId="16" xfId="0" applyFont="1" applyFill="1" applyBorder="1" applyAlignment="1">
      <alignment wrapText="1"/>
    </xf>
    <xf numFmtId="0" fontId="9" fillId="32" borderId="16" xfId="0" applyFont="1" applyFill="1" applyBorder="1" applyAlignment="1">
      <alignment wrapText="1"/>
    </xf>
    <xf numFmtId="0" fontId="34" fillId="25" borderId="40" xfId="0" applyFont="1" applyFill="1" applyBorder="1" applyAlignment="1">
      <alignment horizontal="center" wrapText="1"/>
    </xf>
    <xf numFmtId="0" fontId="2" fillId="25" borderId="26" xfId="0" applyFont="1" applyFill="1" applyBorder="1" applyAlignment="1">
      <alignment horizontal="left"/>
    </xf>
    <xf numFmtId="0" fontId="1" fillId="25" borderId="15" xfId="0" applyFont="1" applyFill="1" applyBorder="1" applyProtection="1"/>
    <xf numFmtId="0" fontId="25" fillId="25" borderId="12" xfId="0" applyFont="1" applyFill="1" applyBorder="1" applyProtection="1"/>
    <xf numFmtId="0" fontId="31" fillId="36" borderId="58" xfId="0" applyFont="1" applyFill="1" applyBorder="1" applyAlignment="1">
      <alignment horizontal="center" wrapText="1"/>
    </xf>
    <xf numFmtId="0" fontId="34" fillId="36" borderId="13" xfId="0" applyFont="1" applyFill="1" applyBorder="1" applyAlignment="1">
      <alignment horizontal="center" wrapText="1"/>
    </xf>
    <xf numFmtId="0" fontId="56" fillId="36" borderId="13" xfId="0" applyFont="1" applyFill="1" applyBorder="1" applyAlignment="1">
      <alignment horizontal="center" wrapText="1"/>
    </xf>
    <xf numFmtId="0" fontId="34" fillId="36" borderId="57" xfId="0" applyFont="1" applyFill="1" applyBorder="1" applyAlignment="1">
      <alignment horizontal="center" wrapText="1"/>
    </xf>
    <xf numFmtId="0" fontId="34" fillId="36" borderId="16" xfId="0" applyFont="1" applyFill="1" applyBorder="1" applyAlignment="1">
      <alignment horizontal="center" wrapText="1"/>
    </xf>
    <xf numFmtId="0" fontId="10" fillId="42" borderId="0" xfId="0" applyFont="1" applyFill="1" applyAlignment="1" applyProtection="1">
      <alignment horizontal="left" wrapText="1"/>
      <protection locked="0"/>
    </xf>
    <xf numFmtId="14" fontId="0" fillId="0" borderId="0" xfId="0" applyNumberFormat="1" applyFill="1" applyBorder="1"/>
    <xf numFmtId="0" fontId="0" fillId="0" borderId="0" xfId="0" applyFill="1" applyBorder="1" applyAlignment="1">
      <alignment horizontal="center"/>
    </xf>
    <xf numFmtId="14" fontId="0" fillId="0" borderId="0" xfId="0" applyNumberFormat="1" applyBorder="1"/>
    <xf numFmtId="0" fontId="0" fillId="0" borderId="0" xfId="0" applyBorder="1" applyAlignment="1">
      <alignment horizontal="center"/>
    </xf>
    <xf numFmtId="0" fontId="0" fillId="0" borderId="0" xfId="0" applyFont="1" applyFill="1" applyBorder="1"/>
    <xf numFmtId="0" fontId="2" fillId="0" borderId="0" xfId="0" applyFont="1" applyFill="1" applyBorder="1"/>
    <xf numFmtId="14" fontId="2" fillId="0" borderId="0" xfId="0" applyNumberFormat="1" applyFont="1" applyFill="1" applyBorder="1"/>
    <xf numFmtId="0" fontId="76" fillId="0" borderId="0" xfId="0" applyFont="1" applyFill="1"/>
    <xf numFmtId="0" fontId="18" fillId="0" borderId="0" xfId="0" applyFont="1" applyFill="1" applyAlignment="1">
      <alignment wrapText="1"/>
    </xf>
    <xf numFmtId="0" fontId="18" fillId="0" borderId="0" xfId="0" applyFont="1" applyFill="1" applyBorder="1" applyAlignment="1">
      <alignment horizontal="center" wrapText="1"/>
    </xf>
    <xf numFmtId="0" fontId="0" fillId="0" borderId="0" xfId="0" applyFont="1" applyFill="1" applyBorder="1" applyAlignment="1">
      <alignment horizontal="center"/>
    </xf>
    <xf numFmtId="0" fontId="2" fillId="0" borderId="0" xfId="0" applyFont="1" applyFill="1" applyAlignment="1">
      <alignment horizontal="center"/>
    </xf>
    <xf numFmtId="0" fontId="1" fillId="0" borderId="0" xfId="0" applyFont="1" applyFill="1" applyAlignment="1">
      <alignment wrapText="1"/>
    </xf>
    <xf numFmtId="0" fontId="2" fillId="0" borderId="0" xfId="0" applyFont="1" applyAlignment="1">
      <alignment horizontal="left"/>
    </xf>
    <xf numFmtId="0" fontId="0" fillId="0" borderId="0" xfId="0" applyAlignment="1">
      <alignment horizontal="left"/>
    </xf>
    <xf numFmtId="3" fontId="0" fillId="0" borderId="0" xfId="0" applyNumberFormat="1" applyAlignment="1">
      <alignment horizontal="left"/>
    </xf>
    <xf numFmtId="0" fontId="0" fillId="0" borderId="18" xfId="0" applyBorder="1" applyAlignment="1">
      <alignment horizontal="left"/>
    </xf>
    <xf numFmtId="0" fontId="0" fillId="0" borderId="18" xfId="0" applyBorder="1"/>
    <xf numFmtId="4" fontId="0" fillId="0" borderId="0" xfId="0" applyNumberFormat="1" applyAlignment="1">
      <alignment horizontal="left"/>
    </xf>
    <xf numFmtId="2" fontId="0" fillId="0" borderId="0" xfId="0" applyNumberFormat="1" applyAlignment="1">
      <alignment horizontal="left"/>
    </xf>
    <xf numFmtId="0" fontId="25" fillId="25" borderId="12" xfId="0" applyFont="1" applyFill="1" applyBorder="1" applyAlignment="1" applyProtection="1">
      <alignment horizontal="center"/>
    </xf>
    <xf numFmtId="0" fontId="17" fillId="25" borderId="22" xfId="0" applyFont="1" applyFill="1" applyBorder="1" applyAlignment="1">
      <alignment horizontal="center"/>
    </xf>
    <xf numFmtId="0" fontId="16" fillId="25" borderId="0" xfId="0" applyFont="1" applyFill="1" applyAlignment="1" applyProtection="1">
      <alignment vertical="center"/>
    </xf>
    <xf numFmtId="0" fontId="0" fillId="25" borderId="29" xfId="0" applyFill="1" applyBorder="1" applyAlignment="1">
      <alignment horizontal="center"/>
    </xf>
    <xf numFmtId="0" fontId="9" fillId="25" borderId="29" xfId="0" applyFont="1" applyFill="1" applyBorder="1" applyAlignment="1" applyProtection="1">
      <alignment horizontal="center"/>
    </xf>
    <xf numFmtId="0" fontId="9" fillId="25" borderId="26" xfId="0" applyFont="1" applyFill="1" applyBorder="1" applyAlignment="1" applyProtection="1">
      <alignment horizontal="center"/>
    </xf>
    <xf numFmtId="0" fontId="9" fillId="25" borderId="0" xfId="0" applyFont="1" applyFill="1" applyBorder="1" applyAlignment="1" applyProtection="1">
      <alignment horizontal="center"/>
    </xf>
    <xf numFmtId="0" fontId="9" fillId="26" borderId="11" xfId="0" quotePrefix="1" applyFont="1" applyFill="1" applyBorder="1" applyAlignment="1" applyProtection="1">
      <alignment horizontal="center"/>
    </xf>
    <xf numFmtId="0" fontId="9" fillId="26" borderId="79" xfId="0" quotePrefix="1" applyFont="1" applyFill="1" applyBorder="1" applyAlignment="1" applyProtection="1">
      <alignment horizontal="center"/>
    </xf>
    <xf numFmtId="0" fontId="9" fillId="26" borderId="27" xfId="0" quotePrefix="1" applyFont="1" applyFill="1" applyBorder="1" applyAlignment="1" applyProtection="1">
      <alignment horizontal="center"/>
    </xf>
    <xf numFmtId="0" fontId="9" fillId="25" borderId="30" xfId="0" applyFont="1" applyFill="1" applyBorder="1" applyAlignment="1" applyProtection="1">
      <alignment horizontal="center"/>
    </xf>
    <xf numFmtId="0" fontId="0" fillId="25" borderId="20" xfId="0" applyFill="1" applyBorder="1" applyAlignment="1">
      <alignment horizontal="center"/>
    </xf>
    <xf numFmtId="0" fontId="0" fillId="25" borderId="14" xfId="0" applyFill="1" applyBorder="1" applyAlignment="1">
      <alignment horizontal="center"/>
    </xf>
    <xf numFmtId="0" fontId="9" fillId="36" borderId="60" xfId="0" applyFont="1" applyFill="1" applyBorder="1" applyAlignment="1" applyProtection="1">
      <alignment horizontal="right"/>
    </xf>
    <xf numFmtId="0" fontId="5" fillId="35" borderId="61" xfId="0" applyFont="1" applyFill="1" applyBorder="1" applyAlignment="1" applyProtection="1">
      <alignment horizontal="center"/>
      <protection locked="0"/>
    </xf>
    <xf numFmtId="167" fontId="9" fillId="25" borderId="35" xfId="32" applyNumberFormat="1" applyFont="1" applyFill="1" applyBorder="1" applyAlignment="1" applyProtection="1">
      <alignment horizontal="center" vertical="center"/>
    </xf>
    <xf numFmtId="0" fontId="9" fillId="25" borderId="0" xfId="0" applyFont="1" applyFill="1" applyProtection="1">
      <protection locked="0"/>
    </xf>
    <xf numFmtId="0" fontId="0" fillId="39" borderId="30" xfId="0" applyFill="1" applyBorder="1" applyAlignment="1">
      <alignment horizontal="center"/>
    </xf>
    <xf numFmtId="0" fontId="97" fillId="25" borderId="26" xfId="0" applyFont="1" applyFill="1" applyBorder="1"/>
    <xf numFmtId="0" fontId="97" fillId="25" borderId="26" xfId="0" applyFont="1" applyFill="1" applyBorder="1" applyAlignment="1">
      <alignment horizontal="left"/>
    </xf>
    <xf numFmtId="0" fontId="97" fillId="25" borderId="26" xfId="0" applyFont="1" applyFill="1" applyBorder="1" applyAlignment="1">
      <alignment horizontal="center"/>
    </xf>
    <xf numFmtId="0" fontId="97" fillId="25" borderId="28" xfId="0" applyFont="1" applyFill="1" applyBorder="1" applyAlignment="1">
      <alignment horizontal="center"/>
    </xf>
    <xf numFmtId="0" fontId="97" fillId="25" borderId="17" xfId="0" applyFont="1" applyFill="1" applyBorder="1" applyAlignment="1">
      <alignment horizontal="center"/>
    </xf>
    <xf numFmtId="0" fontId="0" fillId="25" borderId="27" xfId="0" applyFill="1" applyBorder="1" applyAlignment="1">
      <alignment horizontal="left"/>
    </xf>
    <xf numFmtId="0" fontId="7" fillId="33" borderId="26" xfId="0" quotePrefix="1" applyFont="1" applyFill="1" applyBorder="1" applyAlignment="1">
      <alignment horizontal="left"/>
    </xf>
    <xf numFmtId="0" fontId="0" fillId="0" borderId="0" xfId="0" quotePrefix="1"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15" fillId="25" borderId="15" xfId="0" applyFont="1" applyFill="1" applyBorder="1" applyAlignment="1" applyProtection="1">
      <alignment vertical="center"/>
    </xf>
    <xf numFmtId="0" fontId="31" fillId="25" borderId="20" xfId="0" applyFont="1" applyFill="1" applyBorder="1" applyAlignment="1" applyProtection="1">
      <alignment horizontal="left" vertical="center"/>
    </xf>
    <xf numFmtId="22" fontId="16" fillId="25" borderId="0" xfId="0" applyNumberFormat="1" applyFont="1" applyFill="1" applyAlignment="1" applyProtection="1">
      <alignment horizontal="left"/>
    </xf>
    <xf numFmtId="0" fontId="90" fillId="41" borderId="28" xfId="0" applyFont="1" applyFill="1" applyBorder="1" applyAlignment="1">
      <alignment horizontal="center"/>
    </xf>
    <xf numFmtId="0" fontId="89" fillId="41" borderId="11" xfId="0" applyFont="1" applyFill="1" applyBorder="1" applyAlignment="1">
      <alignment horizontal="center"/>
    </xf>
    <xf numFmtId="0" fontId="5" fillId="36" borderId="61" xfId="0" applyFont="1" applyFill="1" applyBorder="1" applyAlignment="1" applyProtection="1">
      <alignment horizontal="center"/>
      <protection locked="0"/>
    </xf>
    <xf numFmtId="170" fontId="9" fillId="25" borderId="18" xfId="0" applyNumberFormat="1" applyFont="1" applyFill="1" applyBorder="1" applyProtection="1"/>
    <xf numFmtId="0" fontId="15" fillId="25" borderId="79" xfId="0" applyFont="1" applyFill="1" applyBorder="1" applyAlignment="1" applyProtection="1">
      <alignment vertical="center"/>
    </xf>
    <xf numFmtId="0" fontId="9" fillId="25" borderId="79" xfId="0" applyFont="1" applyFill="1" applyBorder="1" applyAlignment="1" applyProtection="1">
      <alignment horizontal="left" vertical="center"/>
    </xf>
    <xf numFmtId="0" fontId="9" fillId="25" borderId="79" xfId="0" applyFont="1" applyFill="1" applyBorder="1" applyAlignment="1" applyProtection="1">
      <alignment horizontal="right" vertical="center"/>
    </xf>
    <xf numFmtId="0" fontId="9" fillId="25" borderId="79" xfId="0" applyFont="1" applyFill="1" applyBorder="1" applyAlignment="1" applyProtection="1">
      <alignment horizontal="center" vertical="center"/>
    </xf>
    <xf numFmtId="0" fontId="5" fillId="25" borderId="79" xfId="0" applyFont="1" applyFill="1" applyBorder="1" applyAlignment="1" applyProtection="1">
      <alignment vertical="center"/>
    </xf>
    <xf numFmtId="0" fontId="5" fillId="36" borderId="79" xfId="33" applyNumberFormat="1" applyFont="1" applyFill="1" applyBorder="1" applyAlignment="1" applyProtection="1">
      <alignment horizontal="right" vertical="center"/>
    </xf>
    <xf numFmtId="170" fontId="9" fillId="25" borderId="79" xfId="0" applyNumberFormat="1" applyFont="1" applyFill="1" applyBorder="1" applyProtection="1"/>
    <xf numFmtId="170" fontId="9" fillId="25" borderId="11" xfId="0" applyNumberFormat="1" applyFont="1" applyFill="1" applyBorder="1" applyProtection="1"/>
    <xf numFmtId="170" fontId="9" fillId="25" borderId="19" xfId="0" applyNumberFormat="1" applyFont="1" applyFill="1" applyBorder="1" applyProtection="1"/>
    <xf numFmtId="170" fontId="9" fillId="25" borderId="79" xfId="0" applyNumberFormat="1" applyFont="1" applyFill="1" applyBorder="1" applyAlignment="1" applyProtection="1">
      <alignment vertical="center"/>
    </xf>
    <xf numFmtId="170" fontId="9" fillId="25" borderId="18" xfId="0" applyNumberFormat="1" applyFont="1" applyFill="1" applyBorder="1" applyAlignment="1" applyProtection="1">
      <alignment vertical="center"/>
    </xf>
    <xf numFmtId="164" fontId="5" fillId="25" borderId="54" xfId="0" applyNumberFormat="1" applyFont="1" applyFill="1" applyBorder="1" applyAlignment="1" applyProtection="1">
      <alignment horizontal="center" vertical="center"/>
    </xf>
    <xf numFmtId="0" fontId="0" fillId="25" borderId="12" xfId="0" applyFill="1" applyBorder="1" applyAlignment="1">
      <alignment horizontal="right"/>
    </xf>
    <xf numFmtId="0" fontId="2" fillId="25" borderId="0" xfId="0" applyFont="1" applyFill="1" applyAlignment="1">
      <alignment horizontal="right"/>
    </xf>
    <xf numFmtId="0" fontId="89" fillId="41" borderId="19" xfId="0" applyFont="1" applyFill="1" applyBorder="1" applyAlignment="1">
      <alignment horizontal="center"/>
    </xf>
    <xf numFmtId="0" fontId="89" fillId="41" borderId="27" xfId="0" applyFont="1" applyFill="1" applyBorder="1" applyAlignment="1">
      <alignment horizontal="center"/>
    </xf>
    <xf numFmtId="0" fontId="89" fillId="41" borderId="30" xfId="0" applyFont="1" applyFill="1" applyBorder="1" applyAlignment="1">
      <alignment horizontal="center"/>
    </xf>
    <xf numFmtId="164" fontId="9" fillId="25" borderId="14" xfId="0" applyNumberFormat="1" applyFont="1" applyFill="1" applyBorder="1" applyAlignment="1">
      <alignment horizontal="center" vertical="center"/>
    </xf>
    <xf numFmtId="167" fontId="10" fillId="25" borderId="67" xfId="0" applyNumberFormat="1" applyFont="1" applyFill="1" applyBorder="1" applyAlignment="1" applyProtection="1">
      <alignment vertical="center"/>
    </xf>
    <xf numFmtId="0" fontId="10" fillId="40" borderId="80" xfId="0" applyFont="1" applyFill="1" applyBorder="1" applyAlignment="1" applyProtection="1">
      <alignment horizontal="center" vertical="center"/>
      <protection locked="0"/>
    </xf>
    <xf numFmtId="167" fontId="101" fillId="25" borderId="18" xfId="0" applyNumberFormat="1" applyFont="1" applyFill="1" applyBorder="1" applyAlignment="1" applyProtection="1">
      <alignment vertical="center"/>
    </xf>
    <xf numFmtId="0" fontId="101" fillId="25" borderId="18" xfId="0" applyFont="1" applyFill="1" applyBorder="1" applyAlignment="1" applyProtection="1">
      <alignment vertical="center"/>
    </xf>
    <xf numFmtId="0" fontId="2" fillId="0" borderId="0" xfId="0" quotePrefix="1" applyFont="1" applyFill="1" applyBorder="1" applyAlignment="1">
      <alignment horizontal="center"/>
    </xf>
    <xf numFmtId="0" fontId="5" fillId="25" borderId="61" xfId="0" applyFont="1" applyFill="1" applyBorder="1" applyAlignment="1" applyProtection="1">
      <alignment vertical="center"/>
    </xf>
    <xf numFmtId="0" fontId="9" fillId="25" borderId="13" xfId="0" applyFont="1" applyFill="1" applyBorder="1" applyAlignment="1" applyProtection="1">
      <alignment horizontal="center"/>
    </xf>
    <xf numFmtId="0" fontId="80" fillId="36" borderId="32" xfId="0" applyFont="1" applyFill="1" applyBorder="1" applyAlignment="1" applyProtection="1">
      <alignment horizontal="center" wrapText="1"/>
    </xf>
    <xf numFmtId="0" fontId="9" fillId="25" borderId="31" xfId="0" applyFont="1" applyFill="1" applyBorder="1" applyProtection="1"/>
    <xf numFmtId="0" fontId="9" fillId="36" borderId="13" xfId="0" applyFont="1" applyFill="1" applyBorder="1" applyAlignment="1" applyProtection="1">
      <alignment horizontal="center" vertical="center"/>
      <protection locked="0"/>
    </xf>
    <xf numFmtId="0" fontId="5" fillId="25" borderId="22" xfId="0" applyFont="1" applyFill="1" applyBorder="1" applyAlignment="1" applyProtection="1">
      <alignment vertical="center"/>
    </xf>
    <xf numFmtId="0" fontId="9" fillId="25" borderId="79" xfId="0" applyFont="1" applyFill="1" applyBorder="1" applyProtection="1"/>
    <xf numFmtId="0" fontId="16" fillId="25" borderId="67" xfId="0" applyFont="1" applyFill="1" applyBorder="1" applyAlignment="1" applyProtection="1">
      <alignment horizontal="left" vertical="center"/>
    </xf>
    <xf numFmtId="0" fontId="16" fillId="25" borderId="18" xfId="0" applyFont="1" applyFill="1" applyBorder="1" applyAlignment="1" applyProtection="1">
      <alignment horizontal="left" vertical="center"/>
    </xf>
    <xf numFmtId="0" fontId="16" fillId="25" borderId="68" xfId="0" applyFont="1" applyFill="1" applyBorder="1" applyAlignment="1" applyProtection="1">
      <alignment horizontal="left" vertical="center"/>
    </xf>
    <xf numFmtId="0" fontId="9" fillId="25" borderId="44" xfId="0" applyFont="1" applyFill="1" applyBorder="1" applyAlignment="1" applyProtection="1">
      <alignment horizontal="right" vertical="center"/>
    </xf>
    <xf numFmtId="0" fontId="16" fillId="25" borderId="67" xfId="0" applyFont="1" applyFill="1" applyBorder="1" applyAlignment="1" applyProtection="1">
      <alignment horizontal="center" vertical="center"/>
    </xf>
    <xf numFmtId="0" fontId="80" fillId="25" borderId="66" xfId="0" applyFont="1" applyFill="1" applyBorder="1" applyAlignment="1" applyProtection="1">
      <alignment vertical="center"/>
    </xf>
    <xf numFmtId="0" fontId="9" fillId="36" borderId="47" xfId="0" applyFont="1" applyFill="1" applyBorder="1" applyAlignment="1" applyProtection="1">
      <alignment horizontal="right"/>
    </xf>
    <xf numFmtId="0" fontId="9" fillId="25" borderId="61" xfId="0" applyFont="1" applyFill="1" applyBorder="1" applyAlignment="1">
      <alignment vertical="center"/>
    </xf>
    <xf numFmtId="22" fontId="16" fillId="25" borderId="0" xfId="0" applyNumberFormat="1" applyFont="1" applyFill="1" applyAlignment="1" applyProtection="1">
      <alignment horizontal="left"/>
    </xf>
    <xf numFmtId="0" fontId="51" fillId="25" borderId="0" xfId="0" applyFont="1" applyFill="1" applyAlignment="1">
      <alignment vertical="top"/>
    </xf>
    <xf numFmtId="0" fontId="2" fillId="25" borderId="0" xfId="0" applyFont="1" applyFill="1" applyAlignment="1">
      <alignment vertical="top"/>
    </xf>
    <xf numFmtId="0" fontId="41" fillId="25" borderId="0" xfId="0" applyFont="1" applyFill="1" applyAlignment="1">
      <alignment horizontal="right" vertical="top"/>
    </xf>
    <xf numFmtId="0" fontId="16" fillId="25" borderId="0" xfId="33" applyNumberFormat="1" applyFont="1" applyFill="1" applyAlignment="1">
      <alignment horizontal="right"/>
    </xf>
    <xf numFmtId="0" fontId="4" fillId="25" borderId="0" xfId="0" applyFont="1" applyFill="1" applyAlignment="1">
      <alignment vertical="top"/>
    </xf>
    <xf numFmtId="0" fontId="2" fillId="25" borderId="0" xfId="33" applyNumberFormat="1" applyFont="1" applyFill="1"/>
    <xf numFmtId="0" fontId="10" fillId="25" borderId="79" xfId="0" applyFont="1" applyFill="1" applyBorder="1" applyAlignment="1" applyProtection="1">
      <alignment horizontal="left" vertical="center"/>
    </xf>
    <xf numFmtId="0" fontId="9" fillId="25" borderId="0" xfId="0" applyFont="1" applyFill="1" applyAlignment="1">
      <alignment vertical="top"/>
    </xf>
    <xf numFmtId="0" fontId="9" fillId="25" borderId="0" xfId="0" applyFont="1" applyFill="1" applyAlignment="1">
      <alignment horizontal="left" vertical="top" wrapText="1"/>
    </xf>
    <xf numFmtId="0" fontId="9" fillId="25" borderId="27" xfId="0" applyFont="1" applyFill="1" applyBorder="1" applyAlignment="1">
      <alignment horizontal="left" vertical="top" wrapText="1"/>
    </xf>
    <xf numFmtId="0" fontId="9" fillId="25" borderId="11" xfId="0" applyFont="1" applyFill="1" applyBorder="1" applyAlignment="1">
      <alignment vertical="top"/>
    </xf>
    <xf numFmtId="0" fontId="9" fillId="25" borderId="27" xfId="0" applyFont="1" applyFill="1" applyBorder="1" applyAlignment="1">
      <alignment horizontal="left" vertical="top"/>
    </xf>
    <xf numFmtId="0" fontId="9" fillId="25" borderId="0" xfId="0" applyFont="1" applyFill="1" applyBorder="1" applyAlignment="1">
      <alignment horizontal="left" vertical="top"/>
    </xf>
    <xf numFmtId="0" fontId="2" fillId="25" borderId="0" xfId="0" applyFont="1" applyFill="1" applyBorder="1" applyAlignment="1">
      <alignment horizontal="left" vertical="top"/>
    </xf>
    <xf numFmtId="0" fontId="9" fillId="25" borderId="26" xfId="0" applyFont="1" applyFill="1" applyBorder="1" applyAlignment="1">
      <alignment horizontal="left" vertical="top" wrapText="1"/>
    </xf>
    <xf numFmtId="0" fontId="9" fillId="25" borderId="29" xfId="0" applyFont="1" applyFill="1" applyBorder="1" applyAlignment="1">
      <alignment vertical="top"/>
    </xf>
    <xf numFmtId="0" fontId="9" fillId="25" borderId="26" xfId="0" applyFont="1" applyFill="1" applyBorder="1" applyAlignment="1">
      <alignment vertical="top"/>
    </xf>
    <xf numFmtId="0" fontId="9" fillId="25" borderId="19" xfId="0" applyFont="1" applyFill="1" applyBorder="1" applyAlignment="1">
      <alignment vertical="top"/>
    </xf>
    <xf numFmtId="0" fontId="9" fillId="25" borderId="30" xfId="0" applyFont="1" applyFill="1" applyBorder="1" applyAlignment="1">
      <alignment vertical="top"/>
    </xf>
    <xf numFmtId="0" fontId="9" fillId="25" borderId="81" xfId="0" applyFont="1" applyFill="1" applyBorder="1" applyAlignment="1">
      <alignment horizontal="left" vertical="top" wrapText="1"/>
    </xf>
    <xf numFmtId="0" fontId="9" fillId="44" borderId="15" xfId="0" applyFont="1" applyFill="1" applyBorder="1" applyAlignment="1">
      <alignment vertical="top"/>
    </xf>
    <xf numFmtId="0" fontId="9" fillId="44" borderId="79" xfId="0" applyFont="1" applyFill="1" applyBorder="1" applyAlignment="1">
      <alignment vertical="top"/>
    </xf>
    <xf numFmtId="0" fontId="9" fillId="44" borderId="11" xfId="0" applyFont="1" applyFill="1" applyBorder="1" applyAlignment="1">
      <alignment vertical="top"/>
    </xf>
    <xf numFmtId="0" fontId="9" fillId="25" borderId="20" xfId="0" applyFont="1" applyFill="1" applyBorder="1" applyAlignment="1" applyProtection="1">
      <alignment vertical="center"/>
    </xf>
    <xf numFmtId="0" fontId="9" fillId="25" borderId="14" xfId="0" applyFont="1" applyFill="1" applyBorder="1" applyAlignment="1">
      <alignment vertical="center"/>
    </xf>
    <xf numFmtId="0" fontId="9" fillId="25" borderId="66" xfId="0" applyFont="1" applyFill="1" applyBorder="1" applyAlignment="1" applyProtection="1">
      <alignment horizontal="right" vertical="center"/>
    </xf>
    <xf numFmtId="0" fontId="10" fillId="25" borderId="21" xfId="0" applyFont="1" applyFill="1" applyBorder="1" applyAlignment="1">
      <alignment horizontal="center" vertical="center"/>
    </xf>
    <xf numFmtId="0" fontId="10" fillId="25" borderId="82" xfId="0" applyFont="1" applyFill="1" applyBorder="1" applyAlignment="1">
      <alignment horizontal="center" vertical="center"/>
    </xf>
    <xf numFmtId="0" fontId="9" fillId="25" borderId="83" xfId="0" applyFont="1" applyFill="1" applyBorder="1" applyAlignment="1">
      <alignment horizontal="left" vertical="top" wrapText="1"/>
    </xf>
    <xf numFmtId="0" fontId="9" fillId="25" borderId="66" xfId="0" applyFont="1" applyFill="1" applyBorder="1" applyAlignment="1">
      <alignment horizontal="center" vertical="top"/>
    </xf>
    <xf numFmtId="0" fontId="9" fillId="25" borderId="21" xfId="0" applyFont="1" applyFill="1" applyBorder="1" applyAlignment="1">
      <alignment horizontal="center" vertical="top"/>
    </xf>
    <xf numFmtId="0" fontId="9" fillId="25" borderId="82" xfId="0" applyFont="1" applyFill="1" applyBorder="1" applyAlignment="1">
      <alignment horizontal="center" vertical="top"/>
    </xf>
    <xf numFmtId="0" fontId="9" fillId="44" borderId="74" xfId="0" applyFont="1" applyFill="1" applyBorder="1" applyAlignment="1">
      <alignment horizontal="center" vertical="top"/>
    </xf>
    <xf numFmtId="0" fontId="9" fillId="44" borderId="21" xfId="0" applyFont="1" applyFill="1" applyBorder="1" applyAlignment="1">
      <alignment horizontal="center" vertical="top"/>
    </xf>
    <xf numFmtId="0" fontId="9" fillId="44" borderId="82" xfId="0" applyFont="1" applyFill="1" applyBorder="1" applyAlignment="1">
      <alignment horizontal="center" vertical="top"/>
    </xf>
    <xf numFmtId="0" fontId="24" fillId="25" borderId="70" xfId="0" applyFont="1" applyFill="1" applyBorder="1" applyAlignment="1">
      <alignment vertical="center"/>
    </xf>
    <xf numFmtId="0" fontId="9" fillId="25" borderId="33" xfId="0" applyFont="1" applyFill="1" applyBorder="1" applyAlignment="1">
      <alignment horizontal="center" vertical="top"/>
    </xf>
    <xf numFmtId="0" fontId="9" fillId="25" borderId="84" xfId="0" applyFont="1" applyFill="1" applyBorder="1" applyAlignment="1">
      <alignment horizontal="center" vertical="top"/>
    </xf>
    <xf numFmtId="0" fontId="9" fillId="25" borderId="0" xfId="0" applyFont="1" applyFill="1" applyBorder="1" applyAlignment="1">
      <alignment horizontal="center" vertical="top"/>
    </xf>
    <xf numFmtId="0" fontId="9" fillId="25" borderId="29" xfId="0" applyFont="1" applyFill="1" applyBorder="1" applyAlignment="1">
      <alignment horizontal="center" vertical="top"/>
    </xf>
    <xf numFmtId="0" fontId="9" fillId="25" borderId="73" xfId="0" applyFont="1" applyFill="1" applyBorder="1" applyAlignment="1">
      <alignment vertical="top"/>
    </xf>
    <xf numFmtId="0" fontId="9" fillId="25" borderId="42" xfId="0" applyFont="1" applyFill="1" applyBorder="1" applyAlignment="1">
      <alignment vertical="top"/>
    </xf>
    <xf numFmtId="0" fontId="9" fillId="25" borderId="85" xfId="0" applyFont="1" applyFill="1" applyBorder="1" applyAlignment="1">
      <alignment vertical="top"/>
    </xf>
    <xf numFmtId="0" fontId="9" fillId="25" borderId="88" xfId="0" applyFont="1" applyFill="1" applyBorder="1" applyAlignment="1">
      <alignment horizontal="left" vertical="top" wrapText="1"/>
    </xf>
    <xf numFmtId="0" fontId="9" fillId="25" borderId="28" xfId="0" applyFont="1" applyFill="1" applyBorder="1" applyAlignment="1">
      <alignment vertical="top"/>
    </xf>
    <xf numFmtId="0" fontId="9" fillId="25" borderId="0" xfId="0" applyFont="1" applyFill="1" applyBorder="1" applyAlignment="1">
      <alignment vertical="top"/>
    </xf>
    <xf numFmtId="0" fontId="9" fillId="25" borderId="75" xfId="0" applyFont="1" applyFill="1" applyBorder="1" applyAlignment="1">
      <alignment vertical="top"/>
    </xf>
    <xf numFmtId="0" fontId="9" fillId="25" borderId="35" xfId="0" applyFont="1" applyFill="1" applyBorder="1" applyAlignment="1">
      <alignment vertical="top"/>
    </xf>
    <xf numFmtId="0" fontId="9" fillId="25" borderId="89" xfId="0" applyFont="1" applyFill="1" applyBorder="1" applyAlignment="1">
      <alignment vertical="top"/>
    </xf>
    <xf numFmtId="0" fontId="5" fillId="25" borderId="69" xfId="0" applyFont="1" applyFill="1" applyBorder="1" applyAlignment="1">
      <alignment horizontal="left" vertical="center" wrapText="1"/>
    </xf>
    <xf numFmtId="0" fontId="9" fillId="25" borderId="58"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9" fillId="25" borderId="13" xfId="0" applyFont="1" applyFill="1" applyBorder="1" applyAlignment="1" applyProtection="1">
      <alignment horizontal="center" vertical="center"/>
      <protection locked="0"/>
    </xf>
    <xf numFmtId="0" fontId="9" fillId="25" borderId="91" xfId="0" applyFont="1" applyFill="1" applyBorder="1" applyAlignment="1" applyProtection="1">
      <alignment horizontal="center" vertical="center"/>
      <protection locked="0"/>
    </xf>
    <xf numFmtId="0" fontId="9" fillId="25" borderId="30" xfId="0" applyFont="1" applyFill="1" applyBorder="1" applyAlignment="1">
      <alignment horizontal="left" vertical="top" wrapText="1"/>
    </xf>
    <xf numFmtId="0" fontId="9" fillId="25" borderId="20" xfId="0" applyFont="1" applyFill="1" applyBorder="1" applyAlignment="1">
      <alignment vertical="top"/>
    </xf>
    <xf numFmtId="0" fontId="9" fillId="25" borderId="14" xfId="0" applyFont="1" applyFill="1" applyBorder="1" applyAlignment="1">
      <alignment vertical="top"/>
    </xf>
    <xf numFmtId="0" fontId="9" fillId="25" borderId="22" xfId="0" applyFont="1" applyFill="1" applyBorder="1" applyAlignment="1">
      <alignment vertical="top"/>
    </xf>
    <xf numFmtId="0" fontId="9" fillId="0" borderId="74" xfId="0" applyFont="1" applyBorder="1" applyAlignment="1">
      <alignment vertical="top"/>
    </xf>
    <xf numFmtId="0" fontId="9" fillId="0" borderId="21" xfId="0" applyFont="1" applyBorder="1" applyAlignment="1">
      <alignment vertical="top"/>
    </xf>
    <xf numFmtId="0" fontId="9" fillId="25" borderId="0" xfId="0" applyFont="1" applyFill="1" applyAlignment="1">
      <alignment horizontal="left" vertical="top"/>
    </xf>
    <xf numFmtId="0" fontId="10" fillId="25" borderId="0" xfId="0" applyFont="1" applyFill="1" applyAlignment="1">
      <alignment vertical="top"/>
    </xf>
    <xf numFmtId="0" fontId="9" fillId="25" borderId="27" xfId="0" applyFont="1" applyFill="1" applyBorder="1" applyAlignment="1">
      <alignment vertical="top"/>
    </xf>
    <xf numFmtId="0" fontId="5" fillId="25" borderId="74" xfId="0" applyFont="1" applyFill="1" applyBorder="1" applyAlignment="1">
      <alignment horizontal="center" vertical="center" wrapText="1"/>
    </xf>
    <xf numFmtId="0" fontId="9" fillId="25" borderId="50" xfId="0" applyFont="1" applyFill="1" applyBorder="1" applyAlignment="1">
      <alignment horizontal="center" vertical="top"/>
    </xf>
    <xf numFmtId="0" fontId="9" fillId="25" borderId="42" xfId="0" applyFont="1" applyFill="1" applyBorder="1" applyAlignment="1">
      <alignment horizontal="center" vertical="top"/>
    </xf>
    <xf numFmtId="0" fontId="9" fillId="25" borderId="85" xfId="0" applyFont="1" applyFill="1" applyBorder="1" applyAlignment="1">
      <alignment horizontal="center" vertical="top"/>
    </xf>
    <xf numFmtId="0" fontId="9" fillId="25" borderId="24" xfId="0" quotePrefix="1" applyFont="1" applyFill="1" applyBorder="1" applyAlignment="1">
      <alignment horizontal="center" vertical="center"/>
    </xf>
    <xf numFmtId="0" fontId="9" fillId="25" borderId="83" xfId="0" applyFont="1" applyFill="1" applyBorder="1" applyAlignment="1">
      <alignment vertical="top"/>
    </xf>
    <xf numFmtId="0" fontId="9" fillId="25" borderId="15" xfId="0" applyFont="1" applyFill="1" applyBorder="1" applyAlignment="1">
      <alignment vertical="top"/>
    </xf>
    <xf numFmtId="0" fontId="9" fillId="25" borderId="79" xfId="0" applyFont="1" applyFill="1" applyBorder="1" applyAlignment="1">
      <alignment vertical="top"/>
    </xf>
    <xf numFmtId="0" fontId="9" fillId="25" borderId="23" xfId="0" quotePrefix="1" applyFont="1" applyFill="1" applyBorder="1" applyAlignment="1">
      <alignment horizontal="center" vertical="center"/>
    </xf>
    <xf numFmtId="0" fontId="9" fillId="25" borderId="23" xfId="0" quotePrefix="1" applyFont="1" applyFill="1" applyBorder="1" applyAlignment="1">
      <alignment horizontal="center" vertical="top"/>
    </xf>
    <xf numFmtId="0" fontId="9" fillId="25" borderId="17" xfId="0" applyFont="1" applyFill="1" applyBorder="1" applyAlignment="1">
      <alignment vertical="top"/>
    </xf>
    <xf numFmtId="0" fontId="9" fillId="25" borderId="18" xfId="0" applyFont="1" applyFill="1" applyBorder="1" applyAlignment="1">
      <alignment vertical="top"/>
    </xf>
    <xf numFmtId="0" fontId="5" fillId="25" borderId="28" xfId="0" applyFont="1" applyFill="1" applyBorder="1" applyAlignment="1">
      <alignment horizontal="left" vertical="center"/>
    </xf>
    <xf numFmtId="0" fontId="9" fillId="25" borderId="0" xfId="0" applyFont="1" applyFill="1" applyBorder="1" applyAlignment="1">
      <alignment vertical="center"/>
    </xf>
    <xf numFmtId="0" fontId="9" fillId="25" borderId="92" xfId="0" applyFont="1" applyFill="1" applyBorder="1" applyAlignment="1">
      <alignment vertical="top"/>
    </xf>
    <xf numFmtId="0" fontId="9" fillId="25" borderId="73" xfId="0" applyFont="1" applyFill="1" applyBorder="1" applyAlignment="1">
      <alignment horizontal="center" vertical="top"/>
    </xf>
    <xf numFmtId="0" fontId="9" fillId="25" borderId="16" xfId="0" applyFont="1" applyFill="1" applyBorder="1" applyAlignment="1" applyProtection="1">
      <alignment horizontal="center" vertical="center"/>
      <protection locked="0"/>
    </xf>
    <xf numFmtId="0" fontId="9" fillId="25" borderId="93" xfId="0" applyFont="1" applyFill="1" applyBorder="1" applyAlignment="1" applyProtection="1">
      <alignment horizontal="center" vertical="center"/>
      <protection locked="0"/>
    </xf>
    <xf numFmtId="0" fontId="9" fillId="25" borderId="94" xfId="0" applyFont="1" applyFill="1" applyBorder="1" applyAlignment="1">
      <alignment vertical="top"/>
    </xf>
    <xf numFmtId="0" fontId="2" fillId="25" borderId="22" xfId="0" applyFont="1" applyFill="1" applyBorder="1" applyAlignment="1">
      <alignment horizontal="center" vertical="top"/>
    </xf>
    <xf numFmtId="0" fontId="10" fillId="45" borderId="21" xfId="0" applyFont="1" applyFill="1" applyBorder="1" applyAlignment="1">
      <alignment horizontal="center" vertical="center"/>
    </xf>
    <xf numFmtId="0" fontId="10" fillId="45" borderId="82" xfId="0" applyFont="1" applyFill="1" applyBorder="1" applyAlignment="1">
      <alignment horizontal="center" vertical="center"/>
    </xf>
    <xf numFmtId="0" fontId="9" fillId="25" borderId="12" xfId="0" applyFont="1" applyFill="1" applyBorder="1" applyAlignment="1">
      <alignment vertical="top"/>
    </xf>
    <xf numFmtId="0" fontId="2" fillId="25" borderId="12" xfId="0" applyFont="1" applyFill="1" applyBorder="1" applyAlignment="1">
      <alignment horizontal="center" vertical="top"/>
    </xf>
    <xf numFmtId="0" fontId="1" fillId="25" borderId="0" xfId="0" applyFont="1" applyFill="1"/>
    <xf numFmtId="0" fontId="5" fillId="25" borderId="0" xfId="0" applyFont="1" applyFill="1" applyAlignment="1">
      <alignment vertical="top"/>
    </xf>
    <xf numFmtId="0" fontId="5" fillId="29" borderId="58" xfId="0" applyNumberFormat="1" applyFont="1" applyFill="1" applyBorder="1" applyAlignment="1" applyProtection="1">
      <alignment horizontal="center" vertical="center"/>
      <protection locked="0"/>
    </xf>
    <xf numFmtId="0" fontId="9" fillId="25" borderId="71" xfId="0" applyFont="1" applyFill="1" applyBorder="1" applyProtection="1"/>
    <xf numFmtId="0" fontId="9" fillId="25" borderId="32" xfId="0" applyFont="1" applyFill="1" applyBorder="1" applyProtection="1"/>
    <xf numFmtId="0" fontId="9" fillId="25" borderId="13" xfId="0" applyFont="1" applyFill="1" applyBorder="1" applyProtection="1"/>
    <xf numFmtId="0" fontId="5" fillId="25" borderId="44" xfId="0" applyFont="1" applyFill="1" applyBorder="1" applyAlignment="1" applyProtection="1">
      <alignment horizontal="center" vertical="center"/>
    </xf>
    <xf numFmtId="166" fontId="5" fillId="24" borderId="44" xfId="0" applyNumberFormat="1" applyFont="1" applyFill="1" applyBorder="1" applyAlignment="1" applyProtection="1">
      <alignment horizontal="center" vertical="center"/>
    </xf>
    <xf numFmtId="166" fontId="5" fillId="25" borderId="44" xfId="0" applyNumberFormat="1" applyFont="1" applyFill="1" applyBorder="1" applyAlignment="1" applyProtection="1">
      <alignment horizontal="center" vertical="center"/>
    </xf>
    <xf numFmtId="166" fontId="5" fillId="25" borderId="67" xfId="0" applyNumberFormat="1" applyFont="1" applyFill="1" applyBorder="1" applyAlignment="1" applyProtection="1">
      <alignment horizontal="center" vertical="center"/>
    </xf>
    <xf numFmtId="0" fontId="39" fillId="25" borderId="19" xfId="0" applyFont="1" applyFill="1" applyBorder="1" applyAlignment="1" applyProtection="1">
      <alignment horizontal="center" vertical="center" wrapText="1"/>
    </xf>
    <xf numFmtId="0" fontId="84" fillId="25" borderId="16" xfId="0" applyFont="1" applyFill="1" applyBorder="1" applyAlignment="1" applyProtection="1">
      <alignment horizontal="center" vertical="center"/>
    </xf>
    <xf numFmtId="0" fontId="9" fillId="25" borderId="28" xfId="0" applyFont="1" applyFill="1" applyBorder="1" applyProtection="1"/>
    <xf numFmtId="1" fontId="0" fillId="25" borderId="26" xfId="0" applyNumberFormat="1" applyFill="1" applyBorder="1" applyAlignment="1">
      <alignment horizontal="left"/>
    </xf>
    <xf numFmtId="0" fontId="9" fillId="25" borderId="17" xfId="0" applyFont="1" applyFill="1" applyBorder="1" applyAlignment="1" applyProtection="1">
      <alignment vertical="center"/>
    </xf>
    <xf numFmtId="0" fontId="80" fillId="25" borderId="66" xfId="0" applyFont="1" applyFill="1" applyBorder="1" applyAlignment="1" applyProtection="1">
      <alignment vertic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5" fillId="25" borderId="0" xfId="0" applyFont="1" applyFill="1" applyBorder="1" applyAlignment="1" applyProtection="1">
      <alignment vertical="center"/>
    </xf>
    <xf numFmtId="0" fontId="25" fillId="25" borderId="0" xfId="0" applyFont="1" applyFill="1" applyBorder="1" applyProtection="1"/>
    <xf numFmtId="0" fontId="6" fillId="25" borderId="0" xfId="0" applyFont="1" applyFill="1" applyBorder="1" applyAlignment="1" applyProtection="1">
      <alignment horizontal="center" vertical="center"/>
    </xf>
    <xf numFmtId="0" fontId="92" fillId="36" borderId="0" xfId="0" applyFont="1" applyFill="1" applyBorder="1" applyAlignment="1" applyProtection="1">
      <alignment horizontal="center" vertical="center"/>
      <protection locked="0"/>
    </xf>
    <xf numFmtId="166" fontId="5" fillId="25" borderId="0" xfId="0" applyNumberFormat="1" applyFont="1" applyFill="1" applyBorder="1" applyAlignment="1" applyProtection="1">
      <alignment horizontal="center" vertical="center"/>
    </xf>
    <xf numFmtId="164" fontId="5" fillId="25" borderId="29" xfId="0" applyNumberFormat="1" applyFont="1" applyFill="1" applyBorder="1" applyAlignment="1" applyProtection="1">
      <alignment horizontal="center" vertical="center"/>
    </xf>
    <xf numFmtId="0" fontId="9" fillId="25" borderId="78" xfId="0" applyFont="1" applyFill="1" applyBorder="1" applyAlignment="1" applyProtection="1">
      <alignment vertical="center"/>
    </xf>
    <xf numFmtId="0" fontId="9" fillId="25" borderId="86" xfId="0" applyFont="1" applyFill="1" applyBorder="1" applyAlignment="1" applyProtection="1">
      <alignment vertical="center"/>
    </xf>
    <xf numFmtId="0" fontId="82" fillId="36" borderId="13" xfId="0" applyFont="1" applyFill="1" applyBorder="1" applyAlignment="1" applyProtection="1">
      <alignment horizontal="center" vertical="center"/>
      <protection locked="0"/>
    </xf>
    <xf numFmtId="171" fontId="25" fillId="25" borderId="12" xfId="0" applyNumberFormat="1" applyFont="1" applyFill="1" applyBorder="1" applyAlignment="1" applyProtection="1">
      <alignment horizontal="center"/>
    </xf>
    <xf numFmtId="0" fontId="9" fillId="25" borderId="12" xfId="0" applyFont="1" applyFill="1" applyBorder="1" applyAlignment="1" applyProtection="1">
      <alignment horizontal="center"/>
    </xf>
    <xf numFmtId="171" fontId="9" fillId="25" borderId="12" xfId="32" applyNumberFormat="1" applyFont="1" applyFill="1" applyBorder="1" applyAlignment="1" applyProtection="1">
      <alignment horizontal="center"/>
    </xf>
    <xf numFmtId="171" fontId="9" fillId="25" borderId="0" xfId="32" applyNumberFormat="1" applyFont="1" applyFill="1" applyBorder="1" applyAlignment="1" applyProtection="1">
      <alignment horizontal="center"/>
    </xf>
    <xf numFmtId="171" fontId="9" fillId="25" borderId="30" xfId="32" applyNumberFormat="1" applyFont="1" applyFill="1" applyBorder="1" applyAlignment="1" applyProtection="1">
      <alignment horizontal="center"/>
    </xf>
    <xf numFmtId="0" fontId="9" fillId="25" borderId="22" xfId="0" applyFont="1" applyFill="1" applyBorder="1" applyAlignment="1" applyProtection="1">
      <alignment horizontal="center"/>
    </xf>
    <xf numFmtId="171" fontId="9" fillId="25" borderId="28" xfId="32" applyNumberFormat="1" applyFont="1" applyFill="1" applyBorder="1" applyAlignment="1" applyProtection="1">
      <alignment horizontal="center"/>
    </xf>
    <xf numFmtId="171" fontId="9" fillId="25" borderId="17" xfId="32" applyNumberFormat="1" applyFont="1" applyFill="1" applyBorder="1" applyAlignment="1" applyProtection="1">
      <alignment horizontal="center"/>
    </xf>
    <xf numFmtId="0" fontId="9" fillId="25" borderId="27" xfId="0" applyFont="1" applyFill="1" applyBorder="1" applyAlignment="1" applyProtection="1">
      <alignment horizontal="center"/>
    </xf>
    <xf numFmtId="171" fontId="9" fillId="25" borderId="26" xfId="0" applyNumberFormat="1" applyFont="1" applyFill="1" applyBorder="1" applyAlignment="1" applyProtection="1">
      <alignment horizontal="center"/>
    </xf>
    <xf numFmtId="0" fontId="9" fillId="25" borderId="14" xfId="0" applyFont="1" applyFill="1" applyBorder="1" applyAlignment="1">
      <alignment horizontal="center"/>
    </xf>
    <xf numFmtId="167" fontId="13" fillId="25" borderId="14" xfId="0" applyNumberFormat="1" applyFont="1" applyFill="1" applyBorder="1" applyAlignment="1" applyProtection="1">
      <alignment horizontal="center"/>
    </xf>
    <xf numFmtId="2" fontId="10" fillId="25" borderId="22" xfId="0" applyNumberFormat="1" applyFont="1" applyFill="1" applyBorder="1" applyAlignment="1" applyProtection="1">
      <alignment horizontal="center"/>
    </xf>
    <xf numFmtId="2" fontId="9" fillId="25" borderId="14" xfId="0" applyNumberFormat="1" applyFont="1" applyFill="1" applyBorder="1" applyAlignment="1" applyProtection="1">
      <alignment horizontal="center"/>
    </xf>
    <xf numFmtId="0" fontId="9" fillId="25" borderId="15" xfId="0" applyFont="1" applyFill="1" applyBorder="1" applyProtection="1"/>
    <xf numFmtId="0" fontId="9" fillId="25" borderId="79" xfId="0" applyFont="1" applyFill="1" applyBorder="1" applyAlignment="1" applyProtection="1">
      <alignment horizontal="center"/>
    </xf>
    <xf numFmtId="0" fontId="9" fillId="25" borderId="11" xfId="0" applyFont="1" applyFill="1" applyBorder="1" applyProtection="1"/>
    <xf numFmtId="0" fontId="9" fillId="25" borderId="29" xfId="0" applyFont="1" applyFill="1" applyBorder="1" applyProtection="1"/>
    <xf numFmtId="167" fontId="9" fillId="25" borderId="19" xfId="0" applyNumberFormat="1" applyFont="1" applyFill="1" applyBorder="1" applyAlignment="1" applyProtection="1">
      <alignment horizontal="center"/>
    </xf>
    <xf numFmtId="2" fontId="9" fillId="25" borderId="20" xfId="0" applyNumberFormat="1" applyFont="1" applyFill="1" applyBorder="1" applyAlignment="1" applyProtection="1">
      <alignment horizontal="center"/>
    </xf>
    <xf numFmtId="2" fontId="9" fillId="25" borderId="22" xfId="0" applyNumberFormat="1" applyFont="1" applyFill="1" applyBorder="1" applyAlignment="1" applyProtection="1">
      <alignment horizontal="center"/>
    </xf>
    <xf numFmtId="0" fontId="9" fillId="25" borderId="15" xfId="0" applyFont="1" applyFill="1" applyBorder="1" applyAlignment="1" applyProtection="1">
      <alignment horizontal="center"/>
    </xf>
    <xf numFmtId="0" fontId="13" fillId="25" borderId="12" xfId="0" applyFont="1" applyFill="1" applyBorder="1" applyAlignment="1" applyProtection="1">
      <alignment horizontal="center"/>
    </xf>
    <xf numFmtId="171" fontId="0" fillId="25" borderId="27" xfId="0" applyNumberFormat="1" applyFill="1" applyBorder="1" applyAlignment="1">
      <alignment horizontal="center"/>
    </xf>
    <xf numFmtId="171" fontId="0" fillId="25" borderId="26" xfId="0" applyNumberFormat="1" applyFill="1" applyBorder="1" applyAlignment="1">
      <alignment horizontal="center"/>
    </xf>
    <xf numFmtId="171" fontId="0" fillId="25" borderId="30" xfId="0" applyNumberFormat="1" applyFill="1" applyBorder="1" applyAlignment="1">
      <alignment horizontal="center"/>
    </xf>
    <xf numFmtId="0" fontId="9" fillId="25" borderId="18" xfId="0" applyFont="1" applyFill="1" applyBorder="1" applyAlignment="1" applyProtection="1">
      <alignment horizontal="center"/>
    </xf>
    <xf numFmtId="171" fontId="9" fillId="25" borderId="29" xfId="32" applyNumberFormat="1" applyFont="1" applyFill="1" applyBorder="1" applyAlignment="1" applyProtection="1">
      <alignment horizontal="center"/>
    </xf>
    <xf numFmtId="171" fontId="9" fillId="25" borderId="18" xfId="32" applyNumberFormat="1" applyFont="1" applyFill="1" applyBorder="1" applyAlignment="1" applyProtection="1">
      <alignment horizontal="center"/>
    </xf>
    <xf numFmtId="171" fontId="9" fillId="25" borderId="19" xfId="32" applyNumberFormat="1" applyFont="1" applyFill="1" applyBorder="1" applyAlignment="1" applyProtection="1">
      <alignment horizontal="center"/>
    </xf>
    <xf numFmtId="171" fontId="9" fillId="25" borderId="14" xfId="0" applyNumberFormat="1" applyFont="1" applyFill="1" applyBorder="1" applyAlignment="1" applyProtection="1">
      <alignment horizontal="center"/>
    </xf>
    <xf numFmtId="0" fontId="39" fillId="25" borderId="0" xfId="0" applyFont="1" applyFill="1" applyBorder="1" applyAlignment="1" applyProtection="1">
      <alignment horizontal="center" vertical="center" wrapText="1"/>
    </xf>
    <xf numFmtId="164" fontId="82" fillId="36" borderId="0" xfId="0" applyNumberFormat="1" applyFont="1" applyFill="1" applyBorder="1" applyAlignment="1" applyProtection="1">
      <alignment horizontal="center" vertical="center"/>
      <protection locked="0"/>
    </xf>
    <xf numFmtId="164" fontId="82" fillId="36" borderId="13" xfId="0" applyNumberFormat="1" applyFont="1" applyFill="1" applyBorder="1" applyAlignment="1" applyProtection="1">
      <alignment horizontal="center" vertical="center"/>
      <protection locked="0"/>
    </xf>
    <xf numFmtId="166" fontId="5" fillId="25" borderId="40" xfId="0" applyNumberFormat="1" applyFont="1" applyFill="1" applyBorder="1" applyAlignment="1" applyProtection="1">
      <alignment horizontal="center" vertical="center"/>
    </xf>
    <xf numFmtId="0" fontId="5" fillId="25" borderId="63" xfId="0" applyFont="1" applyFill="1" applyBorder="1" applyAlignment="1" applyProtection="1">
      <alignment horizontal="center" vertical="center"/>
    </xf>
    <xf numFmtId="0" fontId="9" fillId="25" borderId="58" xfId="0" applyFont="1" applyFill="1" applyBorder="1" applyAlignment="1" applyProtection="1">
      <alignment horizontal="center"/>
    </xf>
    <xf numFmtId="0" fontId="80" fillId="36" borderId="37" xfId="0" applyFont="1" applyFill="1" applyBorder="1" applyAlignment="1" applyProtection="1">
      <alignment horizontal="center" wrapText="1"/>
    </xf>
    <xf numFmtId="0" fontId="16" fillId="25" borderId="22" xfId="0" applyFont="1" applyFill="1" applyBorder="1" applyAlignment="1" applyProtection="1">
      <alignment horizontal="center" wrapText="1"/>
    </xf>
    <xf numFmtId="2" fontId="9" fillId="25" borderId="12" xfId="0" applyNumberFormat="1" applyFont="1" applyFill="1" applyBorder="1" applyAlignment="1" applyProtection="1">
      <alignment horizontal="center"/>
    </xf>
    <xf numFmtId="167" fontId="9" fillId="25" borderId="14" xfId="0" applyNumberFormat="1" applyFont="1" applyFill="1" applyBorder="1" applyAlignment="1" applyProtection="1">
      <alignment horizontal="center"/>
    </xf>
    <xf numFmtId="0" fontId="9" fillId="25" borderId="27" xfId="0" applyFont="1" applyFill="1" applyBorder="1" applyProtection="1"/>
    <xf numFmtId="0" fontId="9" fillId="25" borderId="26" xfId="0" applyFont="1" applyFill="1" applyBorder="1" applyProtection="1"/>
    <xf numFmtId="0" fontId="9" fillId="25" borderId="30" xfId="0" applyFont="1" applyFill="1" applyBorder="1" applyProtection="1"/>
    <xf numFmtId="171" fontId="9" fillId="25" borderId="79" xfId="32" applyNumberFormat="1" applyFont="1" applyFill="1" applyBorder="1" applyAlignment="1" applyProtection="1">
      <alignment horizontal="center"/>
    </xf>
    <xf numFmtId="0" fontId="9" fillId="37" borderId="20" xfId="0" applyFont="1" applyFill="1" applyBorder="1" applyProtection="1"/>
    <xf numFmtId="0" fontId="9" fillId="37" borderId="17" xfId="0" applyFont="1" applyFill="1" applyBorder="1" applyProtection="1"/>
    <xf numFmtId="167" fontId="9" fillId="37" borderId="19" xfId="0" applyNumberFormat="1" applyFont="1" applyFill="1" applyBorder="1" applyAlignment="1" applyProtection="1">
      <alignment horizontal="center"/>
    </xf>
    <xf numFmtId="167" fontId="9" fillId="37" borderId="22" xfId="0" applyNumberFormat="1" applyFont="1" applyFill="1" applyBorder="1" applyAlignment="1" applyProtection="1">
      <alignment horizontal="center"/>
    </xf>
    <xf numFmtId="0" fontId="9" fillId="37" borderId="12" xfId="0" applyFont="1" applyFill="1" applyBorder="1" applyProtection="1"/>
    <xf numFmtId="167" fontId="9" fillId="37" borderId="12" xfId="0" applyNumberFormat="1" applyFont="1" applyFill="1" applyBorder="1" applyAlignment="1" applyProtection="1">
      <alignment horizontal="center"/>
    </xf>
    <xf numFmtId="170" fontId="9" fillId="37" borderId="20" xfId="0" applyNumberFormat="1" applyFont="1" applyFill="1" applyBorder="1" applyProtection="1"/>
    <xf numFmtId="0" fontId="9" fillId="37" borderId="14" xfId="0" applyFont="1" applyFill="1" applyBorder="1" applyProtection="1"/>
    <xf numFmtId="0" fontId="9" fillId="37" borderId="22" xfId="0" applyFont="1" applyFill="1" applyBorder="1" applyProtection="1"/>
    <xf numFmtId="0" fontId="82" fillId="36" borderId="58" xfId="0" applyFont="1" applyFill="1" applyBorder="1" applyAlignment="1" applyProtection="1">
      <alignment horizontal="center" vertical="center"/>
      <protection locked="0"/>
    </xf>
    <xf numFmtId="167" fontId="9" fillId="25" borderId="17" xfId="0" applyNumberFormat="1" applyFont="1" applyFill="1" applyBorder="1" applyAlignment="1" applyProtection="1">
      <alignment horizontal="center"/>
    </xf>
    <xf numFmtId="167" fontId="9" fillId="25" borderId="18" xfId="0" applyNumberFormat="1" applyFont="1" applyFill="1" applyBorder="1" applyAlignment="1" applyProtection="1">
      <alignment horizontal="center"/>
    </xf>
    <xf numFmtId="0" fontId="2" fillId="25" borderId="18" xfId="0" applyFont="1" applyFill="1" applyBorder="1" applyAlignment="1">
      <alignment horizontal="center"/>
    </xf>
    <xf numFmtId="0" fontId="2" fillId="25" borderId="30" xfId="0" applyFont="1" applyFill="1" applyBorder="1" applyAlignment="1">
      <alignment horizontal="left"/>
    </xf>
    <xf numFmtId="0" fontId="80" fillId="37" borderId="20" xfId="0" applyFont="1" applyFill="1" applyBorder="1" applyProtection="1"/>
    <xf numFmtId="0" fontId="80" fillId="37" borderId="14" xfId="0" applyFont="1" applyFill="1" applyBorder="1" applyProtection="1"/>
    <xf numFmtId="0" fontId="80" fillId="25" borderId="14" xfId="0" applyFont="1" applyFill="1" applyBorder="1" applyProtection="1"/>
    <xf numFmtId="0" fontId="80" fillId="25" borderId="22" xfId="0" applyFont="1" applyFill="1" applyBorder="1" applyProtection="1"/>
    <xf numFmtId="167" fontId="80" fillId="25" borderId="14" xfId="0" applyNumberFormat="1" applyFont="1" applyFill="1" applyBorder="1" applyAlignment="1" applyProtection="1">
      <alignment horizontal="center"/>
    </xf>
    <xf numFmtId="167" fontId="80" fillId="25" borderId="22" xfId="0" applyNumberFormat="1" applyFont="1" applyFill="1" applyBorder="1" applyAlignment="1" applyProtection="1">
      <alignment horizontal="center"/>
    </xf>
    <xf numFmtId="167" fontId="80" fillId="25" borderId="20" xfId="0" applyNumberFormat="1" applyFont="1" applyFill="1" applyBorder="1" applyAlignment="1" applyProtection="1">
      <alignment horizontal="center"/>
    </xf>
    <xf numFmtId="167" fontId="80" fillId="37" borderId="22" xfId="0" applyNumberFormat="1" applyFont="1" applyFill="1" applyBorder="1" applyAlignment="1" applyProtection="1">
      <alignment horizontal="center"/>
    </xf>
    <xf numFmtId="0" fontId="80" fillId="37" borderId="79" xfId="0" applyFont="1" applyFill="1" applyBorder="1" applyProtection="1"/>
    <xf numFmtId="0" fontId="80" fillId="25" borderId="79" xfId="0" applyFont="1" applyFill="1" applyBorder="1" applyProtection="1"/>
    <xf numFmtId="0" fontId="2" fillId="25" borderId="27" xfId="0" applyFont="1" applyFill="1" applyBorder="1"/>
    <xf numFmtId="175" fontId="9" fillId="25" borderId="30" xfId="44" applyNumberFormat="1" applyFont="1" applyFill="1" applyBorder="1" applyAlignment="1">
      <alignment horizontal="center"/>
    </xf>
    <xf numFmtId="0" fontId="0" fillId="36" borderId="14" xfId="0" applyFill="1" applyBorder="1"/>
    <xf numFmtId="0" fontId="0" fillId="36" borderId="20" xfId="0" applyFill="1" applyBorder="1"/>
    <xf numFmtId="0" fontId="0" fillId="36" borderId="22" xfId="0" applyFill="1" applyBorder="1"/>
    <xf numFmtId="0" fontId="2" fillId="37" borderId="20" xfId="0" applyFont="1" applyFill="1" applyBorder="1"/>
    <xf numFmtId="167" fontId="9" fillId="37" borderId="22" xfId="0" applyNumberFormat="1" applyFont="1"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90" fillId="41" borderId="17" xfId="0" applyFont="1" applyFill="1" applyBorder="1" applyAlignment="1">
      <alignment horizontal="center"/>
    </xf>
    <xf numFmtId="0" fontId="90" fillId="41" borderId="18" xfId="0" applyFon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15"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applyAlignment="1">
      <alignment horizontal="center"/>
    </xf>
    <xf numFmtId="0" fontId="9" fillId="25" borderId="0" xfId="0" applyFont="1" applyFill="1" applyBorder="1" applyAlignment="1" applyProtection="1">
      <alignment horizontal="center"/>
    </xf>
    <xf numFmtId="0" fontId="0" fillId="41" borderId="30" xfId="0" applyFill="1" applyBorder="1"/>
    <xf numFmtId="0" fontId="90" fillId="41" borderId="15" xfId="0" applyFont="1" applyFill="1" applyBorder="1" applyAlignment="1">
      <alignment horizontal="left"/>
    </xf>
    <xf numFmtId="0" fontId="90" fillId="41" borderId="28" xfId="0" applyFont="1" applyFill="1" applyBorder="1" applyAlignment="1">
      <alignment horizontal="left"/>
    </xf>
    <xf numFmtId="0" fontId="0" fillId="41" borderId="17" xfId="0" applyFill="1" applyBorder="1"/>
    <xf numFmtId="0" fontId="0" fillId="41" borderId="19" xfId="0" applyFill="1" applyBorder="1"/>
    <xf numFmtId="0" fontId="0" fillId="41" borderId="18" xfId="0" applyFill="1" applyBorder="1"/>
    <xf numFmtId="0" fontId="90" fillId="41" borderId="27" xfId="0" applyFont="1" applyFill="1" applyBorder="1"/>
    <xf numFmtId="0" fontId="0" fillId="39" borderId="14" xfId="0" applyFill="1" applyBorder="1"/>
    <xf numFmtId="167" fontId="9" fillId="25" borderId="0" xfId="0" applyNumberFormat="1" applyFont="1" applyFill="1" applyBorder="1" applyAlignment="1" applyProtection="1">
      <alignment horizontal="center"/>
    </xf>
    <xf numFmtId="167" fontId="9" fillId="25" borderId="79" xfId="0" applyNumberFormat="1" applyFont="1" applyFill="1" applyBorder="1" applyAlignment="1" applyProtection="1">
      <alignment horizontal="center"/>
    </xf>
    <xf numFmtId="0" fontId="5" fillId="25" borderId="57" xfId="0" applyFont="1" applyFill="1" applyBorder="1" applyAlignment="1" applyProtection="1">
      <alignment horizontal="right" vertical="center"/>
    </xf>
    <xf numFmtId="167" fontId="9" fillId="25" borderId="28" xfId="0" applyNumberFormat="1" applyFont="1" applyFill="1" applyBorder="1" applyAlignment="1" applyProtection="1">
      <alignment horizontal="center"/>
    </xf>
    <xf numFmtId="167" fontId="9" fillId="25" borderId="27" xfId="0" applyNumberFormat="1" applyFont="1" applyFill="1" applyBorder="1" applyAlignment="1" applyProtection="1">
      <alignment horizontal="left"/>
    </xf>
    <xf numFmtId="0" fontId="9" fillId="25" borderId="26" xfId="0" applyFont="1" applyFill="1" applyBorder="1" applyAlignment="1" applyProtection="1">
      <alignment horizontal="left"/>
    </xf>
    <xf numFmtId="0" fontId="90" fillId="41" borderId="17" xfId="0" applyFont="1"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9" fillId="25" borderId="29" xfId="0" applyFont="1" applyFill="1" applyBorder="1" applyAlignment="1" applyProtection="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2" fillId="0" borderId="0" xfId="0" applyFont="1" applyFill="1" applyBorder="1" applyAlignment="1">
      <alignment horizontal="center"/>
    </xf>
    <xf numFmtId="0" fontId="15" fillId="25" borderId="15" xfId="0" applyFont="1" applyFill="1" applyBorder="1" applyAlignment="1" applyProtection="1">
      <alignment horizontal="left" vertical="center"/>
    </xf>
    <xf numFmtId="0" fontId="9" fillId="25" borderId="79" xfId="0" applyFont="1" applyFill="1" applyBorder="1" applyAlignment="1" applyProtection="1">
      <alignment vertical="center"/>
    </xf>
    <xf numFmtId="0" fontId="9" fillId="25" borderId="28" xfId="0" applyFont="1" applyFill="1" applyBorder="1" applyAlignment="1" applyProtection="1">
      <alignment horizontal="left" vertical="center"/>
    </xf>
    <xf numFmtId="0" fontId="9" fillId="25" borderId="14" xfId="0" applyFont="1" applyFill="1" applyBorder="1" applyAlignment="1" applyProtection="1">
      <alignment horizontal="left" vertical="center"/>
    </xf>
    <xf numFmtId="0" fontId="9" fillId="25" borderId="14" xfId="0" applyFont="1" applyFill="1" applyBorder="1" applyAlignment="1" applyProtection="1">
      <alignment vertical="center"/>
    </xf>
    <xf numFmtId="0" fontId="5" fillId="25" borderId="47" xfId="0" applyFont="1" applyFill="1" applyBorder="1" applyAlignment="1" applyProtection="1">
      <alignment vertical="center"/>
    </xf>
    <xf numFmtId="0" fontId="9" fillId="25" borderId="70"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9" fillId="25" borderId="55" xfId="0" applyFont="1" applyFill="1" applyBorder="1" applyAlignment="1" applyProtection="1">
      <alignment horizontal="left" vertical="center"/>
    </xf>
    <xf numFmtId="0" fontId="9" fillId="25" borderId="48" xfId="0" applyFont="1" applyFill="1" applyBorder="1" applyAlignment="1" applyProtection="1">
      <alignment horizontal="left" vertical="center"/>
    </xf>
    <xf numFmtId="0" fontId="9" fillId="25" borderId="71"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5" fillId="25" borderId="28" xfId="0" applyFont="1" applyFill="1" applyBorder="1" applyAlignment="1" applyProtection="1">
      <alignment horizontal="left" vertical="center"/>
    </xf>
    <xf numFmtId="0" fontId="0" fillId="25" borderId="15" xfId="0" applyFill="1" applyBorder="1" applyProtection="1"/>
    <xf numFmtId="0" fontId="0" fillId="25" borderId="79" xfId="0" applyFill="1" applyBorder="1" applyProtection="1"/>
    <xf numFmtId="0" fontId="0" fillId="25" borderId="11" xfId="0" applyFill="1" applyBorder="1" applyProtection="1"/>
    <xf numFmtId="0" fontId="0" fillId="25" borderId="28" xfId="0" applyFill="1" applyBorder="1" applyProtection="1"/>
    <xf numFmtId="0" fontId="0" fillId="25" borderId="0" xfId="0" applyFill="1" applyBorder="1" applyProtection="1"/>
    <xf numFmtId="0" fontId="0" fillId="25" borderId="29" xfId="0" applyFill="1" applyBorder="1" applyProtection="1"/>
    <xf numFmtId="0" fontId="78" fillId="25" borderId="28" xfId="0" applyFont="1" applyFill="1" applyBorder="1" applyAlignment="1" applyProtection="1">
      <alignment horizontal="center"/>
    </xf>
    <xf numFmtId="0" fontId="78" fillId="25" borderId="29" xfId="0" applyFont="1" applyFill="1" applyBorder="1" applyAlignment="1" applyProtection="1">
      <alignment horizontal="center"/>
    </xf>
    <xf numFmtId="0" fontId="0" fillId="25" borderId="17" xfId="0" applyFill="1" applyBorder="1" applyProtection="1"/>
    <xf numFmtId="0" fontId="0" fillId="25" borderId="19" xfId="0" applyFill="1" applyBorder="1" applyProtection="1"/>
    <xf numFmtId="0" fontId="79" fillId="25" borderId="17" xfId="0" applyFont="1" applyFill="1" applyBorder="1" applyAlignment="1" applyProtection="1">
      <alignment horizontal="center"/>
    </xf>
    <xf numFmtId="0" fontId="79" fillId="25" borderId="18" xfId="0" applyFont="1" applyFill="1" applyBorder="1" applyAlignment="1" applyProtection="1">
      <alignment horizontal="center"/>
    </xf>
    <xf numFmtId="0" fontId="79" fillId="25" borderId="19" xfId="0" applyFont="1" applyFill="1" applyBorder="1" applyAlignment="1" applyProtection="1">
      <alignment horizontal="center"/>
    </xf>
    <xf numFmtId="0" fontId="5" fillId="36" borderId="61" xfId="0" applyFont="1" applyFill="1" applyBorder="1" applyAlignment="1" applyProtection="1">
      <alignment horizontal="center"/>
    </xf>
    <xf numFmtId="0" fontId="2" fillId="25" borderId="0" xfId="0" applyFont="1" applyFill="1" applyProtection="1"/>
    <xf numFmtId="0" fontId="0" fillId="36" borderId="0" xfId="0" applyFill="1" applyProtection="1"/>
    <xf numFmtId="0" fontId="9" fillId="36" borderId="61" xfId="0" applyFont="1" applyFill="1" applyBorder="1" applyAlignment="1" applyProtection="1">
      <alignment horizontal="center" wrapText="1"/>
    </xf>
    <xf numFmtId="0" fontId="9" fillId="36" borderId="39" xfId="0" applyFont="1" applyFill="1" applyBorder="1" applyAlignment="1" applyProtection="1">
      <alignment horizontal="center" wrapText="1"/>
    </xf>
    <xf numFmtId="167" fontId="5" fillId="29" borderId="16" xfId="0" applyNumberFormat="1" applyFont="1" applyFill="1" applyBorder="1" applyAlignment="1" applyProtection="1">
      <alignment horizontal="center" vertical="center"/>
      <protection locked="0"/>
    </xf>
    <xf numFmtId="167" fontId="50" fillId="25" borderId="47" xfId="0" applyNumberFormat="1" applyFont="1" applyFill="1" applyBorder="1" applyAlignment="1" applyProtection="1">
      <alignment horizontal="center" vertical="center"/>
    </xf>
    <xf numFmtId="167" fontId="5" fillId="25" borderId="52" xfId="0" applyNumberFormat="1" applyFont="1" applyFill="1" applyBorder="1" applyAlignment="1" applyProtection="1">
      <alignment horizontal="center" vertical="center"/>
    </xf>
    <xf numFmtId="167" fontId="50" fillId="25" borderId="51" xfId="0" applyNumberFormat="1" applyFont="1" applyFill="1" applyBorder="1" applyAlignment="1" applyProtection="1">
      <alignment horizontal="center" vertical="center"/>
    </xf>
    <xf numFmtId="167" fontId="102" fillId="25" borderId="52" xfId="0" applyNumberFormat="1" applyFont="1" applyFill="1" applyBorder="1" applyAlignment="1" applyProtection="1">
      <alignment horizontal="center" vertical="center" wrapText="1"/>
    </xf>
    <xf numFmtId="0" fontId="90" fillId="41" borderId="20" xfId="0" applyFont="1" applyFill="1" applyBorder="1"/>
    <xf numFmtId="0" fontId="90" fillId="41" borderId="14" xfId="0" applyFont="1" applyFill="1" applyBorder="1"/>
    <xf numFmtId="0" fontId="90" fillId="41" borderId="22" xfId="0" applyFont="1" applyFill="1" applyBorder="1"/>
    <xf numFmtId="9" fontId="0" fillId="25" borderId="29" xfId="0" applyNumberFormat="1" applyFill="1" applyBorder="1" applyAlignment="1">
      <alignment horizontal="center"/>
    </xf>
    <xf numFmtId="9" fontId="0" fillId="25" borderId="18" xfId="0" applyNumberFormat="1" applyFill="1" applyBorder="1" applyAlignment="1">
      <alignment horizontal="center"/>
    </xf>
    <xf numFmtId="0" fontId="2" fillId="25" borderId="19" xfId="0" applyFont="1" applyFill="1" applyBorder="1" applyAlignment="1">
      <alignment horizontal="center"/>
    </xf>
    <xf numFmtId="9" fontId="0" fillId="25" borderId="26" xfId="0" applyNumberFormat="1" applyFill="1" applyBorder="1" applyAlignment="1">
      <alignment horizontal="center"/>
    </xf>
    <xf numFmtId="9" fontId="0" fillId="25" borderId="30" xfId="0" applyNumberFormat="1" applyFill="1" applyBorder="1" applyAlignment="1">
      <alignment horizontal="center"/>
    </xf>
    <xf numFmtId="0" fontId="0" fillId="35" borderId="20" xfId="0" applyFill="1" applyBorder="1" applyAlignment="1">
      <alignment horizontal="left"/>
    </xf>
    <xf numFmtId="9" fontId="0" fillId="35" borderId="30" xfId="0" applyNumberFormat="1" applyFill="1" applyBorder="1" applyAlignment="1">
      <alignment horizontal="center"/>
    </xf>
    <xf numFmtId="0" fontId="16" fillId="25" borderId="12" xfId="0" applyFont="1" applyFill="1" applyBorder="1" applyAlignment="1" applyProtection="1">
      <alignment horizontal="center" wrapText="1"/>
    </xf>
    <xf numFmtId="0" fontId="93" fillId="41" borderId="15" xfId="0" applyFont="1" applyFill="1" applyBorder="1" applyAlignment="1">
      <alignment horizontal="center"/>
    </xf>
    <xf numFmtId="0" fontId="106" fillId="41" borderId="11" xfId="0" applyFont="1" applyFill="1" applyBorder="1" applyAlignment="1">
      <alignment horizontal="center"/>
    </xf>
    <xf numFmtId="0" fontId="90" fillId="41" borderId="17" xfId="0" applyFont="1" applyFill="1" applyBorder="1"/>
    <xf numFmtId="0" fontId="90" fillId="41" borderId="19" xfId="0" applyFont="1" applyFill="1" applyBorder="1"/>
    <xf numFmtId="167" fontId="9" fillId="25" borderId="29" xfId="0" applyNumberFormat="1" applyFont="1" applyFill="1" applyBorder="1" applyAlignment="1" applyProtection="1">
      <alignment horizontal="center"/>
    </xf>
    <xf numFmtId="9" fontId="0" fillId="25" borderId="17" xfId="0" applyNumberFormat="1" applyFill="1" applyBorder="1" applyAlignment="1">
      <alignment horizontal="center"/>
    </xf>
    <xf numFmtId="9" fontId="0" fillId="25" borderId="19" xfId="0" applyNumberFormat="1" applyFill="1" applyBorder="1" applyAlignment="1">
      <alignment horizontal="center"/>
    </xf>
    <xf numFmtId="0" fontId="107" fillId="25" borderId="0" xfId="0" applyFont="1" applyFill="1" applyProtection="1"/>
    <xf numFmtId="2" fontId="9" fillId="25" borderId="52" xfId="0" applyNumberFormat="1" applyFont="1" applyFill="1" applyBorder="1" applyAlignment="1" applyProtection="1">
      <alignment horizontal="center" vertical="center"/>
    </xf>
    <xf numFmtId="167" fontId="10" fillId="25" borderId="18" xfId="0" applyNumberFormat="1" applyFont="1" applyFill="1" applyBorder="1" applyAlignment="1" applyProtection="1">
      <alignment vertical="center"/>
    </xf>
    <xf numFmtId="0" fontId="16" fillId="25" borderId="27" xfId="0" applyFont="1" applyFill="1" applyBorder="1" applyAlignment="1" applyProtection="1">
      <alignment horizontal="center" wrapText="1"/>
    </xf>
    <xf numFmtId="167" fontId="9" fillId="25" borderId="30" xfId="0" applyNumberFormat="1" applyFont="1" applyFill="1" applyBorder="1" applyAlignment="1" applyProtection="1">
      <alignment horizontal="center"/>
    </xf>
    <xf numFmtId="0" fontId="9" fillId="37" borderId="30" xfId="0" applyFont="1" applyFill="1" applyBorder="1" applyProtection="1"/>
    <xf numFmtId="0" fontId="10" fillId="25" borderId="28" xfId="0" applyFont="1" applyFill="1" applyBorder="1" applyProtection="1"/>
    <xf numFmtId="0" fontId="10" fillId="25" borderId="0" xfId="0" applyFont="1" applyFill="1" applyBorder="1" applyProtection="1"/>
    <xf numFmtId="0" fontId="42" fillId="25" borderId="0" xfId="0" applyFont="1" applyFill="1" applyBorder="1" applyProtection="1"/>
    <xf numFmtId="0" fontId="27" fillId="25" borderId="0" xfId="0" applyFont="1" applyFill="1" applyBorder="1" applyProtection="1"/>
    <xf numFmtId="0" fontId="23" fillId="25" borderId="0" xfId="0" applyFont="1" applyFill="1" applyBorder="1" applyProtection="1"/>
    <xf numFmtId="0" fontId="27" fillId="25" borderId="18" xfId="0" applyFont="1" applyFill="1" applyBorder="1" applyProtection="1"/>
    <xf numFmtId="0" fontId="25" fillId="25" borderId="18" xfId="0" applyFont="1" applyFill="1" applyBorder="1" applyProtection="1"/>
    <xf numFmtId="0" fontId="96" fillId="25" borderId="18" xfId="0" applyFont="1" applyFill="1" applyBorder="1" applyAlignment="1" applyProtection="1">
      <alignment vertical="center"/>
    </xf>
    <xf numFmtId="167" fontId="10" fillId="25" borderId="19" xfId="0" applyNumberFormat="1" applyFont="1" applyFill="1" applyBorder="1" applyAlignment="1" applyProtection="1">
      <alignment horizontal="center" vertical="center"/>
    </xf>
    <xf numFmtId="0" fontId="10" fillId="25" borderId="43" xfId="0" applyFont="1" applyFill="1" applyBorder="1" applyAlignment="1" applyProtection="1">
      <alignment horizontal="center"/>
    </xf>
    <xf numFmtId="167" fontId="9" fillId="25" borderId="35" xfId="0" applyNumberFormat="1" applyFont="1" applyFill="1" applyBorder="1" applyAlignment="1" applyProtection="1">
      <alignment horizontal="center"/>
    </xf>
    <xf numFmtId="0" fontId="80" fillId="25" borderId="18" xfId="0" applyFont="1" applyFill="1" applyBorder="1" applyAlignment="1" applyProtection="1">
      <alignment vertical="center"/>
    </xf>
    <xf numFmtId="0" fontId="80" fillId="25" borderId="18" xfId="0" applyFont="1" applyFill="1" applyBorder="1" applyAlignment="1" applyProtection="1">
      <alignment horizontal="center" vertical="center"/>
    </xf>
    <xf numFmtId="173" fontId="9" fillId="25" borderId="44" xfId="44" applyNumberFormat="1" applyFont="1" applyFill="1" applyBorder="1" applyAlignment="1" applyProtection="1">
      <alignment horizontal="center" vertical="center"/>
    </xf>
    <xf numFmtId="168" fontId="9" fillId="25" borderId="32" xfId="0" applyNumberFormat="1" applyFont="1" applyFill="1" applyBorder="1" applyAlignment="1" applyProtection="1">
      <alignment horizontal="center" vertical="center" wrapText="1"/>
    </xf>
    <xf numFmtId="0" fontId="9" fillId="25" borderId="18" xfId="0" applyFont="1" applyFill="1" applyBorder="1" applyAlignment="1" applyProtection="1">
      <alignment horizontal="left" vertical="center"/>
    </xf>
    <xf numFmtId="0" fontId="15" fillId="25" borderId="15" xfId="0" applyFont="1" applyFill="1" applyBorder="1" applyAlignment="1" applyProtection="1">
      <alignment vertical="center"/>
    </xf>
    <xf numFmtId="0" fontId="9" fillId="25" borderId="17" xfId="0" applyFont="1" applyFill="1" applyBorder="1" applyAlignment="1" applyProtection="1">
      <alignment vertical="center"/>
    </xf>
    <xf numFmtId="0" fontId="9" fillId="25" borderId="68" xfId="0" applyFont="1" applyFill="1" applyBorder="1" applyAlignment="1" applyProtection="1">
      <alignment vertical="center"/>
    </xf>
    <xf numFmtId="0" fontId="9" fillId="25" borderId="67" xfId="0" applyFont="1" applyFill="1" applyBorder="1" applyAlignment="1" applyProtection="1">
      <alignment horizontal="center"/>
    </xf>
    <xf numFmtId="0" fontId="9" fillId="25" borderId="19" xfId="0" applyFont="1" applyFill="1" applyBorder="1" applyAlignment="1" applyProtection="1">
      <alignment horizontal="center"/>
    </xf>
    <xf numFmtId="22" fontId="16" fillId="25" borderId="0" xfId="0" applyNumberFormat="1" applyFont="1" applyFill="1" applyAlignment="1" applyProtection="1">
      <alignment horizontal="left"/>
    </xf>
    <xf numFmtId="0" fontId="9" fillId="25" borderId="47" xfId="0" applyFont="1" applyFill="1" applyBorder="1" applyAlignment="1" applyProtection="1">
      <alignment horizontal="left" vertical="center"/>
    </xf>
    <xf numFmtId="0" fontId="0" fillId="25" borderId="28" xfId="0" applyFill="1" applyBorder="1" applyAlignment="1">
      <alignment horizontal="center"/>
    </xf>
    <xf numFmtId="0" fontId="0" fillId="25" borderId="17" xfId="0" applyFill="1" applyBorder="1" applyAlignment="1">
      <alignment horizontal="center"/>
    </xf>
    <xf numFmtId="0" fontId="9" fillId="25" borderId="19" xfId="0" applyFont="1" applyFill="1" applyBorder="1" applyAlignment="1" applyProtection="1">
      <alignment horizontal="center"/>
    </xf>
    <xf numFmtId="0" fontId="9" fillId="25" borderId="17" xfId="0" applyFont="1" applyFill="1" applyBorder="1" applyAlignment="1" applyProtection="1">
      <alignment horizontal="center"/>
    </xf>
    <xf numFmtId="0" fontId="2" fillId="36" borderId="0" xfId="0" applyFont="1" applyFill="1"/>
    <xf numFmtId="0" fontId="9" fillId="25" borderId="13" xfId="0" applyFont="1" applyFill="1" applyBorder="1" applyProtection="1">
      <protection locked="0"/>
    </xf>
    <xf numFmtId="0" fontId="5" fillId="25" borderId="28" xfId="0" applyFont="1" applyFill="1" applyBorder="1" applyAlignment="1"/>
    <xf numFmtId="0" fontId="5" fillId="25" borderId="28" xfId="0" applyFont="1" applyFill="1" applyBorder="1" applyAlignment="1" applyProtection="1"/>
    <xf numFmtId="0" fontId="84" fillId="25" borderId="17" xfId="0" applyFont="1" applyFill="1" applyBorder="1" applyAlignment="1" applyProtection="1">
      <alignment vertical="center"/>
    </xf>
    <xf numFmtId="167" fontId="0" fillId="25" borderId="0" xfId="0" applyNumberFormat="1" applyFill="1"/>
    <xf numFmtId="173" fontId="13" fillId="25" borderId="0" xfId="0" applyNumberFormat="1" applyFont="1" applyFill="1" applyProtection="1"/>
    <xf numFmtId="0" fontId="5" fillId="25" borderId="33" xfId="0" applyFont="1" applyFill="1" applyBorder="1" applyAlignment="1" applyProtection="1">
      <alignment horizontal="center" wrapText="1"/>
    </xf>
    <xf numFmtId="0" fontId="5" fillId="43" borderId="33" xfId="0" applyFont="1" applyFill="1" applyBorder="1" applyAlignment="1" applyProtection="1">
      <alignment horizontal="center" vertical="center" wrapText="1"/>
      <protection locked="0"/>
    </xf>
    <xf numFmtId="164" fontId="80" fillId="35" borderId="13" xfId="0" applyNumberFormat="1" applyFont="1" applyFill="1" applyBorder="1" applyAlignment="1" applyProtection="1">
      <alignment horizontal="center" vertical="center"/>
      <protection locked="0"/>
    </xf>
    <xf numFmtId="167" fontId="82" fillId="25" borderId="0" xfId="0" applyNumberFormat="1" applyFont="1" applyFill="1" applyProtection="1"/>
    <xf numFmtId="0" fontId="90" fillId="25" borderId="0" xfId="0" applyFont="1" applyFill="1" applyProtection="1"/>
    <xf numFmtId="0" fontId="89" fillId="25" borderId="0" xfId="0" applyFont="1" applyFill="1" applyProtection="1"/>
    <xf numFmtId="0" fontId="89" fillId="36" borderId="0" xfId="0" applyFont="1" applyFill="1" applyProtection="1"/>
    <xf numFmtId="0" fontId="82" fillId="25" borderId="0" xfId="0" applyFont="1" applyFill="1" applyBorder="1" applyProtection="1"/>
    <xf numFmtId="167" fontId="82" fillId="25" borderId="0" xfId="0" applyNumberFormat="1" applyFont="1" applyFill="1" applyBorder="1" applyProtection="1"/>
    <xf numFmtId="9" fontId="82" fillId="28" borderId="13" xfId="32" applyFont="1" applyFill="1" applyBorder="1" applyAlignment="1" applyProtection="1">
      <alignment horizontal="center" vertical="center"/>
      <protection locked="0"/>
    </xf>
    <xf numFmtId="0" fontId="0" fillId="36" borderId="0" xfId="0" applyFill="1" applyBorder="1" applyAlignment="1">
      <alignment horizontal="center"/>
    </xf>
    <xf numFmtId="0" fontId="0" fillId="36" borderId="18" xfId="0" applyFill="1" applyBorder="1"/>
    <xf numFmtId="0" fontId="2" fillId="36" borderId="27" xfId="0" applyFont="1" applyFill="1" applyBorder="1"/>
    <xf numFmtId="0" fontId="2" fillId="36" borderId="26" xfId="0" applyFont="1" applyFill="1" applyBorder="1"/>
    <xf numFmtId="0" fontId="0" fillId="36" borderId="27" xfId="0" applyFill="1" applyBorder="1" applyAlignment="1">
      <alignment horizontal="center"/>
    </xf>
    <xf numFmtId="167" fontId="0" fillId="36" borderId="26" xfId="0" applyNumberFormat="1" applyFill="1" applyBorder="1" applyAlignment="1">
      <alignment horizontal="center"/>
    </xf>
    <xf numFmtId="0" fontId="2" fillId="37" borderId="30" xfId="0" applyFont="1" applyFill="1" applyBorder="1"/>
    <xf numFmtId="0" fontId="0" fillId="37" borderId="30" xfId="0" applyFill="1" applyBorder="1"/>
    <xf numFmtId="9" fontId="5" fillId="25" borderId="14" xfId="32" applyFont="1" applyFill="1" applyBorder="1" applyAlignment="1" applyProtection="1">
      <alignment horizontal="left" vertical="center"/>
    </xf>
    <xf numFmtId="9" fontId="82" fillId="28" borderId="40" xfId="32" applyFont="1" applyFill="1" applyBorder="1" applyAlignment="1" applyProtection="1">
      <alignment horizontal="center" vertical="center"/>
      <protection locked="0"/>
    </xf>
    <xf numFmtId="9" fontId="82" fillId="46" borderId="13" xfId="32" applyFont="1" applyFill="1" applyBorder="1" applyAlignment="1" applyProtection="1">
      <alignment horizontal="center" vertical="center"/>
      <protection locked="0"/>
    </xf>
    <xf numFmtId="9" fontId="82" fillId="46" borderId="44" xfId="32" applyFont="1" applyFill="1" applyBorder="1" applyAlignment="1" applyProtection="1">
      <alignment horizontal="center" vertical="center"/>
      <protection locked="0"/>
    </xf>
    <xf numFmtId="0" fontId="0" fillId="29" borderId="27" xfId="0" applyFill="1" applyBorder="1" applyAlignment="1">
      <alignment horizontal="right"/>
    </xf>
    <xf numFmtId="0" fontId="0" fillId="29" borderId="26" xfId="0" applyFill="1" applyBorder="1" applyAlignment="1">
      <alignment horizontal="right"/>
    </xf>
    <xf numFmtId="0" fontId="0" fillId="29" borderId="30" xfId="0" applyFill="1" applyBorder="1" applyAlignment="1">
      <alignment horizontal="right"/>
    </xf>
    <xf numFmtId="0" fontId="29" fillId="27" borderId="29" xfId="0" applyFont="1" applyFill="1" applyBorder="1" applyAlignment="1">
      <alignment horizontal="left"/>
    </xf>
    <xf numFmtId="0" fontId="9" fillId="24" borderId="22" xfId="0" applyFont="1" applyFill="1" applyBorder="1" applyAlignment="1">
      <alignment horizontal="center"/>
    </xf>
    <xf numFmtId="0" fontId="7" fillId="27" borderId="0" xfId="0" applyFont="1" applyFill="1" applyBorder="1" applyAlignment="1">
      <alignment horizontal="left"/>
    </xf>
    <xf numFmtId="0" fontId="23" fillId="26" borderId="19" xfId="0" applyFont="1" applyFill="1" applyBorder="1" applyAlignment="1">
      <alignment horizontal="left"/>
    </xf>
    <xf numFmtId="0" fontId="5" fillId="24" borderId="20" xfId="0" applyFont="1" applyFill="1" applyBorder="1" applyAlignment="1">
      <alignment horizontal="left"/>
    </xf>
    <xf numFmtId="0" fontId="9" fillId="25" borderId="17" xfId="0" applyFont="1" applyFill="1" applyBorder="1" applyAlignment="1" applyProtection="1">
      <alignment vertical="center"/>
    </xf>
    <xf numFmtId="0" fontId="97" fillId="0" borderId="0" xfId="0" applyFont="1"/>
    <xf numFmtId="0" fontId="97" fillId="0" borderId="0" xfId="0" applyFont="1" applyBorder="1"/>
    <xf numFmtId="9" fontId="0" fillId="0" borderId="0" xfId="0" applyNumberFormat="1" applyAlignment="1">
      <alignment horizontal="left"/>
    </xf>
    <xf numFmtId="0" fontId="0" fillId="0" borderId="0" xfId="0" applyBorder="1" applyAlignment="1">
      <alignment horizontal="left"/>
    </xf>
    <xf numFmtId="0" fontId="2" fillId="25" borderId="0" xfId="0" applyFont="1" applyFill="1" applyAlignment="1">
      <alignment horizontal="left" vertical="top"/>
    </xf>
    <xf numFmtId="0" fontId="2" fillId="0" borderId="0" xfId="0" applyFont="1"/>
    <xf numFmtId="0" fontId="2" fillId="0" borderId="18" xfId="0" applyFont="1" applyBorder="1"/>
    <xf numFmtId="0" fontId="2" fillId="0" borderId="18" xfId="0" applyFont="1" applyFill="1" applyBorder="1"/>
    <xf numFmtId="0" fontId="2" fillId="0" borderId="0" xfId="0" applyFont="1" applyBorder="1"/>
    <xf numFmtId="0" fontId="2" fillId="0" borderId="18" xfId="0" applyFont="1" applyBorder="1" applyAlignment="1">
      <alignment horizontal="left"/>
    </xf>
    <xf numFmtId="0" fontId="84" fillId="25" borderId="48" xfId="0" applyFont="1" applyFill="1" applyBorder="1" applyAlignment="1" applyProtection="1">
      <alignment horizontal="center" vertical="center"/>
    </xf>
    <xf numFmtId="0" fontId="9" fillId="25" borderId="95" xfId="0" applyFont="1" applyFill="1" applyBorder="1" applyProtection="1"/>
    <xf numFmtId="173" fontId="88" fillId="36" borderId="21" xfId="0" applyNumberFormat="1" applyFont="1" applyFill="1" applyBorder="1" applyAlignment="1">
      <alignment horizontal="center" vertical="center" wrapText="1"/>
    </xf>
    <xf numFmtId="0" fontId="9" fillId="25" borderId="21" xfId="0" applyFont="1" applyFill="1" applyBorder="1" applyAlignment="1" applyProtection="1">
      <alignment horizontal="right" vertical="center"/>
    </xf>
    <xf numFmtId="167" fontId="9" fillId="25" borderId="22" xfId="0" applyNumberFormat="1" applyFont="1" applyFill="1" applyBorder="1" applyAlignment="1" applyProtection="1">
      <alignment horizontal="center"/>
    </xf>
    <xf numFmtId="0" fontId="80" fillId="36" borderId="44" xfId="0" applyFont="1" applyFill="1" applyBorder="1" applyAlignment="1">
      <alignment horizontal="center" wrapText="1"/>
    </xf>
    <xf numFmtId="3" fontId="5" fillId="36" borderId="57" xfId="0" applyNumberFormat="1" applyFont="1" applyFill="1" applyBorder="1" applyAlignment="1" applyProtection="1">
      <alignment horizontal="center" vertical="center"/>
      <protection locked="0"/>
    </xf>
    <xf numFmtId="0" fontId="0" fillId="25" borderId="29" xfId="0" applyFill="1" applyBorder="1" applyAlignment="1">
      <alignment horizontal="center"/>
    </xf>
    <xf numFmtId="0" fontId="31" fillId="36" borderId="13" xfId="0" applyFont="1" applyFill="1" applyBorder="1" applyAlignment="1">
      <alignment horizontal="center" wrapText="1"/>
    </xf>
    <xf numFmtId="0" fontId="75" fillId="25" borderId="13" xfId="0" applyFont="1" applyFill="1" applyBorder="1" applyAlignment="1">
      <alignment horizontal="left" wrapText="1"/>
    </xf>
    <xf numFmtId="0" fontId="5" fillId="25" borderId="0" xfId="0" applyFont="1" applyFill="1" applyAlignment="1" applyProtection="1">
      <alignment vertical="center"/>
    </xf>
    <xf numFmtId="0" fontId="2" fillId="35" borderId="13" xfId="0" applyFont="1" applyFill="1" applyBorder="1" applyAlignment="1">
      <alignment horizontal="center" wrapText="1"/>
    </xf>
    <xf numFmtId="0" fontId="75" fillId="35" borderId="13" xfId="0" applyFont="1" applyFill="1" applyBorder="1" applyAlignment="1">
      <alignment horizontal="center" wrapText="1"/>
    </xf>
    <xf numFmtId="0" fontId="5" fillId="25" borderId="0" xfId="0" quotePrefix="1" applyFont="1" applyFill="1" applyAlignment="1" applyProtection="1">
      <alignment horizontal="right" vertical="center"/>
    </xf>
    <xf numFmtId="0" fontId="0" fillId="47" borderId="17" xfId="0" applyFill="1" applyBorder="1"/>
    <xf numFmtId="0" fontId="0" fillId="47" borderId="15" xfId="0" applyFill="1" applyBorder="1"/>
    <xf numFmtId="0" fontId="90" fillId="47" borderId="95" xfId="0" applyFont="1" applyFill="1" applyBorder="1" applyAlignment="1">
      <alignment horizontal="center"/>
    </xf>
    <xf numFmtId="0" fontId="90" fillId="47" borderId="19" xfId="0" applyFont="1" applyFill="1" applyBorder="1" applyAlignment="1">
      <alignment horizontal="center"/>
    </xf>
    <xf numFmtId="0" fontId="9" fillId="25" borderId="19" xfId="0" applyFont="1" applyFill="1" applyBorder="1" applyAlignment="1" applyProtection="1">
      <alignment horizontal="center"/>
    </xf>
    <xf numFmtId="0" fontId="0" fillId="25" borderId="95" xfId="0" applyFill="1" applyBorder="1"/>
    <xf numFmtId="0" fontId="90" fillId="47" borderId="79" xfId="0" applyFont="1" applyFill="1" applyBorder="1" applyAlignment="1">
      <alignment horizontal="center"/>
    </xf>
    <xf numFmtId="0" fontId="90" fillId="47" borderId="18" xfId="0" applyFont="1" applyFill="1" applyBorder="1" applyAlignment="1">
      <alignment horizontal="center"/>
    </xf>
    <xf numFmtId="0" fontId="90" fillId="47" borderId="15" xfId="0" applyFont="1" applyFill="1" applyBorder="1" applyAlignment="1">
      <alignment horizontal="center"/>
    </xf>
    <xf numFmtId="0" fontId="90" fillId="47" borderId="17" xfId="0" applyFont="1" applyFill="1" applyBorder="1" applyAlignment="1">
      <alignment horizontal="center"/>
    </xf>
    <xf numFmtId="169" fontId="0" fillId="25" borderId="0" xfId="0" applyNumberFormat="1" applyFill="1" applyBorder="1"/>
    <xf numFmtId="169" fontId="0" fillId="25" borderId="18" xfId="0" applyNumberFormat="1" applyFill="1" applyBorder="1"/>
    <xf numFmtId="0" fontId="13" fillId="25" borderId="0" xfId="0" applyFont="1" applyFill="1" applyAlignment="1" applyProtection="1">
      <alignment horizontal="center"/>
    </xf>
    <xf numFmtId="169" fontId="0" fillId="25" borderId="0" xfId="0" applyNumberFormat="1" applyFill="1" applyAlignment="1">
      <alignment horizontal="right"/>
    </xf>
    <xf numFmtId="0" fontId="9" fillId="25" borderId="0" xfId="0" applyFont="1" applyFill="1" applyAlignment="1" applyProtection="1">
      <alignment horizontal="center"/>
    </xf>
    <xf numFmtId="0" fontId="77" fillId="36" borderId="79" xfId="0" applyFont="1" applyFill="1" applyBorder="1" applyAlignment="1">
      <alignment horizontal="center"/>
    </xf>
    <xf numFmtId="169" fontId="0" fillId="25" borderId="0" xfId="0" applyNumberFormat="1" applyFill="1"/>
    <xf numFmtId="176" fontId="13" fillId="25" borderId="26" xfId="44" applyNumberFormat="1" applyFont="1" applyFill="1" applyBorder="1" applyAlignment="1" applyProtection="1">
      <alignment horizontal="center"/>
    </xf>
    <xf numFmtId="176" fontId="13" fillId="25" borderId="29" xfId="44" applyNumberFormat="1" applyFont="1" applyFill="1" applyBorder="1" applyAlignment="1" applyProtection="1">
      <alignment horizontal="center"/>
    </xf>
    <xf numFmtId="176" fontId="77" fillId="36" borderId="26" xfId="44" applyNumberFormat="1" applyFont="1" applyFill="1" applyBorder="1" applyAlignment="1">
      <alignment horizontal="center"/>
    </xf>
    <xf numFmtId="176" fontId="77" fillId="36" borderId="29" xfId="44" applyNumberFormat="1" applyFont="1" applyFill="1" applyBorder="1" applyAlignment="1">
      <alignment horizontal="center"/>
    </xf>
    <xf numFmtId="176" fontId="13" fillId="25" borderId="30" xfId="44" applyNumberFormat="1" applyFont="1" applyFill="1" applyBorder="1" applyAlignment="1" applyProtection="1">
      <alignment horizontal="center"/>
    </xf>
    <xf numFmtId="167" fontId="9" fillId="25" borderId="0" xfId="0" applyNumberFormat="1" applyFont="1" applyFill="1" applyAlignment="1" applyProtection="1">
      <alignment horizontal="right"/>
    </xf>
    <xf numFmtId="0" fontId="80" fillId="36" borderId="79" xfId="0" applyFont="1" applyFill="1" applyBorder="1" applyAlignment="1">
      <alignment wrapText="1"/>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25" borderId="0" xfId="0" applyFont="1" applyFill="1" applyAlignment="1" applyProtection="1">
      <alignment horizontal="right"/>
    </xf>
    <xf numFmtId="0" fontId="77" fillId="36" borderId="0" xfId="0" applyFont="1" applyFill="1" applyAlignment="1">
      <alignment horizontal="right"/>
    </xf>
    <xf numFmtId="176" fontId="13" fillId="35" borderId="12" xfId="0" applyNumberFormat="1" applyFont="1" applyFill="1" applyBorder="1" applyAlignment="1" applyProtection="1">
      <alignment horizontal="center"/>
    </xf>
    <xf numFmtId="167" fontId="9" fillId="25" borderId="43" xfId="0" applyNumberFormat="1" applyFont="1" applyFill="1" applyBorder="1" applyAlignment="1" applyProtection="1"/>
    <xf numFmtId="0" fontId="5" fillId="25" borderId="53" xfId="0" applyFont="1" applyFill="1" applyBorder="1" applyAlignment="1" applyProtection="1">
      <alignment vertical="center"/>
    </xf>
    <xf numFmtId="0" fontId="9" fillId="25" borderId="46" xfId="0" applyFont="1" applyFill="1" applyBorder="1" applyAlignment="1" applyProtection="1">
      <alignment horizontal="right" vertical="center"/>
    </xf>
    <xf numFmtId="0" fontId="13" fillId="25" borderId="27" xfId="0" applyFont="1" applyFill="1" applyBorder="1" applyAlignment="1" applyProtection="1">
      <alignment horizontal="center"/>
    </xf>
    <xf numFmtId="0" fontId="13" fillId="25" borderId="26" xfId="0" applyFont="1" applyFill="1" applyBorder="1" applyAlignment="1" applyProtection="1">
      <alignment horizontal="center"/>
    </xf>
    <xf numFmtId="2" fontId="13" fillId="35" borderId="12" xfId="0" applyNumberFormat="1" applyFont="1" applyFill="1" applyBorder="1" applyAlignment="1" applyProtection="1">
      <alignment horizontal="center"/>
    </xf>
    <xf numFmtId="1" fontId="0" fillId="25" borderId="0" xfId="0" applyNumberFormat="1" applyFill="1" applyBorder="1" applyAlignment="1">
      <alignment horizontal="right"/>
    </xf>
    <xf numFmtId="171" fontId="0" fillId="25" borderId="0" xfId="0" applyNumberFormat="1" applyFill="1" applyBorder="1" applyAlignment="1">
      <alignment horizontal="center"/>
    </xf>
    <xf numFmtId="171" fontId="0" fillId="25" borderId="79" xfId="0" applyNumberFormat="1" applyFill="1" applyBorder="1" applyAlignment="1">
      <alignment horizontal="center"/>
    </xf>
    <xf numFmtId="171" fontId="0" fillId="25" borderId="18" xfId="0" applyNumberFormat="1" applyFill="1" applyBorder="1" applyAlignment="1">
      <alignment horizontal="center"/>
    </xf>
    <xf numFmtId="171" fontId="0" fillId="25" borderId="22" xfId="0" applyNumberFormat="1" applyFill="1" applyBorder="1" applyAlignment="1">
      <alignment horizontal="center"/>
    </xf>
    <xf numFmtId="171" fontId="0" fillId="25" borderId="12" xfId="0" applyNumberFormat="1" applyFill="1" applyBorder="1" applyAlignment="1">
      <alignment horizontal="center"/>
    </xf>
    <xf numFmtId="171" fontId="9" fillId="25" borderId="15" xfId="32" applyNumberFormat="1" applyFont="1" applyFill="1" applyBorder="1" applyAlignment="1" applyProtection="1">
      <alignment horizontal="center"/>
    </xf>
    <xf numFmtId="171" fontId="9" fillId="25" borderId="95" xfId="32" applyNumberFormat="1" applyFont="1" applyFill="1" applyBorder="1" applyAlignment="1" applyProtection="1">
      <alignment horizontal="center"/>
    </xf>
    <xf numFmtId="2" fontId="9" fillId="25" borderId="17" xfId="0" applyNumberFormat="1" applyFont="1" applyFill="1" applyBorder="1" applyAlignment="1" applyProtection="1">
      <alignment horizontal="center"/>
    </xf>
    <xf numFmtId="2" fontId="9" fillId="25" borderId="18" xfId="0" applyNumberFormat="1" applyFont="1" applyFill="1" applyBorder="1" applyAlignment="1" applyProtection="1">
      <alignment horizontal="center"/>
    </xf>
    <xf numFmtId="2" fontId="9" fillId="25" borderId="19" xfId="0" applyNumberFormat="1" applyFont="1" applyFill="1" applyBorder="1" applyAlignment="1" applyProtection="1">
      <alignment horizontal="center"/>
    </xf>
    <xf numFmtId="0" fontId="80" fillId="36" borderId="33" xfId="0" applyFont="1" applyFill="1" applyBorder="1" applyAlignment="1">
      <alignment horizontal="center" wrapText="1"/>
    </xf>
    <xf numFmtId="0" fontId="112" fillId="36" borderId="15" xfId="0" applyFont="1" applyFill="1" applyBorder="1" applyAlignment="1">
      <alignment wrapText="1"/>
    </xf>
    <xf numFmtId="167" fontId="80" fillId="25" borderId="68" xfId="0" applyNumberFormat="1" applyFont="1" applyFill="1" applyBorder="1" applyAlignment="1" applyProtection="1">
      <alignment horizontal="center"/>
    </xf>
    <xf numFmtId="167" fontId="80" fillId="25" borderId="44" xfId="0" applyNumberFormat="1" applyFont="1" applyFill="1" applyBorder="1" applyAlignment="1" applyProtection="1">
      <alignment horizontal="center"/>
    </xf>
    <xf numFmtId="173" fontId="84" fillId="36" borderId="33" xfId="0" applyNumberFormat="1" applyFont="1" applyFill="1" applyBorder="1" applyAlignment="1">
      <alignment horizontal="center" wrapText="1"/>
    </xf>
    <xf numFmtId="0" fontId="84" fillId="36" borderId="33" xfId="0" applyFont="1" applyFill="1" applyBorder="1" applyAlignment="1">
      <alignment horizontal="center" wrapText="1"/>
    </xf>
    <xf numFmtId="173" fontId="86" fillId="36" borderId="61" xfId="0" applyNumberFormat="1" applyFont="1" applyFill="1" applyBorder="1" applyAlignment="1">
      <alignment horizontal="center" wrapText="1"/>
    </xf>
    <xf numFmtId="173" fontId="86" fillId="36" borderId="39" xfId="0" applyNumberFormat="1" applyFont="1" applyFill="1" applyBorder="1" applyAlignment="1">
      <alignment horizontal="center" wrapText="1"/>
    </xf>
    <xf numFmtId="0" fontId="9" fillId="32" borderId="13" xfId="0" quotePrefix="1" applyFont="1" applyFill="1" applyBorder="1" applyAlignment="1">
      <alignment wrapText="1"/>
    </xf>
    <xf numFmtId="0" fontId="9" fillId="37" borderId="13" xfId="0" quotePrefix="1" applyFont="1" applyFill="1" applyBorder="1" applyAlignment="1">
      <alignment wrapText="1"/>
    </xf>
    <xf numFmtId="0" fontId="5" fillId="25" borderId="22" xfId="0" applyFont="1" applyFill="1" applyBorder="1" applyAlignment="1" applyProtection="1">
      <alignment horizontal="center" wrapText="1"/>
    </xf>
    <xf numFmtId="0" fontId="9" fillId="36" borderId="61" xfId="0" applyFont="1" applyFill="1" applyBorder="1" applyAlignment="1" applyProtection="1">
      <alignment horizontal="right" wrapText="1"/>
    </xf>
    <xf numFmtId="167" fontId="97" fillId="25" borderId="28" xfId="0" applyNumberFormat="1" applyFont="1" applyFill="1" applyBorder="1" applyAlignment="1">
      <alignment horizontal="center"/>
    </xf>
    <xf numFmtId="167" fontId="97" fillId="25" borderId="0" xfId="0" applyNumberFormat="1" applyFont="1" applyFill="1" applyBorder="1" applyAlignment="1">
      <alignment horizontal="center"/>
    </xf>
    <xf numFmtId="167" fontId="97" fillId="25" borderId="29" xfId="0" applyNumberFormat="1" applyFont="1" applyFill="1" applyBorder="1" applyAlignment="1">
      <alignment horizontal="center"/>
    </xf>
    <xf numFmtId="0" fontId="97" fillId="25" borderId="0" xfId="0" applyFont="1" applyFill="1" applyBorder="1" applyAlignment="1">
      <alignment horizontal="center"/>
    </xf>
    <xf numFmtId="0" fontId="97" fillId="25" borderId="29" xfId="0" applyFont="1" applyFill="1" applyBorder="1" applyAlignment="1">
      <alignment horizontal="center"/>
    </xf>
    <xf numFmtId="0" fontId="97" fillId="25" borderId="18" xfId="0" applyFont="1" applyFill="1" applyBorder="1" applyAlignment="1">
      <alignment horizontal="center"/>
    </xf>
    <xf numFmtId="167" fontId="97" fillId="25" borderId="19" xfId="0" applyNumberFormat="1" applyFont="1" applyFill="1" applyBorder="1" applyAlignment="1">
      <alignment horizontal="center"/>
    </xf>
    <xf numFmtId="0" fontId="97" fillId="25" borderId="19" xfId="0" applyFont="1" applyFill="1" applyBorder="1" applyAlignment="1">
      <alignment horizontal="center"/>
    </xf>
    <xf numFmtId="0" fontId="9" fillId="25" borderId="0" xfId="0" applyFont="1" applyFill="1" applyBorder="1" applyAlignment="1" applyProtection="1">
      <alignment horizontal="center"/>
    </xf>
    <xf numFmtId="0" fontId="9" fillId="25" borderId="96" xfId="0" applyFont="1" applyFill="1" applyBorder="1" applyAlignment="1" applyProtection="1">
      <alignment horizontal="center"/>
    </xf>
    <xf numFmtId="167" fontId="9" fillId="25" borderId="97" xfId="0" applyNumberFormat="1" applyFont="1" applyFill="1" applyBorder="1" applyAlignment="1" applyProtection="1">
      <alignment horizontal="center"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07" fillId="25" borderId="0" xfId="0" applyFont="1" applyFill="1" applyProtection="1"/>
    <xf numFmtId="0" fontId="9" fillId="25" borderId="95"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167" fontId="80" fillId="36" borderId="31" xfId="0" applyNumberFormat="1" applyFont="1" applyFill="1" applyBorder="1" applyAlignment="1">
      <alignment horizontal="center"/>
    </xf>
    <xf numFmtId="0" fontId="13" fillId="25" borderId="30" xfId="0" applyFont="1" applyFill="1" applyBorder="1" applyAlignment="1" applyProtection="1">
      <alignment horizontal="center"/>
    </xf>
    <xf numFmtId="167" fontId="13" fillId="25" borderId="26" xfId="0" applyNumberFormat="1" applyFont="1" applyFill="1" applyBorder="1" applyAlignment="1" applyProtection="1">
      <alignment horizontal="center"/>
    </xf>
    <xf numFmtId="0" fontId="77" fillId="36" borderId="0" xfId="0" quotePrefix="1" applyFont="1" applyFill="1" applyAlignment="1">
      <alignment horizontal="right"/>
    </xf>
    <xf numFmtId="171" fontId="77" fillId="36" borderId="26" xfId="32" applyNumberFormat="1" applyFont="1" applyFill="1" applyBorder="1" applyAlignment="1">
      <alignment horizontal="center"/>
    </xf>
    <xf numFmtId="9" fontId="77" fillId="36" borderId="27" xfId="0" applyNumberFormat="1" applyFont="1" applyFill="1" applyBorder="1" applyAlignment="1">
      <alignment horizontal="center"/>
    </xf>
    <xf numFmtId="171" fontId="13" fillId="35" borderId="12" xfId="32" applyNumberFormat="1" applyFont="1" applyFill="1" applyBorder="1" applyAlignment="1" applyProtection="1">
      <alignment horizontal="center"/>
    </xf>
    <xf numFmtId="0" fontId="15" fillId="25" borderId="28" xfId="0" applyFont="1" applyFill="1" applyBorder="1" applyProtection="1"/>
    <xf numFmtId="0" fontId="107" fillId="25" borderId="97" xfId="0" applyFont="1" applyFill="1" applyBorder="1" applyAlignment="1" applyProtection="1">
      <alignment horizontal="center"/>
    </xf>
    <xf numFmtId="0" fontId="9" fillId="25" borderId="53" xfId="0" applyFont="1" applyFill="1" applyBorder="1" applyProtection="1"/>
    <xf numFmtId="0" fontId="9" fillId="25" borderId="53" xfId="0" applyFont="1" applyFill="1" applyBorder="1" applyAlignment="1" applyProtection="1">
      <alignment horizontal="right" vertical="center"/>
    </xf>
    <xf numFmtId="9" fontId="9" fillId="25" borderId="0" xfId="0" applyNumberFormat="1" applyFont="1" applyFill="1" applyProtection="1"/>
    <xf numFmtId="2" fontId="9" fillId="25" borderId="0" xfId="0" applyNumberFormat="1" applyFont="1" applyFill="1" applyBorder="1" applyAlignment="1" applyProtection="1">
      <alignment horizontal="center"/>
    </xf>
    <xf numFmtId="2" fontId="9" fillId="37" borderId="19" xfId="0" applyNumberFormat="1" applyFont="1" applyFill="1" applyBorder="1" applyAlignment="1" applyProtection="1">
      <alignment horizontal="center"/>
    </xf>
    <xf numFmtId="2" fontId="9" fillId="37" borderId="12" xfId="0" applyNumberFormat="1" applyFont="1" applyFill="1" applyBorder="1" applyAlignment="1" applyProtection="1">
      <alignment horizontal="center"/>
    </xf>
    <xf numFmtId="0" fontId="9" fillId="36" borderId="95" xfId="0" applyFont="1" applyFill="1" applyBorder="1" applyAlignment="1" applyProtection="1">
      <alignment horizontal="center"/>
    </xf>
    <xf numFmtId="0" fontId="9" fillId="36" borderId="29" xfId="0" applyFont="1" applyFill="1" applyBorder="1" applyAlignment="1" applyProtection="1">
      <alignment horizontal="center"/>
    </xf>
    <xf numFmtId="0" fontId="9" fillId="36" borderId="29" xfId="0" applyFont="1" applyFill="1" applyBorder="1" applyProtection="1"/>
    <xf numFmtId="0" fontId="9" fillId="36" borderId="26" xfId="0" applyFont="1" applyFill="1" applyBorder="1" applyProtection="1"/>
    <xf numFmtId="2" fontId="9" fillId="36" borderId="30" xfId="0" applyNumberFormat="1" applyFont="1" applyFill="1" applyBorder="1" applyAlignment="1" applyProtection="1">
      <alignment horizontal="center"/>
    </xf>
    <xf numFmtId="2" fontId="9" fillId="36" borderId="29" xfId="0" applyNumberFormat="1" applyFont="1" applyFill="1" applyBorder="1" applyAlignment="1" applyProtection="1">
      <alignment horizontal="center"/>
    </xf>
    <xf numFmtId="2" fontId="9" fillId="36" borderId="19" xfId="0" applyNumberFormat="1" applyFont="1" applyFill="1" applyBorder="1" applyAlignment="1" applyProtection="1">
      <alignment horizontal="center"/>
    </xf>
    <xf numFmtId="2" fontId="9" fillId="25" borderId="28" xfId="0" applyNumberFormat="1" applyFont="1" applyFill="1" applyBorder="1" applyAlignment="1" applyProtection="1">
      <alignment horizontal="center"/>
    </xf>
    <xf numFmtId="2" fontId="9" fillId="25" borderId="29" xfId="0" applyNumberFormat="1" applyFont="1" applyFill="1" applyBorder="1" applyAlignment="1" applyProtection="1">
      <alignment horizontal="center"/>
    </xf>
    <xf numFmtId="2" fontId="9" fillId="37" borderId="22" xfId="0" applyNumberFormat="1" applyFont="1" applyFill="1" applyBorder="1" applyAlignment="1" applyProtection="1">
      <alignment horizontal="center"/>
    </xf>
    <xf numFmtId="0" fontId="9" fillId="36" borderId="15" xfId="0" applyFont="1" applyFill="1" applyBorder="1" applyProtection="1"/>
    <xf numFmtId="0" fontId="9" fillId="36" borderId="28" xfId="0" applyFont="1" applyFill="1" applyBorder="1" applyProtection="1"/>
    <xf numFmtId="0" fontId="9" fillId="36" borderId="27" xfId="0" applyFont="1" applyFill="1" applyBorder="1" applyProtection="1"/>
    <xf numFmtId="0" fontId="9" fillId="36" borderId="30" xfId="0" applyFont="1" applyFill="1" applyBorder="1" applyProtection="1"/>
    <xf numFmtId="0" fontId="9" fillId="37" borderId="29" xfId="0" applyFont="1" applyFill="1" applyBorder="1" applyAlignment="1" applyProtection="1">
      <alignment horizontal="center"/>
    </xf>
    <xf numFmtId="0" fontId="9" fillId="37" borderId="26" xfId="0" applyFont="1" applyFill="1" applyBorder="1" applyProtection="1"/>
    <xf numFmtId="0" fontId="9" fillId="36" borderId="17" xfId="0" applyFont="1" applyFill="1" applyBorder="1" applyProtection="1"/>
    <xf numFmtId="171" fontId="9" fillId="25" borderId="26" xfId="32" applyNumberFormat="1" applyFont="1" applyFill="1" applyBorder="1" applyAlignment="1" applyProtection="1">
      <alignment horizontal="center"/>
    </xf>
    <xf numFmtId="0" fontId="82" fillId="36" borderId="57" xfId="0" applyFont="1" applyFill="1" applyBorder="1" applyAlignment="1" applyProtection="1">
      <alignment horizontal="center" vertical="center"/>
      <protection locked="0"/>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36" borderId="27" xfId="0" applyNumberFormat="1" applyFont="1" applyFill="1" applyBorder="1" applyAlignment="1" applyProtection="1">
      <alignment horizontal="center"/>
    </xf>
    <xf numFmtId="2" fontId="9" fillId="25" borderId="15" xfId="0" applyNumberFormat="1" applyFont="1" applyFill="1" applyBorder="1" applyAlignment="1" applyProtection="1">
      <alignment horizontal="center"/>
    </xf>
    <xf numFmtId="2" fontId="9" fillId="25" borderId="79" xfId="0" applyNumberFormat="1" applyFont="1" applyFill="1" applyBorder="1" applyAlignment="1" applyProtection="1">
      <alignment horizontal="center"/>
    </xf>
    <xf numFmtId="0" fontId="0" fillId="35" borderId="12" xfId="0" applyFill="1" applyBorder="1"/>
    <xf numFmtId="0" fontId="2" fillId="25" borderId="12" xfId="0" applyFont="1" applyFill="1" applyBorder="1"/>
    <xf numFmtId="0" fontId="9" fillId="35" borderId="13" xfId="0" applyFont="1" applyFill="1" applyBorder="1" applyAlignment="1">
      <alignment wrapText="1"/>
    </xf>
    <xf numFmtId="2" fontId="9" fillId="37" borderId="13" xfId="0" applyNumberFormat="1" applyFont="1" applyFill="1" applyBorder="1" applyAlignment="1" applyProtection="1">
      <alignment horizontal="center" vertical="center"/>
      <protection locked="0"/>
    </xf>
    <xf numFmtId="2" fontId="9" fillId="25" borderId="13" xfId="0" applyNumberFormat="1" applyFont="1" applyFill="1" applyBorder="1" applyAlignment="1" applyProtection="1">
      <alignment horizontal="center" vertical="center"/>
    </xf>
    <xf numFmtId="0" fontId="115" fillId="43" borderId="16" xfId="0" applyFont="1" applyFill="1" applyBorder="1" applyAlignment="1" applyProtection="1">
      <alignment horizontal="center" vertical="center"/>
      <protection locked="0"/>
    </xf>
    <xf numFmtId="2" fontId="10" fillId="25" borderId="11" xfId="0" applyNumberFormat="1" applyFont="1" applyFill="1" applyBorder="1" applyAlignment="1" applyProtection="1">
      <alignment horizontal="center" vertical="center"/>
    </xf>
    <xf numFmtId="0" fontId="81" fillId="25" borderId="11" xfId="0" applyFont="1" applyFill="1" applyBorder="1" applyAlignment="1" applyProtection="1">
      <alignment horizontal="center" vertical="center"/>
    </xf>
    <xf numFmtId="0" fontId="10" fillId="25" borderId="32" xfId="0" applyFont="1" applyFill="1" applyBorder="1" applyAlignment="1" applyProtection="1">
      <alignment horizontal="center" vertical="center"/>
    </xf>
    <xf numFmtId="0" fontId="10" fillId="25" borderId="54" xfId="0" applyFont="1" applyFill="1" applyBorder="1" applyAlignment="1" applyProtection="1">
      <alignment horizontal="center" vertical="center"/>
    </xf>
    <xf numFmtId="0" fontId="81" fillId="25" borderId="32" xfId="0" applyFont="1" applyFill="1" applyBorder="1" applyAlignment="1" applyProtection="1">
      <alignment horizontal="center" vertical="center"/>
    </xf>
    <xf numFmtId="0" fontId="93" fillId="25" borderId="0" xfId="0" applyFont="1" applyFill="1" applyAlignment="1" applyProtection="1">
      <alignment horizontal="center"/>
    </xf>
    <xf numFmtId="0" fontId="9" fillId="25" borderId="38" xfId="0" applyFont="1" applyFill="1" applyBorder="1" applyAlignment="1" applyProtection="1">
      <alignment horizontal="center" vertical="center"/>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9" fillId="25" borderId="0" xfId="0" applyFont="1" applyFill="1" applyBorder="1" applyAlignment="1" applyProtection="1">
      <alignment horizontal="center"/>
    </xf>
    <xf numFmtId="0" fontId="0" fillId="36" borderId="95" xfId="0" applyFill="1" applyBorder="1" applyAlignment="1">
      <alignment horizontal="center"/>
    </xf>
    <xf numFmtId="0" fontId="0" fillId="36" borderId="18" xfId="0" applyFill="1" applyBorder="1" applyAlignment="1">
      <alignment horizontal="center"/>
    </xf>
    <xf numFmtId="0" fontId="0" fillId="36" borderId="27" xfId="0" applyFill="1" applyBorder="1"/>
    <xf numFmtId="0" fontId="0" fillId="36" borderId="30" xfId="0" applyFill="1" applyBorder="1"/>
    <xf numFmtId="0" fontId="0" fillId="36" borderId="0" xfId="0" applyFill="1" applyBorder="1"/>
    <xf numFmtId="0" fontId="0" fillId="36" borderId="26" xfId="0" applyFill="1" applyBorder="1"/>
    <xf numFmtId="0" fontId="0" fillId="36" borderId="28" xfId="0" applyFill="1" applyBorder="1"/>
    <xf numFmtId="0" fontId="0" fillId="36" borderId="28" xfId="0" applyFill="1" applyBorder="1" applyAlignment="1">
      <alignment horizontal="center"/>
    </xf>
    <xf numFmtId="0" fontId="0" fillId="36" borderId="29" xfId="0" applyFill="1" applyBorder="1" applyAlignment="1">
      <alignment horizontal="center"/>
    </xf>
    <xf numFmtId="0" fontId="0" fillId="36" borderId="79" xfId="0" applyFill="1" applyBorder="1"/>
    <xf numFmtId="0" fontId="0" fillId="36" borderId="29" xfId="0" applyFill="1" applyBorder="1"/>
    <xf numFmtId="0" fontId="0" fillId="37" borderId="26" xfId="0" applyFill="1" applyBorder="1"/>
    <xf numFmtId="0" fontId="0" fillId="37" borderId="0" xfId="0" applyFill="1" applyBorder="1"/>
    <xf numFmtId="0" fontId="0" fillId="37" borderId="29" xfId="0" applyFill="1" applyBorder="1"/>
    <xf numFmtId="167" fontId="9" fillId="25" borderId="20" xfId="0" applyNumberFormat="1" applyFont="1" applyFill="1" applyBorder="1" applyAlignment="1" applyProtection="1">
      <alignment horizontal="center"/>
    </xf>
    <xf numFmtId="0" fontId="2" fillId="36" borderId="30" xfId="0" applyFont="1" applyFill="1" applyBorder="1"/>
    <xf numFmtId="167" fontId="9" fillId="25" borderId="95" xfId="0" applyNumberFormat="1" applyFont="1" applyFill="1" applyBorder="1" applyAlignment="1" applyProtection="1">
      <alignment horizontal="center"/>
    </xf>
    <xf numFmtId="0" fontId="9" fillId="36" borderId="12" xfId="0" applyFont="1" applyFill="1" applyBorder="1" applyAlignment="1" applyProtection="1">
      <alignment horizontal="left"/>
    </xf>
    <xf numFmtId="167" fontId="9" fillId="36" borderId="12" xfId="0" applyNumberFormat="1" applyFont="1" applyFill="1" applyBorder="1" applyAlignment="1" applyProtection="1">
      <alignment horizontal="center"/>
    </xf>
    <xf numFmtId="0" fontId="0" fillId="37" borderId="20" xfId="0" applyFill="1" applyBorder="1"/>
    <xf numFmtId="0" fontId="0" fillId="37" borderId="14" xfId="0" applyFill="1" applyBorder="1"/>
    <xf numFmtId="0" fontId="0" fillId="37" borderId="12" xfId="0" applyFill="1" applyBorder="1"/>
    <xf numFmtId="0" fontId="24" fillId="25" borderId="0" xfId="0" applyFont="1" applyFill="1" applyProtection="1"/>
    <xf numFmtId="0" fontId="1" fillId="36" borderId="0" xfId="0" applyFont="1" applyFill="1"/>
    <xf numFmtId="167" fontId="0" fillId="36" borderId="15" xfId="0" applyNumberFormat="1" applyFill="1" applyBorder="1" applyAlignment="1">
      <alignment horizontal="center"/>
    </xf>
    <xf numFmtId="167" fontId="0" fillId="36" borderId="17" xfId="0" applyNumberFormat="1" applyFill="1" applyBorder="1" applyAlignment="1">
      <alignment horizontal="center"/>
    </xf>
    <xf numFmtId="167" fontId="0" fillId="36" borderId="18" xfId="0" applyNumberFormat="1" applyFill="1" applyBorder="1" applyAlignment="1">
      <alignment horizontal="center"/>
    </xf>
    <xf numFmtId="167" fontId="0" fillId="36" borderId="79" xfId="0" applyNumberFormat="1" applyFill="1" applyBorder="1" applyAlignment="1">
      <alignment horizontal="center"/>
    </xf>
    <xf numFmtId="167" fontId="9" fillId="36" borderId="27" xfId="0" applyNumberFormat="1" applyFont="1" applyFill="1" applyBorder="1" applyAlignment="1" applyProtection="1">
      <alignment horizontal="center"/>
    </xf>
    <xf numFmtId="167" fontId="9" fillId="36" borderId="26" xfId="0" applyNumberFormat="1" applyFont="1" applyFill="1" applyBorder="1" applyAlignment="1" applyProtection="1">
      <alignment horizontal="center"/>
    </xf>
    <xf numFmtId="167" fontId="9" fillId="36" borderId="30" xfId="0" applyNumberFormat="1" applyFont="1" applyFill="1" applyBorder="1" applyAlignment="1" applyProtection="1">
      <alignment horizontal="center"/>
    </xf>
    <xf numFmtId="167" fontId="107" fillId="25" borderId="98" xfId="0" applyNumberFormat="1" applyFont="1" applyFill="1" applyBorder="1" applyAlignment="1" applyProtection="1">
      <alignment horizontal="center"/>
    </xf>
    <xf numFmtId="0" fontId="9" fillId="36" borderId="26" xfId="0" applyFont="1" applyFill="1" applyBorder="1" applyAlignment="1" applyProtection="1">
      <alignment horizontal="center"/>
    </xf>
    <xf numFmtId="0" fontId="80" fillId="36" borderId="26" xfId="0" applyFont="1" applyFill="1" applyBorder="1" applyAlignment="1" applyProtection="1">
      <alignment horizontal="center"/>
    </xf>
    <xf numFmtId="0" fontId="80" fillId="36" borderId="30" xfId="0" applyFont="1" applyFill="1" applyBorder="1" applyAlignment="1" applyProtection="1">
      <alignment horizontal="center"/>
    </xf>
    <xf numFmtId="167" fontId="9" fillId="25" borderId="26" xfId="0" applyNumberFormat="1" applyFont="1" applyFill="1" applyBorder="1" applyAlignment="1" applyProtection="1">
      <alignment horizontal="center"/>
    </xf>
    <xf numFmtId="164" fontId="9" fillId="25" borderId="52" xfId="0" applyNumberFormat="1" applyFont="1" applyFill="1" applyBorder="1" applyAlignment="1" applyProtection="1">
      <alignment horizontal="center" vertical="center" wrapText="1"/>
    </xf>
    <xf numFmtId="0" fontId="93" fillId="25" borderId="0" xfId="0" applyFont="1" applyFill="1" applyBorder="1" applyProtection="1"/>
    <xf numFmtId="2" fontId="93" fillId="25" borderId="0" xfId="0" applyNumberFormat="1" applyFont="1" applyFill="1" applyBorder="1" applyProtection="1"/>
    <xf numFmtId="167" fontId="93" fillId="25" borderId="0" xfId="0" applyNumberFormat="1" applyFont="1" applyFill="1" applyBorder="1" applyProtection="1"/>
    <xf numFmtId="0" fontId="82" fillId="25" borderId="0" xfId="0" applyFont="1" applyFill="1" applyBorder="1" applyAlignment="1" applyProtection="1">
      <alignment horizontal="center"/>
    </xf>
    <xf numFmtId="0" fontId="89" fillId="25" borderId="0" xfId="0" applyFont="1" applyFill="1" applyBorder="1" applyProtection="1"/>
    <xf numFmtId="0" fontId="90" fillId="25" borderId="0" xfId="0" applyFont="1" applyFill="1" applyBorder="1" applyProtection="1"/>
    <xf numFmtId="0" fontId="89" fillId="36" borderId="0" xfId="0" applyFont="1" applyFill="1" applyBorder="1" applyProtection="1"/>
    <xf numFmtId="0" fontId="9" fillId="25" borderId="78" xfId="0" applyFont="1" applyFill="1" applyBorder="1" applyAlignment="1">
      <alignment vertical="center"/>
    </xf>
    <xf numFmtId="0" fontId="2" fillId="25" borderId="53" xfId="0" applyFont="1" applyFill="1" applyBorder="1" applyAlignment="1">
      <alignment vertical="center"/>
    </xf>
    <xf numFmtId="167" fontId="9" fillId="25" borderId="57" xfId="0" applyNumberFormat="1" applyFont="1" applyFill="1" applyBorder="1" applyAlignment="1">
      <alignment horizontal="center" vertical="center"/>
    </xf>
    <xf numFmtId="0" fontId="9" fillId="25" borderId="87" xfId="0" applyFont="1" applyFill="1" applyBorder="1" applyAlignment="1">
      <alignment horizontal="center" vertical="center"/>
    </xf>
    <xf numFmtId="167" fontId="80" fillId="37" borderId="82" xfId="32" applyNumberFormat="1" applyFont="1" applyFill="1" applyBorder="1" applyAlignment="1" applyProtection="1">
      <alignment horizontal="center" vertical="center"/>
      <protection locked="0"/>
    </xf>
    <xf numFmtId="0" fontId="80" fillId="36" borderId="70" xfId="0" applyFont="1" applyFill="1" applyBorder="1" applyAlignment="1">
      <alignment horizontal="left" vertical="center"/>
    </xf>
    <xf numFmtId="0" fontId="108" fillId="36" borderId="61" xfId="0" applyFont="1" applyFill="1" applyBorder="1" applyAlignment="1">
      <alignment vertical="center"/>
    </xf>
    <xf numFmtId="0" fontId="80" fillId="35" borderId="33" xfId="0" applyFont="1" applyFill="1" applyBorder="1" applyAlignment="1" applyProtection="1">
      <alignment horizontal="center" vertical="center"/>
      <protection locked="0"/>
    </xf>
    <xf numFmtId="2" fontId="80" fillId="36" borderId="21" xfId="0" applyNumberFormat="1" applyFont="1" applyFill="1" applyBorder="1" applyAlignment="1">
      <alignment horizontal="center" vertical="center"/>
    </xf>
    <xf numFmtId="0" fontId="80" fillId="36" borderId="21" xfId="0" applyFont="1" applyFill="1" applyBorder="1" applyAlignment="1">
      <alignment horizontal="center" vertical="center"/>
    </xf>
    <xf numFmtId="0" fontId="84" fillId="36" borderId="41" xfId="0" applyFont="1" applyFill="1" applyBorder="1" applyAlignment="1">
      <alignment horizontal="center" wrapText="1"/>
    </xf>
    <xf numFmtId="0" fontId="9" fillId="25" borderId="74" xfId="0" applyFont="1" applyFill="1" applyBorder="1" applyAlignment="1" applyProtection="1">
      <alignment horizontal="center" vertical="center"/>
    </xf>
    <xf numFmtId="0" fontId="84" fillId="36" borderId="19" xfId="0" applyFont="1" applyFill="1" applyBorder="1" applyAlignment="1">
      <alignment horizontal="center"/>
    </xf>
    <xf numFmtId="0" fontId="9" fillId="37" borderId="22" xfId="0" applyFont="1" applyFill="1" applyBorder="1" applyAlignment="1" applyProtection="1">
      <alignment horizontal="center" vertical="center"/>
      <protection locked="0"/>
    </xf>
    <xf numFmtId="0" fontId="84" fillId="36" borderId="17" xfId="0" applyFont="1" applyFill="1" applyBorder="1" applyAlignment="1">
      <alignment horizontal="center" wrapText="1"/>
    </xf>
    <xf numFmtId="171" fontId="9" fillId="25" borderId="74" xfId="32" applyNumberFormat="1" applyFont="1" applyFill="1" applyBorder="1" applyAlignment="1" applyProtection="1">
      <alignment horizontal="center" vertical="center"/>
    </xf>
    <xf numFmtId="0" fontId="5" fillId="25" borderId="47" xfId="0" applyFont="1" applyFill="1" applyBorder="1" applyAlignment="1" applyProtection="1">
      <alignment horizontal="center" vertical="center" wrapText="1"/>
    </xf>
    <xf numFmtId="0" fontId="9" fillId="25" borderId="45" xfId="0" applyFont="1" applyFill="1" applyBorder="1" applyAlignment="1" applyProtection="1">
      <alignment horizontal="right" vertical="center"/>
    </xf>
    <xf numFmtId="167" fontId="9" fillId="25" borderId="68" xfId="0" applyNumberFormat="1" applyFont="1" applyFill="1" applyBorder="1" applyAlignment="1" applyProtection="1">
      <alignment horizontal="center" vertical="center"/>
    </xf>
    <xf numFmtId="0" fontId="5" fillId="25" borderId="74" xfId="0" applyFont="1" applyFill="1" applyBorder="1" applyAlignment="1" applyProtection="1">
      <alignment horizontal="center" vertical="center" wrapText="1"/>
    </xf>
    <xf numFmtId="0" fontId="5" fillId="25" borderId="20" xfId="0" applyFont="1" applyFill="1" applyBorder="1" applyAlignment="1" applyProtection="1">
      <alignment horizontal="center" vertical="center" wrapText="1"/>
    </xf>
    <xf numFmtId="167" fontId="82" fillId="25" borderId="0" xfId="0" applyNumberFormat="1" applyFont="1" applyFill="1" applyBorder="1" applyAlignment="1" applyProtection="1">
      <alignment horizontal="right"/>
    </xf>
    <xf numFmtId="0" fontId="82" fillId="25" borderId="0" xfId="0" applyFont="1" applyFill="1" applyBorder="1" applyAlignment="1" applyProtection="1">
      <alignment horizontal="right" wrapText="1"/>
    </xf>
    <xf numFmtId="0" fontId="82" fillId="25" borderId="0" xfId="0" applyFont="1" applyFill="1" applyBorder="1" applyAlignment="1" applyProtection="1">
      <alignment horizontal="right"/>
    </xf>
    <xf numFmtId="167" fontId="89" fillId="25" borderId="0" xfId="0" applyNumberFormat="1" applyFont="1" applyFill="1" applyBorder="1" applyAlignment="1" applyProtection="1"/>
    <xf numFmtId="0" fontId="101" fillId="25" borderId="0" xfId="0" applyFont="1" applyFill="1" applyProtection="1"/>
    <xf numFmtId="0" fontId="96" fillId="25" borderId="0" xfId="0" applyFont="1" applyFill="1" applyProtection="1"/>
    <xf numFmtId="0" fontId="97" fillId="25" borderId="0" xfId="0" applyFont="1" applyFill="1" applyProtection="1"/>
    <xf numFmtId="0" fontId="97" fillId="36" borderId="0" xfId="0" applyFont="1" applyFill="1" applyProtection="1"/>
    <xf numFmtId="0" fontId="82" fillId="25" borderId="0" xfId="0" quotePrefix="1" applyFont="1" applyFill="1" applyBorder="1" applyProtection="1"/>
    <xf numFmtId="0" fontId="82" fillId="25" borderId="0" xfId="0" applyFont="1" applyFill="1" applyAlignment="1" applyProtection="1">
      <alignment horizontal="right"/>
    </xf>
    <xf numFmtId="0" fontId="9" fillId="31" borderId="13" xfId="0" applyFont="1" applyFill="1" applyBorder="1" applyAlignment="1">
      <alignment horizontal="left" wrapText="1"/>
    </xf>
    <xf numFmtId="0" fontId="5" fillId="25" borderId="96" xfId="0" applyFont="1" applyFill="1" applyBorder="1" applyAlignment="1" applyProtection="1">
      <alignment horizontal="center"/>
    </xf>
    <xf numFmtId="0" fontId="9" fillId="25" borderId="17" xfId="0" applyFont="1" applyFill="1" applyBorder="1" applyAlignment="1" applyProtection="1">
      <alignment vertical="center"/>
    </xf>
    <xf numFmtId="0" fontId="5" fillId="25" borderId="40" xfId="0" applyFont="1" applyFill="1" applyBorder="1" applyAlignment="1" applyProtection="1">
      <alignment horizontal="center" vertical="center" wrapText="1"/>
      <protection locked="0"/>
    </xf>
    <xf numFmtId="0" fontId="9" fillId="29" borderId="40" xfId="0" applyFont="1" applyFill="1" applyBorder="1" applyAlignment="1" applyProtection="1">
      <alignment horizontal="center" vertical="center" wrapText="1"/>
      <protection locked="0"/>
    </xf>
    <xf numFmtId="0" fontId="10" fillId="25" borderId="52" xfId="0" applyFont="1" applyFill="1" applyBorder="1" applyAlignment="1" applyProtection="1">
      <alignment horizontal="center" vertical="center"/>
    </xf>
    <xf numFmtId="0" fontId="24" fillId="25" borderId="0" xfId="0" applyFont="1" applyFill="1" applyBorder="1" applyAlignment="1" applyProtection="1">
      <alignment horizontal="left" vertical="center"/>
    </xf>
    <xf numFmtId="0" fontId="5" fillId="35" borderId="17" xfId="0" applyFont="1" applyFill="1" applyBorder="1" applyAlignment="1" applyProtection="1">
      <alignment horizontal="center" vertical="center"/>
    </xf>
    <xf numFmtId="0" fontId="53" fillId="25" borderId="0" xfId="0" applyFont="1" applyFill="1" applyAlignment="1" applyProtection="1">
      <alignment horizontal="center"/>
    </xf>
    <xf numFmtId="0" fontId="53" fillId="25" borderId="0" xfId="0" applyFont="1" applyFill="1" applyAlignment="1" applyProtection="1">
      <alignment horizontal="center" vertical="center"/>
    </xf>
    <xf numFmtId="0" fontId="118" fillId="25" borderId="0" xfId="0" applyFont="1" applyFill="1" applyProtection="1"/>
    <xf numFmtId="0" fontId="53" fillId="25" borderId="0" xfId="0" applyFont="1" applyFill="1" applyProtection="1"/>
    <xf numFmtId="0" fontId="53" fillId="25" borderId="0" xfId="0" applyFont="1" applyFill="1" applyAlignment="1" applyProtection="1"/>
    <xf numFmtId="0" fontId="53" fillId="25" borderId="0" xfId="0" applyFont="1" applyFill="1"/>
    <xf numFmtId="0" fontId="53" fillId="36" borderId="0" xfId="0" applyFont="1" applyFill="1"/>
    <xf numFmtId="0" fontId="53" fillId="0" borderId="0" xfId="0" applyFont="1"/>
    <xf numFmtId="0" fontId="53" fillId="36" borderId="29" xfId="0" applyFont="1" applyFill="1" applyBorder="1"/>
    <xf numFmtId="0" fontId="53" fillId="36" borderId="29" xfId="0" applyFont="1" applyFill="1" applyBorder="1" applyAlignment="1">
      <alignment horizontal="center"/>
    </xf>
    <xf numFmtId="0" fontId="53" fillId="36" borderId="0" xfId="0" applyFont="1" applyFill="1" applyBorder="1"/>
    <xf numFmtId="0" fontId="53" fillId="25" borderId="0" xfId="0" applyFont="1" applyFill="1" applyAlignment="1">
      <alignment horizontal="center" vertical="center"/>
    </xf>
    <xf numFmtId="0" fontId="53" fillId="25" borderId="0" xfId="0" applyFont="1" applyFill="1" applyAlignment="1">
      <alignment vertical="center"/>
    </xf>
    <xf numFmtId="0" fontId="53" fillId="25" borderId="0" xfId="0" applyFont="1" applyFill="1" applyBorder="1" applyAlignment="1">
      <alignment horizontal="center" vertical="center"/>
    </xf>
    <xf numFmtId="0" fontId="80" fillId="36" borderId="28" xfId="0" applyFont="1" applyFill="1" applyBorder="1" applyAlignment="1">
      <alignment horizontal="left"/>
    </xf>
    <xf numFmtId="0" fontId="53" fillId="25" borderId="0" xfId="0" applyFont="1" applyFill="1" applyBorder="1" applyAlignment="1" applyProtection="1">
      <alignment horizontal="center"/>
    </xf>
    <xf numFmtId="0" fontId="23" fillId="25" borderId="0" xfId="0" applyFont="1" applyFill="1" applyAlignment="1" applyProtection="1">
      <alignment horizontal="left"/>
    </xf>
    <xf numFmtId="0" fontId="80" fillId="36" borderId="0" xfId="0" applyFont="1" applyFill="1" applyAlignment="1">
      <alignment horizontal="left"/>
    </xf>
    <xf numFmtId="0" fontId="9" fillId="25" borderId="0" xfId="0" applyFont="1" applyFill="1" applyAlignment="1" applyProtection="1">
      <alignment horizontal="left"/>
    </xf>
    <xf numFmtId="167" fontId="25" fillId="25" borderId="0" xfId="0" applyNumberFormat="1" applyFont="1" applyFill="1" applyAlignment="1" applyProtection="1">
      <alignment horizontal="left"/>
    </xf>
    <xf numFmtId="0" fontId="82" fillId="36" borderId="28" xfId="0" applyFont="1" applyFill="1" applyBorder="1" applyAlignment="1">
      <alignment horizontal="left"/>
    </xf>
    <xf numFmtId="0" fontId="53" fillId="36" borderId="29" xfId="0" applyFont="1" applyFill="1" applyBorder="1" applyAlignment="1">
      <alignment vertical="center"/>
    </xf>
    <xf numFmtId="0" fontId="53" fillId="36" borderId="29" xfId="0" applyFont="1" applyFill="1" applyBorder="1" applyAlignment="1">
      <alignment horizontal="center" vertical="center"/>
    </xf>
    <xf numFmtId="0" fontId="53" fillId="36" borderId="0" xfId="0" applyFont="1" applyFill="1" applyAlignment="1">
      <alignment horizontal="center"/>
    </xf>
    <xf numFmtId="0" fontId="53" fillId="25" borderId="0" xfId="0" applyFont="1" applyFill="1" applyBorder="1" applyAlignment="1" applyProtection="1">
      <alignment horizontal="center" vertical="center"/>
    </xf>
    <xf numFmtId="2" fontId="53" fillId="25" borderId="0" xfId="0" applyNumberFormat="1" applyFont="1" applyFill="1" applyProtection="1"/>
    <xf numFmtId="0" fontId="53" fillId="36" borderId="0" xfId="0" applyFont="1" applyFill="1" applyProtection="1"/>
    <xf numFmtId="0" fontId="53" fillId="25" borderId="52" xfId="0" applyFont="1" applyFill="1" applyBorder="1" applyAlignment="1" applyProtection="1">
      <alignment horizontal="center" vertical="center" wrapText="1"/>
    </xf>
    <xf numFmtId="168" fontId="9" fillId="25" borderId="0" xfId="0" applyNumberFormat="1" applyFont="1" applyFill="1" applyProtection="1"/>
    <xf numFmtId="0" fontId="24" fillId="25" borderId="0" xfId="0" applyFont="1" applyFill="1" applyBorder="1" applyAlignment="1" applyProtection="1">
      <alignment horizontal="left" vertical="center" wrapText="1"/>
    </xf>
    <xf numFmtId="167" fontId="0" fillId="36" borderId="27" xfId="0" applyNumberFormat="1" applyFill="1" applyBorder="1" applyAlignment="1">
      <alignment horizontal="center"/>
    </xf>
    <xf numFmtId="0" fontId="5" fillId="25" borderId="91" xfId="0" applyFont="1" applyFill="1" applyBorder="1" applyAlignment="1" applyProtection="1">
      <alignment horizontal="center" vertical="center" wrapText="1"/>
    </xf>
    <xf numFmtId="0" fontId="5" fillId="25" borderId="91" xfId="0" applyFont="1" applyFill="1" applyBorder="1" applyAlignment="1" applyProtection="1">
      <alignment horizontal="center" vertical="center"/>
    </xf>
    <xf numFmtId="9" fontId="82" fillId="28" borderId="33" xfId="32" applyFont="1" applyFill="1" applyBorder="1" applyAlignment="1" applyProtection="1">
      <alignment horizontal="center" vertical="center"/>
      <protection locked="0"/>
    </xf>
    <xf numFmtId="0" fontId="9" fillId="25" borderId="46" xfId="0" applyFont="1" applyFill="1" applyBorder="1" applyProtection="1"/>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0" fillId="36" borderId="17" xfId="0" applyFill="1" applyBorder="1"/>
    <xf numFmtId="0" fontId="0" fillId="36" borderId="19" xfId="0" applyFill="1" applyBorder="1"/>
    <xf numFmtId="0" fontId="9" fillId="25" borderId="13" xfId="0" applyFont="1" applyFill="1" applyBorder="1" applyAlignment="1" applyProtection="1">
      <alignment horizontal="center" vertical="center"/>
    </xf>
    <xf numFmtId="0" fontId="0" fillId="25" borderId="16" xfId="0" applyFill="1" applyBorder="1" applyProtection="1"/>
    <xf numFmtId="0" fontId="3" fillId="25" borderId="16" xfId="0" applyFont="1" applyFill="1" applyBorder="1" applyProtection="1"/>
    <xf numFmtId="0" fontId="0" fillId="25" borderId="93" xfId="0" applyFill="1" applyBorder="1" applyProtection="1"/>
    <xf numFmtId="0" fontId="2" fillId="25" borderId="25" xfId="0" applyFont="1" applyFill="1" applyBorder="1" applyProtection="1"/>
    <xf numFmtId="0" fontId="0" fillId="48" borderId="103" xfId="0" applyFill="1" applyBorder="1" applyAlignment="1"/>
    <xf numFmtId="0" fontId="0" fillId="48" borderId="102" xfId="0" applyFill="1" applyBorder="1"/>
    <xf numFmtId="0" fontId="0" fillId="48" borderId="101" xfId="0" applyFill="1" applyBorder="1" applyAlignment="1"/>
    <xf numFmtId="0" fontId="0" fillId="48" borderId="0" xfId="0" applyFill="1" applyBorder="1"/>
    <xf numFmtId="0" fontId="0" fillId="48" borderId="101" xfId="0" applyFill="1" applyBorder="1"/>
    <xf numFmtId="0" fontId="119" fillId="48" borderId="102" xfId="0" applyFont="1" applyFill="1" applyBorder="1" applyAlignment="1">
      <alignment horizontal="center"/>
    </xf>
    <xf numFmtId="0" fontId="119" fillId="48" borderId="0" xfId="0" applyFont="1" applyFill="1" applyBorder="1" applyAlignment="1">
      <alignment horizontal="center"/>
    </xf>
    <xf numFmtId="0" fontId="0" fillId="48" borderId="59" xfId="0" applyFill="1" applyBorder="1"/>
    <xf numFmtId="0" fontId="0" fillId="48" borderId="105" xfId="0" applyFill="1" applyBorder="1"/>
    <xf numFmtId="0" fontId="0" fillId="48" borderId="100" xfId="0" applyFill="1" applyBorder="1" applyAlignment="1"/>
    <xf numFmtId="0" fontId="0" fillId="48" borderId="0" xfId="0" applyFill="1" applyBorder="1" applyAlignment="1"/>
    <xf numFmtId="0" fontId="0" fillId="48" borderId="0" xfId="0" applyFill="1" applyBorder="1" applyAlignment="1">
      <alignment horizontal="center"/>
    </xf>
    <xf numFmtId="0" fontId="0" fillId="48" borderId="101" xfId="0" applyFill="1" applyBorder="1" applyAlignment="1">
      <alignment horizontal="center"/>
    </xf>
    <xf numFmtId="0" fontId="0" fillId="48" borderId="99" xfId="0" applyFill="1" applyBorder="1" applyAlignment="1">
      <alignment horizontal="center"/>
    </xf>
    <xf numFmtId="0" fontId="0" fillId="48" borderId="102" xfId="0" applyFill="1" applyBorder="1" applyAlignment="1">
      <alignment horizontal="center"/>
    </xf>
    <xf numFmtId="2" fontId="0" fillId="48" borderId="102" xfId="0" applyNumberFormat="1" applyFill="1" applyBorder="1" applyAlignment="1">
      <alignment horizontal="center"/>
    </xf>
    <xf numFmtId="2" fontId="0" fillId="48" borderId="0" xfId="0" applyNumberFormat="1" applyFill="1" applyBorder="1" applyAlignment="1">
      <alignment horizontal="center"/>
    </xf>
    <xf numFmtId="167" fontId="0" fillId="48" borderId="102" xfId="0" applyNumberFormat="1" applyFill="1" applyBorder="1" applyAlignment="1">
      <alignment horizontal="center"/>
    </xf>
    <xf numFmtId="167" fontId="0" fillId="48" borderId="0" xfId="0" applyNumberFormat="1" applyFill="1" applyBorder="1" applyAlignment="1">
      <alignment horizontal="center"/>
    </xf>
    <xf numFmtId="167" fontId="0" fillId="48" borderId="104" xfId="0" applyNumberFormat="1" applyFill="1" applyBorder="1" applyAlignment="1">
      <alignment horizontal="center"/>
    </xf>
    <xf numFmtId="167" fontId="0" fillId="48" borderId="59" xfId="0" applyNumberFormat="1" applyFill="1" applyBorder="1" applyAlignment="1">
      <alignment horizontal="center"/>
    </xf>
    <xf numFmtId="0" fontId="78" fillId="36" borderId="0" xfId="0" applyFont="1" applyFill="1"/>
    <xf numFmtId="0" fontId="119" fillId="36" borderId="0" xfId="0" applyFont="1" applyFill="1" applyBorder="1"/>
    <xf numFmtId="0" fontId="0" fillId="48" borderId="102" xfId="0" applyFill="1" applyBorder="1" applyAlignment="1">
      <alignment horizontal="left"/>
    </xf>
    <xf numFmtId="0" fontId="0" fillId="36" borderId="0" xfId="0" applyFill="1" applyAlignment="1">
      <alignment horizontal="left"/>
    </xf>
    <xf numFmtId="1" fontId="0" fillId="48" borderId="102" xfId="0" applyNumberFormat="1" applyFill="1" applyBorder="1" applyAlignment="1">
      <alignment horizontal="center"/>
    </xf>
    <xf numFmtId="1" fontId="0" fillId="48" borderId="0" xfId="0" applyNumberForma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2" fontId="77" fillId="36" borderId="106" xfId="0" applyNumberFormat="1" applyFont="1" applyFill="1" applyBorder="1" applyAlignment="1">
      <alignment horizontal="center"/>
    </xf>
    <xf numFmtId="0" fontId="2" fillId="25" borderId="107" xfId="0" applyFont="1" applyFill="1" applyBorder="1"/>
    <xf numFmtId="0" fontId="0" fillId="25" borderId="95" xfId="0" applyFill="1" applyBorder="1" applyAlignment="1">
      <alignment horizontal="center"/>
    </xf>
    <xf numFmtId="0" fontId="2" fillId="25" borderId="20" xfId="0" applyFont="1" applyFill="1" applyBorder="1"/>
    <xf numFmtId="0" fontId="2" fillId="25" borderId="22" xfId="0" applyFont="1" applyFill="1" applyBorder="1" applyAlignment="1">
      <alignment horizontal="center"/>
    </xf>
    <xf numFmtId="0" fontId="2" fillId="25" borderId="12" xfId="0" applyFont="1" applyFill="1" applyBorder="1" applyAlignment="1">
      <alignment horizontal="center"/>
    </xf>
    <xf numFmtId="0" fontId="0" fillId="25" borderId="106" xfId="0" applyFill="1" applyBorder="1"/>
    <xf numFmtId="0" fontId="0" fillId="25" borderId="106" xfId="0" applyFill="1" applyBorder="1" applyAlignment="1">
      <alignment horizontal="center"/>
    </xf>
    <xf numFmtId="0" fontId="9" fillId="36" borderId="12" xfId="0" applyFont="1" applyFill="1" applyBorder="1" applyProtection="1"/>
    <xf numFmtId="167" fontId="0" fillId="36" borderId="20" xfId="0" applyNumberFormat="1" applyFill="1" applyBorder="1" applyAlignment="1">
      <alignment horizontal="center"/>
    </xf>
    <xf numFmtId="167" fontId="0" fillId="36" borderId="14" xfId="0" applyNumberFormat="1" applyFill="1" applyBorder="1" applyAlignment="1">
      <alignment horizontal="center"/>
    </xf>
    <xf numFmtId="167" fontId="0" fillId="36" borderId="0" xfId="0" applyNumberFormat="1" applyFill="1" applyProtection="1"/>
    <xf numFmtId="171" fontId="90" fillId="41" borderId="14" xfId="32" applyNumberFormat="1" applyFont="1" applyFill="1" applyBorder="1" applyAlignment="1">
      <alignment horizontal="left"/>
    </xf>
    <xf numFmtId="167" fontId="2" fillId="25" borderId="0" xfId="0" applyNumberFormat="1" applyFont="1" applyFill="1" applyProtection="1"/>
    <xf numFmtId="0" fontId="9" fillId="25" borderId="107" xfId="0" applyFont="1" applyFill="1" applyBorder="1" applyProtection="1"/>
    <xf numFmtId="171" fontId="9" fillId="25" borderId="19" xfId="0" applyNumberFormat="1" applyFont="1" applyFill="1" applyBorder="1" applyAlignment="1" applyProtection="1">
      <alignment horizontal="center"/>
    </xf>
    <xf numFmtId="167" fontId="9" fillId="25" borderId="107" xfId="0" applyNumberFormat="1" applyFont="1" applyFill="1" applyBorder="1" applyAlignment="1" applyProtection="1">
      <alignment horizontal="center"/>
    </xf>
    <xf numFmtId="167" fontId="9" fillId="25" borderId="106" xfId="0" applyNumberFormat="1" applyFont="1" applyFill="1" applyBorder="1" applyAlignment="1" applyProtection="1">
      <alignment horizontal="center"/>
    </xf>
    <xf numFmtId="2" fontId="9" fillId="25" borderId="26" xfId="0" applyNumberFormat="1" applyFont="1" applyFill="1" applyBorder="1" applyAlignment="1" applyProtection="1">
      <alignment horizontal="center"/>
    </xf>
    <xf numFmtId="0" fontId="9" fillId="25" borderId="106" xfId="0" applyFont="1" applyFill="1" applyBorder="1" applyProtection="1"/>
    <xf numFmtId="9" fontId="82" fillId="36" borderId="13" xfId="32" applyFont="1" applyFill="1" applyBorder="1" applyAlignment="1" applyProtection="1">
      <alignment horizontal="center" vertical="center"/>
      <protection locked="0"/>
    </xf>
    <xf numFmtId="171" fontId="9" fillId="36" borderId="32" xfId="32" applyNumberFormat="1" applyFont="1" applyFill="1" applyBorder="1" applyAlignment="1" applyProtection="1">
      <alignment horizontal="center" vertical="center" wrapText="1"/>
    </xf>
    <xf numFmtId="0" fontId="9" fillId="25" borderId="12" xfId="0" applyFont="1" applyFill="1" applyBorder="1" applyProtection="1"/>
    <xf numFmtId="9" fontId="9" fillId="25" borderId="12" xfId="32" applyFont="1" applyFill="1" applyBorder="1" applyAlignment="1" applyProtection="1">
      <alignment horizontal="center"/>
    </xf>
    <xf numFmtId="0" fontId="0" fillId="0" borderId="0" xfId="0" applyFill="1" applyBorder="1" applyAlignment="1">
      <alignment horizontal="center"/>
    </xf>
    <xf numFmtId="0" fontId="2" fillId="0" borderId="0" xfId="0" applyFont="1" applyFill="1" applyBorder="1"/>
    <xf numFmtId="14" fontId="2" fillId="0" borderId="0" xfId="0" applyNumberFormat="1" applyFont="1" applyFill="1" applyBorder="1"/>
    <xf numFmtId="0" fontId="0" fillId="0" borderId="0" xfId="0" quotePrefix="1" applyFill="1" applyBorder="1" applyAlignment="1">
      <alignment horizontal="center"/>
    </xf>
    <xf numFmtId="0" fontId="9" fillId="25" borderId="0" xfId="0" applyFont="1" applyFill="1" applyAlignment="1" applyProtection="1">
      <alignment horizontal="right"/>
    </xf>
    <xf numFmtId="0" fontId="9" fillId="25" borderId="12" xfId="0" applyFont="1" applyFill="1" applyBorder="1" applyProtection="1"/>
    <xf numFmtId="0" fontId="0" fillId="25" borderId="112" xfId="0" applyFill="1" applyBorder="1"/>
    <xf numFmtId="0" fontId="9" fillId="37" borderId="30" xfId="0" applyFont="1" applyFill="1" applyBorder="1" applyAlignment="1" applyProtection="1">
      <alignment horizontal="center"/>
    </xf>
    <xf numFmtId="2" fontId="9" fillId="25" borderId="106" xfId="0" applyNumberFormat="1" applyFont="1" applyFill="1" applyBorder="1" applyAlignment="1" applyProtection="1">
      <alignment horizontal="center"/>
    </xf>
    <xf numFmtId="164" fontId="9" fillId="36" borderId="20" xfId="0" applyNumberFormat="1" applyFont="1" applyFill="1" applyBorder="1" applyAlignment="1" applyProtection="1">
      <alignment horizontal="center" vertical="center"/>
      <protection locked="0"/>
    </xf>
    <xf numFmtId="164" fontId="9" fillId="36" borderId="14" xfId="0" applyNumberFormat="1" applyFont="1" applyFill="1" applyBorder="1" applyAlignment="1" applyProtection="1">
      <alignment horizontal="center" vertical="center"/>
      <protection locked="0"/>
    </xf>
    <xf numFmtId="164" fontId="9" fillId="36" borderId="22" xfId="0" applyNumberFormat="1" applyFont="1" applyFill="1" applyBorder="1" applyAlignment="1" applyProtection="1">
      <alignment horizontal="center" vertical="center"/>
      <protection locked="0"/>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9" fillId="25" borderId="0" xfId="0" applyFont="1" applyFill="1" applyAlignment="1" applyProtection="1">
      <alignment horizontal="center"/>
    </xf>
    <xf numFmtId="164" fontId="9" fillId="25" borderId="19" xfId="0" applyNumberFormat="1" applyFont="1" applyFill="1" applyBorder="1" applyAlignment="1" applyProtection="1">
      <alignment horizontal="center" vertical="center" wrapText="1"/>
    </xf>
    <xf numFmtId="164" fontId="9" fillId="25" borderId="32" xfId="0" applyNumberFormat="1" applyFont="1" applyFill="1" applyBorder="1" applyAlignment="1" applyProtection="1">
      <alignment horizontal="center" vertical="center" wrapText="1"/>
    </xf>
    <xf numFmtId="167" fontId="9" fillId="25" borderId="0" xfId="0" applyNumberFormat="1" applyFont="1" applyFill="1" applyAlignment="1" applyProtection="1">
      <alignment horizontal="center"/>
    </xf>
    <xf numFmtId="1" fontId="9" fillId="41" borderId="0" xfId="0" applyNumberFormat="1" applyFont="1" applyFill="1" applyBorder="1" applyAlignment="1">
      <alignment horizontal="center"/>
    </xf>
    <xf numFmtId="0" fontId="7" fillId="33" borderId="0" xfId="0" applyFont="1" applyFill="1" applyBorder="1"/>
    <xf numFmtId="0" fontId="0" fillId="33" borderId="107" xfId="0" applyFill="1" applyBorder="1"/>
    <xf numFmtId="0" fontId="7" fillId="33" borderId="114" xfId="0" applyFont="1" applyFill="1" applyBorder="1"/>
    <xf numFmtId="0" fontId="100" fillId="25" borderId="29" xfId="0" applyFont="1" applyFill="1" applyBorder="1"/>
    <xf numFmtId="0" fontId="7" fillId="33" borderId="112" xfId="0" applyFont="1" applyFill="1" applyBorder="1" applyAlignment="1">
      <alignment horizontal="center"/>
    </xf>
    <xf numFmtId="167" fontId="9" fillId="41" borderId="29" xfId="0" applyNumberFormat="1" applyFont="1" applyFill="1" applyBorder="1" applyAlignment="1">
      <alignment horizontal="center"/>
    </xf>
    <xf numFmtId="1" fontId="27" fillId="41" borderId="28" xfId="0" applyNumberFormat="1" applyFont="1" applyFill="1" applyBorder="1" applyAlignment="1">
      <alignment horizontal="left"/>
    </xf>
    <xf numFmtId="1" fontId="9" fillId="41" borderId="0" xfId="0" applyNumberFormat="1" applyFont="1" applyFill="1" applyBorder="1" applyAlignment="1">
      <alignment horizontal="left"/>
    </xf>
    <xf numFmtId="0" fontId="3" fillId="25" borderId="30" xfId="0" applyFont="1" applyFill="1" applyBorder="1" applyAlignment="1">
      <alignment horizontal="center"/>
    </xf>
    <xf numFmtId="0" fontId="0" fillId="25" borderId="30" xfId="0" applyFill="1" applyBorder="1" applyAlignment="1">
      <alignment horizontal="left"/>
    </xf>
    <xf numFmtId="2" fontId="9" fillId="25" borderId="0" xfId="0" applyNumberFormat="1" applyFont="1" applyFill="1" applyAlignment="1" applyProtection="1">
      <alignment horizontal="center"/>
    </xf>
    <xf numFmtId="0" fontId="2" fillId="25" borderId="0" xfId="0" applyFont="1" applyFill="1" applyBorder="1" applyAlignment="1">
      <alignment horizontal="center"/>
    </xf>
    <xf numFmtId="0" fontId="120" fillId="25" borderId="0" xfId="0" applyFont="1" applyFill="1" applyProtection="1"/>
    <xf numFmtId="0" fontId="100" fillId="25" borderId="0" xfId="0" applyFont="1" applyFill="1" applyBorder="1" applyAlignment="1">
      <alignment horizontal="center"/>
    </xf>
    <xf numFmtId="0" fontId="100" fillId="25" borderId="28" xfId="0" applyFont="1" applyFill="1" applyBorder="1" applyAlignment="1">
      <alignment horizontal="center"/>
    </xf>
    <xf numFmtId="0" fontId="100" fillId="25" borderId="29" xfId="0" applyFont="1" applyFill="1" applyBorder="1" applyAlignment="1">
      <alignment horizontal="center"/>
    </xf>
    <xf numFmtId="0" fontId="100" fillId="25" borderId="26" xfId="0" applyFont="1" applyFill="1" applyBorder="1" applyAlignment="1">
      <alignment horizontal="center"/>
    </xf>
    <xf numFmtId="0" fontId="2" fillId="25" borderId="112" xfId="0" applyFont="1" applyFill="1" applyBorder="1" applyAlignment="1">
      <alignment horizontal="center"/>
    </xf>
    <xf numFmtId="0" fontId="0" fillId="35" borderId="113" xfId="0" applyFill="1" applyBorder="1" applyAlignment="1">
      <alignment horizontal="center"/>
    </xf>
    <xf numFmtId="0" fontId="0" fillId="35" borderId="29" xfId="0" applyFill="1" applyBorder="1" applyAlignment="1">
      <alignment horizontal="center"/>
    </xf>
    <xf numFmtId="0" fontId="0" fillId="35" borderId="19" xfId="0" applyFill="1" applyBorder="1" applyAlignment="1">
      <alignment horizontal="center"/>
    </xf>
    <xf numFmtId="0" fontId="2" fillId="36" borderId="28" xfId="0" applyFont="1" applyFill="1" applyBorder="1"/>
    <xf numFmtId="0" fontId="9" fillId="25" borderId="113" xfId="0" applyFont="1" applyFill="1" applyBorder="1" applyAlignment="1" applyProtection="1">
      <alignment horizontal="center"/>
    </xf>
    <xf numFmtId="0" fontId="9" fillId="25" borderId="107" xfId="0" applyFont="1" applyFill="1" applyBorder="1" applyAlignment="1" applyProtection="1">
      <alignment horizontal="center"/>
    </xf>
    <xf numFmtId="0" fontId="9" fillId="36" borderId="29" xfId="0" applyFont="1" applyFill="1" applyBorder="1" applyAlignment="1">
      <alignment horizontal="center"/>
    </xf>
    <xf numFmtId="0" fontId="2" fillId="37" borderId="28" xfId="0" applyFont="1" applyFill="1" applyBorder="1"/>
    <xf numFmtId="167" fontId="9" fillId="36" borderId="0" xfId="0" applyNumberFormat="1" applyFont="1" applyFill="1" applyBorder="1" applyAlignment="1">
      <alignment horizontal="center"/>
    </xf>
    <xf numFmtId="9" fontId="97" fillId="25" borderId="0" xfId="32" applyFont="1" applyFill="1" applyBorder="1" applyAlignment="1">
      <alignment horizontal="center"/>
    </xf>
    <xf numFmtId="0" fontId="2" fillId="36" borderId="112" xfId="0" applyFont="1" applyFill="1" applyBorder="1"/>
    <xf numFmtId="0" fontId="0" fillId="36" borderId="112" xfId="0" applyFill="1" applyBorder="1"/>
    <xf numFmtId="0" fontId="2" fillId="37" borderId="26" xfId="0" applyFont="1" applyFill="1" applyBorder="1"/>
    <xf numFmtId="167" fontId="9" fillId="36" borderId="17" xfId="0" applyNumberFormat="1" applyFont="1" applyFill="1" applyBorder="1" applyAlignment="1" applyProtection="1">
      <alignment horizontal="center"/>
    </xf>
    <xf numFmtId="167" fontId="9" fillId="36" borderId="18" xfId="0" applyNumberFormat="1" applyFont="1" applyFill="1" applyBorder="1" applyAlignment="1" applyProtection="1">
      <alignment horizontal="center"/>
    </xf>
    <xf numFmtId="167" fontId="9" fillId="36" borderId="19" xfId="0" applyNumberFormat="1" applyFont="1" applyFill="1" applyBorder="1" applyAlignment="1" applyProtection="1">
      <alignment horizontal="center"/>
    </xf>
    <xf numFmtId="167" fontId="9" fillId="25" borderId="113" xfId="0" applyNumberFormat="1" applyFont="1" applyFill="1" applyBorder="1" applyAlignment="1" applyProtection="1">
      <alignment horizontal="center"/>
    </xf>
    <xf numFmtId="0" fontId="0" fillId="36" borderId="107" xfId="0" applyFill="1" applyBorder="1"/>
    <xf numFmtId="0" fontId="0" fillId="36" borderId="107" xfId="0" applyFill="1" applyBorder="1" applyAlignment="1">
      <alignment horizontal="center"/>
    </xf>
    <xf numFmtId="0" fontId="101" fillId="36" borderId="58" xfId="0" applyFont="1" applyFill="1" applyBorder="1" applyAlignment="1" applyProtection="1">
      <alignment horizontal="center" vertical="center"/>
      <protection locked="0"/>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36" borderId="28" xfId="0" applyFont="1" applyFill="1" applyBorder="1" applyAlignment="1">
      <alignment horizontal="center"/>
    </xf>
    <xf numFmtId="0" fontId="9" fillId="36" borderId="0" xfId="0" applyFont="1" applyFill="1" applyBorder="1" applyAlignment="1">
      <alignment horizontal="center"/>
    </xf>
    <xf numFmtId="167" fontId="9" fillId="36" borderId="14" xfId="0" applyNumberFormat="1" applyFont="1" applyFill="1" applyBorder="1" applyAlignment="1">
      <alignment horizontal="center"/>
    </xf>
    <xf numFmtId="0" fontId="0" fillId="36" borderId="12" xfId="0" applyFill="1" applyBorder="1"/>
    <xf numFmtId="173" fontId="101" fillId="36" borderId="13" xfId="0" applyNumberFormat="1" applyFont="1" applyFill="1" applyBorder="1" applyAlignment="1" applyProtection="1">
      <alignment horizontal="center" vertical="center"/>
      <protection locked="0"/>
    </xf>
    <xf numFmtId="164" fontId="82" fillId="36" borderId="44" xfId="0" applyNumberFormat="1" applyFont="1" applyFill="1" applyBorder="1" applyAlignment="1" applyProtection="1">
      <alignment horizontal="center" vertical="center"/>
    </xf>
    <xf numFmtId="0" fontId="5" fillId="35" borderId="44" xfId="0" applyFont="1" applyFill="1" applyBorder="1" applyAlignment="1" applyProtection="1">
      <alignment horizontal="center" vertical="center"/>
      <protection locked="0"/>
    </xf>
    <xf numFmtId="167" fontId="9" fillId="25" borderId="112" xfId="0" applyNumberFormat="1" applyFont="1" applyFill="1" applyBorder="1" applyAlignment="1" applyProtection="1">
      <alignment horizontal="center"/>
    </xf>
    <xf numFmtId="0" fontId="5" fillId="48" borderId="30" xfId="0" applyFont="1" applyFill="1" applyBorder="1" applyAlignment="1" applyProtection="1">
      <alignment horizontal="center" vertical="center"/>
      <protection locked="0"/>
    </xf>
    <xf numFmtId="0" fontId="9" fillId="36" borderId="0" xfId="0" applyFont="1" applyFill="1" applyAlignment="1">
      <alignment horizontal="center"/>
    </xf>
    <xf numFmtId="0" fontId="9" fillId="25" borderId="70" xfId="0" applyFont="1" applyFill="1" applyBorder="1" applyAlignment="1" applyProtection="1">
      <alignment vertical="center"/>
    </xf>
    <xf numFmtId="0" fontId="9" fillId="25" borderId="45" xfId="0" applyFont="1" applyFill="1" applyBorder="1" applyAlignment="1" applyProtection="1">
      <alignment vertical="center"/>
    </xf>
    <xf numFmtId="0" fontId="13" fillId="25" borderId="71" xfId="0" applyFont="1" applyFill="1" applyBorder="1" applyAlignment="1" applyProtection="1">
      <alignment vertical="center"/>
    </xf>
    <xf numFmtId="0" fontId="13" fillId="25" borderId="46" xfId="0" applyFont="1" applyFill="1" applyBorder="1" applyAlignment="1" applyProtection="1">
      <alignment vertic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9" fillId="25" borderId="71" xfId="0" applyFont="1" applyFill="1" applyBorder="1" applyAlignment="1" applyProtection="1">
      <alignment vertical="center" wrapText="1"/>
    </xf>
    <xf numFmtId="0" fontId="9" fillId="25" borderId="46" xfId="0" applyFont="1" applyFill="1" applyBorder="1" applyAlignment="1" applyProtection="1">
      <alignment vertical="center" wrapText="1"/>
    </xf>
    <xf numFmtId="0" fontId="9" fillId="25" borderId="55" xfId="0" applyFont="1" applyFill="1" applyBorder="1" applyAlignment="1" applyProtection="1">
      <alignment vertical="center" wrapText="1"/>
    </xf>
    <xf numFmtId="0" fontId="9" fillId="25" borderId="48" xfId="0" applyFont="1" applyFill="1" applyBorder="1" applyAlignment="1" applyProtection="1">
      <alignment vertical="center" wrapText="1"/>
    </xf>
    <xf numFmtId="0" fontId="9" fillId="25" borderId="51" xfId="0" applyFont="1" applyFill="1" applyBorder="1" applyAlignment="1" applyProtection="1">
      <alignment horizontal="center"/>
    </xf>
    <xf numFmtId="0" fontId="9" fillId="25" borderId="52" xfId="0" applyFont="1" applyFill="1" applyBorder="1" applyAlignment="1" applyProtection="1">
      <alignment horizontal="center"/>
    </xf>
    <xf numFmtId="0" fontId="9" fillId="25" borderId="40" xfId="0" applyFont="1" applyFill="1" applyBorder="1" applyAlignment="1" applyProtection="1">
      <alignment horizontal="center"/>
    </xf>
    <xf numFmtId="0" fontId="9" fillId="25" borderId="32" xfId="0" applyFont="1" applyFill="1" applyBorder="1" applyAlignment="1" applyProtection="1">
      <alignment horizontal="center"/>
    </xf>
    <xf numFmtId="0" fontId="9" fillId="25" borderId="29" xfId="0" applyFont="1" applyFill="1" applyBorder="1" applyAlignment="1" applyProtection="1">
      <alignment vertical="center"/>
    </xf>
    <xf numFmtId="0" fontId="9" fillId="29" borderId="40" xfId="0" applyFont="1" applyFill="1" applyBorder="1" applyAlignment="1" applyProtection="1">
      <alignment horizontal="center" vertical="center"/>
    </xf>
    <xf numFmtId="0" fontId="9" fillId="29" borderId="32" xfId="0" applyFont="1" applyFill="1" applyBorder="1" applyAlignment="1" applyProtection="1">
      <alignment horizontal="center" vertical="center"/>
    </xf>
    <xf numFmtId="0" fontId="9" fillId="25" borderId="38" xfId="0" applyFont="1" applyFill="1" applyBorder="1" applyAlignment="1" applyProtection="1">
      <alignment horizontal="center" vertical="center"/>
    </xf>
    <xf numFmtId="0" fontId="9" fillId="25" borderId="39" xfId="0" applyFont="1" applyFill="1" applyBorder="1" applyAlignment="1" applyProtection="1">
      <alignment horizontal="center" vertical="center"/>
    </xf>
    <xf numFmtId="0" fontId="0" fillId="37" borderId="60" xfId="0" applyFill="1" applyBorder="1" applyAlignment="1" applyProtection="1">
      <alignment horizontal="left"/>
      <protection locked="0"/>
    </xf>
    <xf numFmtId="0" fontId="2" fillId="36" borderId="28" xfId="0" applyFont="1" applyFill="1" applyBorder="1" applyAlignment="1" applyProtection="1">
      <alignment horizontal="left" vertical="center" wrapText="1"/>
      <protection locked="0"/>
    </xf>
    <xf numFmtId="0" fontId="0" fillId="36" borderId="0" xfId="0" applyFill="1" applyBorder="1" applyAlignment="1" applyProtection="1">
      <alignment horizontal="left" vertical="center"/>
      <protection locked="0"/>
    </xf>
    <xf numFmtId="0" fontId="0" fillId="36" borderId="28" xfId="0" applyFill="1" applyBorder="1" applyAlignment="1" applyProtection="1">
      <alignment horizontal="left" vertical="center"/>
      <protection locked="0"/>
    </xf>
    <xf numFmtId="0" fontId="0" fillId="36" borderId="36" xfId="0" applyFill="1" applyBorder="1" applyAlignment="1" applyProtection="1">
      <alignment horizontal="left" vertical="center"/>
      <protection locked="0"/>
    </xf>
    <xf numFmtId="0" fontId="0" fillId="36" borderId="60" xfId="0" applyFill="1" applyBorder="1" applyAlignment="1" applyProtection="1">
      <alignment horizontal="left" vertical="center"/>
      <protection locked="0"/>
    </xf>
    <xf numFmtId="0" fontId="0" fillId="36" borderId="37" xfId="0" applyFill="1" applyBorder="1" applyAlignment="1" applyProtection="1">
      <alignment horizontal="left" vertical="center"/>
      <protection locked="0"/>
    </xf>
    <xf numFmtId="0" fontId="2" fillId="36" borderId="36" xfId="0" applyFont="1" applyFill="1" applyBorder="1" applyAlignment="1" applyProtection="1">
      <alignment horizontal="left" vertical="center"/>
      <protection locked="0"/>
    </xf>
    <xf numFmtId="0" fontId="0" fillId="36" borderId="28" xfId="0" applyFill="1" applyBorder="1" applyAlignment="1" applyProtection="1">
      <alignment horizontal="left" vertical="top"/>
      <protection locked="0"/>
    </xf>
    <xf numFmtId="0" fontId="0" fillId="36" borderId="0" xfId="0" applyFill="1" applyBorder="1" applyAlignment="1" applyProtection="1">
      <alignment horizontal="left" vertical="top"/>
      <protection locked="0"/>
    </xf>
    <xf numFmtId="0" fontId="0" fillId="36" borderId="29" xfId="0" applyFill="1" applyBorder="1" applyAlignment="1" applyProtection="1">
      <alignment horizontal="left" vertical="top"/>
      <protection locked="0"/>
    </xf>
    <xf numFmtId="0" fontId="0" fillId="36" borderId="17" xfId="0" applyFill="1" applyBorder="1" applyAlignment="1" applyProtection="1">
      <alignment horizontal="left" vertical="top"/>
      <protection locked="0"/>
    </xf>
    <xf numFmtId="0" fontId="0" fillId="36" borderId="18" xfId="0" applyFill="1" applyBorder="1" applyAlignment="1" applyProtection="1">
      <alignment horizontal="left" vertical="top"/>
      <protection locked="0"/>
    </xf>
    <xf numFmtId="0" fontId="0" fillId="36" borderId="19" xfId="0" applyFill="1" applyBorder="1" applyAlignment="1" applyProtection="1">
      <alignment horizontal="left" vertical="top"/>
      <protection locked="0"/>
    </xf>
    <xf numFmtId="0" fontId="2" fillId="36" borderId="28" xfId="0" applyFont="1" applyFill="1" applyBorder="1" applyAlignment="1" applyProtection="1">
      <alignment horizontal="left" vertical="top"/>
      <protection locked="0"/>
    </xf>
    <xf numFmtId="0" fontId="13" fillId="25" borderId="55" xfId="0" applyFont="1" applyFill="1" applyBorder="1" applyAlignment="1" applyProtection="1">
      <alignment vertical="center"/>
    </xf>
    <xf numFmtId="0" fontId="13" fillId="25" borderId="48"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9" fillId="25" borderId="31" xfId="0" applyFont="1" applyFill="1" applyBorder="1" applyAlignment="1" applyProtection="1">
      <alignment vertical="center"/>
    </xf>
    <xf numFmtId="0" fontId="9" fillId="25" borderId="71" xfId="0" applyFont="1" applyFill="1" applyBorder="1" applyAlignment="1" applyProtection="1">
      <alignment vertical="center"/>
      <protection hidden="1"/>
    </xf>
    <xf numFmtId="0" fontId="9" fillId="25" borderId="46" xfId="0" applyFont="1" applyFill="1" applyBorder="1" applyAlignment="1" applyProtection="1">
      <alignment vertical="center"/>
      <protection hidden="1"/>
    </xf>
    <xf numFmtId="0" fontId="9" fillId="25" borderId="28" xfId="0" applyFont="1" applyFill="1" applyBorder="1" applyAlignment="1" applyProtection="1">
      <alignment vertical="center"/>
    </xf>
    <xf numFmtId="0" fontId="9" fillId="25" borderId="34" xfId="0" applyFont="1" applyFill="1" applyBorder="1" applyAlignment="1" applyProtection="1">
      <alignment vertical="center"/>
    </xf>
    <xf numFmtId="0" fontId="80" fillId="25" borderId="55" xfId="0" applyFont="1" applyFill="1" applyBorder="1" applyAlignment="1" applyProtection="1">
      <alignment horizontal="left" vertical="center" wrapText="1"/>
    </xf>
    <xf numFmtId="0" fontId="80" fillId="25" borderId="48" xfId="0" applyFont="1" applyFill="1" applyBorder="1" applyAlignment="1" applyProtection="1">
      <alignment horizontal="left" vertical="center" wrapText="1"/>
    </xf>
    <xf numFmtId="0" fontId="15" fillId="25" borderId="15" xfId="0" applyFont="1" applyFill="1" applyBorder="1" applyAlignment="1" applyProtection="1">
      <alignment vertical="center" wrapText="1"/>
    </xf>
    <xf numFmtId="0" fontId="15" fillId="25" borderId="79" xfId="0" applyFont="1" applyFill="1" applyBorder="1" applyAlignment="1" applyProtection="1">
      <alignment vertical="center" wrapText="1"/>
    </xf>
    <xf numFmtId="0" fontId="31" fillId="25" borderId="20" xfId="0" applyFont="1" applyFill="1" applyBorder="1" applyAlignment="1" applyProtection="1">
      <alignment horizontal="left" vertical="center" wrapText="1"/>
    </xf>
    <xf numFmtId="0" fontId="31" fillId="25" borderId="14" xfId="0" applyFont="1" applyFill="1" applyBorder="1" applyAlignment="1" applyProtection="1">
      <alignment horizontal="left" vertical="center" wrapText="1"/>
    </xf>
    <xf numFmtId="0" fontId="1" fillId="25" borderId="15" xfId="0" applyFont="1" applyFill="1" applyBorder="1" applyAlignment="1">
      <alignment horizontal="center"/>
    </xf>
    <xf numFmtId="0" fontId="1" fillId="25" borderId="10" xfId="0" applyFont="1" applyFill="1" applyBorder="1" applyAlignment="1">
      <alignment horizontal="center"/>
    </xf>
    <xf numFmtId="0" fontId="1" fillId="25" borderId="11" xfId="0" applyFont="1" applyFill="1" applyBorder="1" applyAlignment="1">
      <alignment horizontal="center"/>
    </xf>
    <xf numFmtId="0" fontId="78" fillId="25" borderId="28" xfId="0" applyFont="1" applyFill="1" applyBorder="1" applyAlignment="1">
      <alignment horizontal="center"/>
    </xf>
    <xf numFmtId="0" fontId="78" fillId="25" borderId="29" xfId="0" applyFont="1" applyFill="1" applyBorder="1" applyAlignment="1">
      <alignment horizontal="center"/>
    </xf>
    <xf numFmtId="0" fontId="4" fillId="25" borderId="28" xfId="0" applyFont="1" applyFill="1" applyBorder="1" applyAlignment="1">
      <alignment horizontal="center"/>
    </xf>
    <xf numFmtId="0" fontId="4" fillId="25" borderId="0" xfId="0" applyFont="1" applyFill="1" applyBorder="1" applyAlignment="1">
      <alignment horizontal="center"/>
    </xf>
    <xf numFmtId="0" fontId="4" fillId="25" borderId="29" xfId="0" applyFont="1" applyFill="1" applyBorder="1" applyAlignment="1">
      <alignment horizontal="center"/>
    </xf>
    <xf numFmtId="0" fontId="79" fillId="25" borderId="17" xfId="0" applyFont="1" applyFill="1" applyBorder="1" applyAlignment="1">
      <alignment horizontal="center"/>
    </xf>
    <xf numFmtId="0" fontId="79" fillId="25" borderId="18" xfId="0" applyFont="1" applyFill="1" applyBorder="1" applyAlignment="1">
      <alignment horizontal="center"/>
    </xf>
    <xf numFmtId="0" fontId="79" fillId="25" borderId="19" xfId="0" applyFont="1" applyFill="1" applyBorder="1" applyAlignment="1">
      <alignment horizontal="center"/>
    </xf>
    <xf numFmtId="0" fontId="39" fillId="25" borderId="38" xfId="0" applyFont="1" applyFill="1" applyBorder="1" applyAlignment="1" applyProtection="1">
      <alignment horizontal="left" vertical="center" wrapText="1"/>
    </xf>
    <xf numFmtId="0" fontId="0" fillId="0" borderId="45" xfId="0" applyBorder="1" applyAlignment="1">
      <alignment horizontal="left" vertical="center"/>
    </xf>
    <xf numFmtId="0" fontId="5" fillId="35" borderId="61" xfId="0" applyFont="1" applyFill="1" applyBorder="1" applyAlignment="1" applyProtection="1">
      <alignment horizontal="center"/>
      <protection locked="0"/>
    </xf>
    <xf numFmtId="0" fontId="5" fillId="35" borderId="39" xfId="0" applyFont="1" applyFill="1" applyBorder="1" applyAlignment="1" applyProtection="1">
      <alignment horizontal="center"/>
      <protection locked="0"/>
    </xf>
    <xf numFmtId="1" fontId="5" fillId="35" borderId="47" xfId="0" applyNumberFormat="1" applyFont="1" applyFill="1" applyBorder="1" applyAlignment="1" applyProtection="1">
      <alignment horizontal="center"/>
      <protection locked="0"/>
    </xf>
    <xf numFmtId="1" fontId="5" fillId="35" borderId="52" xfId="0" applyNumberFormat="1" applyFont="1" applyFill="1" applyBorder="1" applyAlignment="1" applyProtection="1">
      <alignment horizontal="center"/>
      <protection locked="0"/>
    </xf>
    <xf numFmtId="0" fontId="10" fillId="35" borderId="61" xfId="0" applyFont="1" applyFill="1" applyBorder="1" applyAlignment="1" applyProtection="1">
      <alignment horizontal="left"/>
      <protection locked="0"/>
    </xf>
    <xf numFmtId="0" fontId="10" fillId="35" borderId="47" xfId="0" applyFont="1" applyFill="1" applyBorder="1" applyAlignment="1" applyProtection="1">
      <protection locked="0"/>
    </xf>
    <xf numFmtId="0" fontId="9" fillId="43" borderId="61" xfId="0" applyFont="1" applyFill="1" applyBorder="1" applyAlignment="1" applyProtection="1">
      <alignment horizontal="left" vertical="center"/>
      <protection locked="0"/>
    </xf>
    <xf numFmtId="0" fontId="9" fillId="43" borderId="39" xfId="0" applyFont="1" applyFill="1" applyBorder="1" applyAlignment="1" applyProtection="1">
      <alignment horizontal="left" vertical="center"/>
      <protection locked="0"/>
    </xf>
    <xf numFmtId="0" fontId="9" fillId="43" borderId="18" xfId="0" applyFont="1" applyFill="1" applyBorder="1" applyAlignment="1" applyProtection="1">
      <alignment horizontal="left" vertical="center"/>
      <protection locked="0"/>
    </xf>
    <xf numFmtId="0" fontId="9" fillId="43" borderId="19" xfId="0" applyFont="1" applyFill="1" applyBorder="1" applyAlignment="1" applyProtection="1">
      <alignment horizontal="left" vertical="center"/>
      <protection locked="0"/>
    </xf>
    <xf numFmtId="0" fontId="9" fillId="43" borderId="18" xfId="0" applyFont="1" applyFill="1" applyBorder="1" applyAlignment="1" applyProtection="1">
      <alignment vertical="center"/>
      <protection locked="0"/>
    </xf>
    <xf numFmtId="0" fontId="9" fillId="25" borderId="55" xfId="0" applyFont="1" applyFill="1" applyBorder="1" applyAlignment="1" applyProtection="1">
      <alignment vertical="center"/>
    </xf>
    <xf numFmtId="0" fontId="9" fillId="25" borderId="48" xfId="0" applyFont="1" applyFill="1" applyBorder="1" applyAlignment="1" applyProtection="1">
      <alignment vertical="center"/>
    </xf>
    <xf numFmtId="0" fontId="13" fillId="25" borderId="20" xfId="0" applyFont="1" applyFill="1" applyBorder="1" applyAlignment="1" applyProtection="1">
      <alignment vertical="center"/>
    </xf>
    <xf numFmtId="0" fontId="13" fillId="25" borderId="66" xfId="0" applyFont="1" applyFill="1" applyBorder="1" applyAlignment="1" applyProtection="1">
      <alignment vertical="center"/>
    </xf>
    <xf numFmtId="0" fontId="0" fillId="36" borderId="29" xfId="0" applyFill="1" applyBorder="1" applyAlignment="1" applyProtection="1">
      <alignment horizontal="left" vertical="center"/>
      <protection locked="0"/>
    </xf>
    <xf numFmtId="0" fontId="9" fillId="25" borderId="17" xfId="0" applyFont="1" applyFill="1" applyBorder="1" applyAlignment="1" applyProtection="1">
      <alignment horizontal="left" vertical="center"/>
    </xf>
    <xf numFmtId="0" fontId="9" fillId="25" borderId="18" xfId="0" applyFont="1" applyFill="1" applyBorder="1" applyAlignment="1" applyProtection="1">
      <alignment horizontal="left" vertical="center"/>
    </xf>
    <xf numFmtId="0" fontId="5" fillId="25" borderId="40" xfId="0" applyFont="1" applyFill="1" applyBorder="1" applyAlignment="1" applyProtection="1">
      <alignment horizontal="center" vertical="center"/>
    </xf>
    <xf numFmtId="0" fontId="5" fillId="25" borderId="32" xfId="0" applyFont="1" applyFill="1" applyBorder="1" applyAlignment="1" applyProtection="1">
      <alignment horizontal="center" vertical="center"/>
    </xf>
    <xf numFmtId="0" fontId="9" fillId="25" borderId="40"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9" fillId="25" borderId="51" xfId="0" applyFont="1" applyFill="1" applyBorder="1" applyAlignment="1" applyProtection="1">
      <alignment horizontal="left" vertical="center"/>
    </xf>
    <xf numFmtId="0" fontId="9" fillId="25" borderId="47" xfId="0" applyFont="1" applyFill="1" applyBorder="1" applyAlignment="1" applyProtection="1">
      <alignment horizontal="left" vertical="center"/>
    </xf>
    <xf numFmtId="0" fontId="9" fillId="25" borderId="48" xfId="0" applyFont="1" applyFill="1" applyBorder="1" applyAlignment="1" applyProtection="1">
      <alignment horizontal="left" vertical="center"/>
    </xf>
    <xf numFmtId="0" fontId="5" fillId="25" borderId="40" xfId="0" applyFont="1" applyFill="1" applyBorder="1" applyAlignment="1" applyProtection="1">
      <alignment horizontal="center" vertical="center" wrapText="1"/>
      <protection locked="0"/>
    </xf>
    <xf numFmtId="0" fontId="5" fillId="25" borderId="32" xfId="0" applyFont="1" applyFill="1" applyBorder="1" applyAlignment="1" applyProtection="1">
      <alignment horizontal="center" vertical="center" wrapText="1"/>
      <protection locked="0"/>
    </xf>
    <xf numFmtId="0" fontId="5" fillId="25" borderId="40" xfId="0" applyFont="1" applyFill="1" applyBorder="1" applyAlignment="1" applyProtection="1">
      <alignment horizontal="left" vertical="center" wrapText="1"/>
    </xf>
    <xf numFmtId="0" fontId="5" fillId="25" borderId="31" xfId="0" applyFont="1" applyFill="1" applyBorder="1" applyAlignment="1" applyProtection="1">
      <alignment horizontal="left" vertical="center" wrapText="1"/>
    </xf>
    <xf numFmtId="0" fontId="5" fillId="25" borderId="46" xfId="0" applyFont="1" applyFill="1" applyBorder="1" applyAlignment="1" applyProtection="1">
      <alignment horizontal="left" vertical="center" wrapText="1"/>
    </xf>
    <xf numFmtId="0" fontId="107" fillId="25" borderId="0" xfId="0" applyFont="1" applyFill="1" applyBorder="1" applyProtection="1"/>
    <xf numFmtId="0" fontId="10" fillId="36" borderId="31" xfId="0" applyFont="1" applyFill="1" applyBorder="1" applyAlignment="1" applyProtection="1">
      <protection locked="0"/>
    </xf>
    <xf numFmtId="1" fontId="5" fillId="36" borderId="31" xfId="0" applyNumberFormat="1" applyFont="1" applyFill="1" applyBorder="1" applyAlignment="1" applyProtection="1">
      <alignment horizontal="center"/>
      <protection locked="0"/>
    </xf>
    <xf numFmtId="1" fontId="5" fillId="36" borderId="32" xfId="0" applyNumberFormat="1" applyFont="1" applyFill="1" applyBorder="1" applyAlignment="1" applyProtection="1">
      <alignment horizontal="center"/>
      <protection locked="0"/>
    </xf>
    <xf numFmtId="0" fontId="0" fillId="0" borderId="61" xfId="0" applyBorder="1" applyAlignment="1">
      <alignment horizontal="left" vertical="center"/>
    </xf>
    <xf numFmtId="0" fontId="107" fillId="25" borderId="0" xfId="0" applyFont="1" applyFill="1" applyProtection="1"/>
    <xf numFmtId="0" fontId="107" fillId="25" borderId="18" xfId="0" applyFont="1" applyFill="1" applyBorder="1" applyProtection="1"/>
    <xf numFmtId="0" fontId="15" fillId="25" borderId="20" xfId="0" applyFont="1" applyFill="1" applyBorder="1" applyAlignment="1" applyProtection="1">
      <alignment vertical="center"/>
    </xf>
    <xf numFmtId="0" fontId="15" fillId="25" borderId="14" xfId="0" applyFont="1" applyFill="1" applyBorder="1" applyAlignment="1" applyProtection="1">
      <alignment vertical="center"/>
    </xf>
    <xf numFmtId="0" fontId="9" fillId="25" borderId="71" xfId="0" quotePrefix="1" applyFont="1" applyFill="1" applyBorder="1" applyAlignment="1" applyProtection="1">
      <alignment vertical="center" wrapText="1"/>
    </xf>
    <xf numFmtId="0" fontId="9" fillId="25" borderId="17" xfId="0" applyFont="1" applyFill="1" applyBorder="1" applyAlignment="1" applyProtection="1">
      <alignment vertical="center"/>
    </xf>
    <xf numFmtId="0" fontId="9" fillId="25" borderId="68" xfId="0" applyFont="1" applyFill="1" applyBorder="1" applyAlignment="1" applyProtection="1">
      <alignment vertical="center"/>
    </xf>
    <xf numFmtId="0" fontId="10" fillId="36" borderId="61" xfId="0" applyFont="1" applyFill="1" applyBorder="1" applyAlignment="1" applyProtection="1">
      <alignment horizontal="left"/>
      <protection locked="0"/>
    </xf>
    <xf numFmtId="0" fontId="5" fillId="36" borderId="61" xfId="0" applyFont="1" applyFill="1" applyBorder="1" applyAlignment="1" applyProtection="1">
      <alignment horizontal="center"/>
      <protection locked="0"/>
    </xf>
    <xf numFmtId="0" fontId="5" fillId="36" borderId="39" xfId="0" applyFont="1" applyFill="1" applyBorder="1" applyAlignment="1" applyProtection="1">
      <alignment horizontal="center"/>
      <protection locked="0"/>
    </xf>
    <xf numFmtId="9" fontId="5" fillId="25" borderId="14" xfId="32" applyFont="1" applyFill="1" applyBorder="1" applyAlignment="1" applyProtection="1">
      <alignment horizontal="center" vertical="center"/>
    </xf>
    <xf numFmtId="9" fontId="5" fillId="25" borderId="22" xfId="32" applyFont="1" applyFill="1" applyBorder="1" applyAlignment="1" applyProtection="1">
      <alignment horizontal="center" vertical="center"/>
    </xf>
    <xf numFmtId="0" fontId="5" fillId="25" borderId="38" xfId="0" applyFont="1" applyFill="1" applyBorder="1" applyAlignment="1" applyProtection="1">
      <alignment horizontal="center" vertical="center"/>
    </xf>
    <xf numFmtId="0" fontId="5" fillId="25" borderId="39" xfId="0" applyFont="1" applyFill="1" applyBorder="1" applyAlignment="1" applyProtection="1">
      <alignment horizontal="center" vertical="center"/>
    </xf>
    <xf numFmtId="0" fontId="5" fillId="25" borderId="51" xfId="0" applyFont="1" applyFill="1" applyBorder="1" applyAlignment="1" applyProtection="1">
      <alignment horizontal="center" vertical="center"/>
    </xf>
    <xf numFmtId="0" fontId="5" fillId="25" borderId="52" xfId="0" applyFont="1" applyFill="1" applyBorder="1" applyAlignment="1" applyProtection="1">
      <alignment horizontal="center" vertical="center"/>
    </xf>
    <xf numFmtId="0" fontId="9" fillId="25" borderId="38"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5" fillId="25" borderId="51" xfId="0" applyFont="1" applyFill="1" applyBorder="1" applyAlignment="1" applyProtection="1">
      <alignment horizontal="center" vertical="center" wrapText="1"/>
    </xf>
    <xf numFmtId="0" fontId="5" fillId="25" borderId="52" xfId="0" applyFont="1" applyFill="1" applyBorder="1" applyAlignment="1" applyProtection="1">
      <alignment horizontal="center" vertical="center" wrapText="1"/>
    </xf>
    <xf numFmtId="0" fontId="5" fillId="25" borderId="36" xfId="0" applyFont="1" applyFill="1" applyBorder="1" applyAlignment="1" applyProtection="1">
      <alignment vertical="center"/>
    </xf>
    <xf numFmtId="0" fontId="5" fillId="25" borderId="69" xfId="0" applyFont="1" applyFill="1" applyBorder="1" applyAlignment="1" applyProtection="1">
      <alignment vertical="center"/>
    </xf>
    <xf numFmtId="0" fontId="5" fillId="25" borderId="71" xfId="0" applyFont="1" applyFill="1" applyBorder="1" applyAlignment="1" applyProtection="1">
      <alignment vertical="center" wrapText="1"/>
    </xf>
    <xf numFmtId="0" fontId="5" fillId="25" borderId="46" xfId="0" applyFont="1" applyFill="1" applyBorder="1" applyAlignment="1" applyProtection="1">
      <alignment vertical="center" wrapText="1"/>
    </xf>
    <xf numFmtId="0" fontId="9" fillId="25" borderId="36" xfId="0" applyFont="1" applyFill="1" applyBorder="1" applyAlignment="1" applyProtection="1">
      <alignment vertical="center"/>
    </xf>
    <xf numFmtId="0" fontId="9" fillId="25" borderId="69" xfId="0" applyFont="1" applyFill="1" applyBorder="1" applyAlignment="1" applyProtection="1">
      <alignment vertical="center"/>
    </xf>
    <xf numFmtId="0" fontId="10" fillId="25" borderId="72" xfId="0" applyFont="1" applyFill="1" applyBorder="1" applyAlignment="1" applyProtection="1">
      <alignment horizontal="center" vertical="center"/>
    </xf>
    <xf numFmtId="0" fontId="10" fillId="25" borderId="14" xfId="0" applyFont="1" applyFill="1" applyBorder="1" applyAlignment="1" applyProtection="1">
      <alignment horizontal="center" vertical="center"/>
    </xf>
    <xf numFmtId="0" fontId="10" fillId="25" borderId="22" xfId="0" applyFont="1" applyFill="1" applyBorder="1" applyAlignment="1" applyProtection="1">
      <alignment horizontal="center" vertical="center"/>
    </xf>
    <xf numFmtId="0" fontId="10" fillId="25" borderId="51" xfId="0" applyFont="1" applyFill="1" applyBorder="1" applyAlignment="1" applyProtection="1">
      <alignment horizontal="center" vertical="center"/>
    </xf>
    <xf numFmtId="0" fontId="10" fillId="25" borderId="47" xfId="0" applyFont="1" applyFill="1" applyBorder="1" applyAlignment="1" applyProtection="1">
      <alignment horizontal="center" vertical="center"/>
    </xf>
    <xf numFmtId="0" fontId="10" fillId="25" borderId="52" xfId="0" applyFont="1" applyFill="1" applyBorder="1" applyAlignment="1" applyProtection="1">
      <alignment horizontal="center" vertical="center"/>
    </xf>
    <xf numFmtId="2" fontId="84" fillId="36" borderId="15" xfId="0" applyNumberFormat="1" applyFont="1" applyFill="1" applyBorder="1" applyAlignment="1">
      <alignment horizontal="center" wrapText="1"/>
    </xf>
    <xf numFmtId="2" fontId="84" fillId="36" borderId="95" xfId="0" applyNumberFormat="1" applyFont="1" applyFill="1" applyBorder="1" applyAlignment="1">
      <alignment horizontal="center" wrapText="1"/>
    </xf>
    <xf numFmtId="0" fontId="84" fillId="36" borderId="15" xfId="0" applyFont="1" applyFill="1" applyBorder="1" applyAlignment="1">
      <alignment horizontal="center" wrapText="1"/>
    </xf>
    <xf numFmtId="0" fontId="84" fillId="36" borderId="79" xfId="0" applyFont="1" applyFill="1" applyBorder="1" applyAlignment="1">
      <alignment horizontal="center" wrapText="1"/>
    </xf>
    <xf numFmtId="0" fontId="84" fillId="36" borderId="95" xfId="0" applyFont="1" applyFill="1" applyBorder="1" applyAlignment="1">
      <alignment horizontal="center" wrapText="1"/>
    </xf>
    <xf numFmtId="0" fontId="1" fillId="25" borderId="15" xfId="0" applyFont="1" applyFill="1" applyBorder="1" applyProtection="1"/>
    <xf numFmtId="0" fontId="1" fillId="25" borderId="79" xfId="0" applyFont="1" applyFill="1" applyBorder="1" applyProtection="1"/>
    <xf numFmtId="0" fontId="1" fillId="25" borderId="95" xfId="0" applyFont="1" applyFill="1" applyBorder="1" applyProtection="1"/>
    <xf numFmtId="0" fontId="9" fillId="25" borderId="55" xfId="0" applyFont="1" applyFill="1" applyBorder="1" applyProtection="1"/>
    <xf numFmtId="0" fontId="9" fillId="25" borderId="47" xfId="0" applyFont="1" applyFill="1" applyBorder="1" applyProtection="1"/>
    <xf numFmtId="0" fontId="9" fillId="25" borderId="48" xfId="0" applyFont="1" applyFill="1" applyBorder="1" applyProtection="1"/>
    <xf numFmtId="0" fontId="80" fillId="36" borderId="20" xfId="0" applyFont="1" applyFill="1" applyBorder="1" applyAlignment="1">
      <alignment vertical="center" wrapText="1"/>
    </xf>
    <xf numFmtId="0" fontId="80" fillId="36" borderId="14" xfId="0" applyFont="1" applyFill="1" applyBorder="1" applyAlignment="1">
      <alignment vertical="center" wrapText="1"/>
    </xf>
    <xf numFmtId="0" fontId="80" fillId="36" borderId="66" xfId="0" applyFont="1" applyFill="1" applyBorder="1" applyAlignment="1">
      <alignment vertical="center" wrapText="1"/>
    </xf>
    <xf numFmtId="171" fontId="80" fillId="37" borderId="14" xfId="32" applyNumberFormat="1" applyFont="1" applyFill="1" applyBorder="1" applyAlignment="1" applyProtection="1">
      <alignment horizontal="center" vertical="center"/>
      <protection locked="0"/>
    </xf>
    <xf numFmtId="171" fontId="80" fillId="37" borderId="22" xfId="32" applyNumberFormat="1" applyFont="1" applyFill="1" applyBorder="1" applyAlignment="1" applyProtection="1">
      <alignment horizontal="center" vertical="center"/>
      <protection locked="0"/>
    </xf>
    <xf numFmtId="0" fontId="84" fillId="36" borderId="0" xfId="0" applyFont="1" applyFill="1" applyBorder="1" applyAlignment="1">
      <alignment horizontal="center"/>
    </xf>
    <xf numFmtId="0" fontId="84" fillId="36" borderId="29" xfId="0" applyFont="1" applyFill="1" applyBorder="1" applyAlignment="1">
      <alignment horizontal="center"/>
    </xf>
    <xf numFmtId="171" fontId="9" fillId="37" borderId="72" xfId="0" applyNumberFormat="1" applyFont="1" applyFill="1" applyBorder="1" applyAlignment="1" applyProtection="1">
      <alignment horizontal="center" vertical="center"/>
      <protection locked="0"/>
    </xf>
    <xf numFmtId="171" fontId="9" fillId="37" borderId="22" xfId="0" applyNumberFormat="1" applyFont="1" applyFill="1" applyBorder="1" applyAlignment="1" applyProtection="1">
      <alignment horizontal="center" vertical="center"/>
      <protection locked="0"/>
    </xf>
    <xf numFmtId="0" fontId="13" fillId="25" borderId="68" xfId="0" applyFont="1" applyFill="1" applyBorder="1" applyAlignment="1" applyProtection="1">
      <alignment vertical="center"/>
    </xf>
    <xf numFmtId="0" fontId="5" fillId="25" borderId="71" xfId="0" applyFont="1" applyFill="1" applyBorder="1" applyAlignment="1" applyProtection="1">
      <alignment vertical="center" wrapText="1"/>
      <protection hidden="1"/>
    </xf>
    <xf numFmtId="0" fontId="5" fillId="25" borderId="46" xfId="0" applyFont="1" applyFill="1" applyBorder="1" applyAlignment="1" applyProtection="1">
      <alignment vertical="center" wrapText="1"/>
      <protection hidden="1"/>
    </xf>
    <xf numFmtId="0" fontId="53" fillId="25" borderId="29" xfId="0" applyFont="1" applyFill="1" applyBorder="1" applyAlignment="1">
      <alignment horizontal="center" vertical="center"/>
    </xf>
    <xf numFmtId="0" fontId="5" fillId="25" borderId="15" xfId="0" applyFont="1" applyFill="1" applyBorder="1" applyAlignment="1">
      <alignment horizontal="left" vertical="center" wrapText="1"/>
    </xf>
    <xf numFmtId="0" fontId="5" fillId="25" borderId="79" xfId="0" applyFont="1" applyFill="1" applyBorder="1" applyAlignment="1">
      <alignment horizontal="left" vertical="center" wrapText="1"/>
    </xf>
    <xf numFmtId="0" fontId="5" fillId="25" borderId="11" xfId="0" applyFont="1" applyFill="1" applyBorder="1" applyAlignment="1">
      <alignment horizontal="left" vertical="center" wrapText="1"/>
    </xf>
    <xf numFmtId="0" fontId="10" fillId="25" borderId="15" xfId="0" applyFont="1" applyFill="1" applyBorder="1" applyAlignment="1" applyProtection="1">
      <alignment horizontal="left" vertical="center"/>
    </xf>
    <xf numFmtId="0" fontId="10" fillId="25" borderId="79" xfId="0" applyFont="1" applyFill="1" applyBorder="1" applyAlignment="1" applyProtection="1">
      <alignment horizontal="left" vertical="center"/>
    </xf>
    <xf numFmtId="0" fontId="10" fillId="25" borderId="11" xfId="0" applyFont="1" applyFill="1" applyBorder="1" applyAlignment="1" applyProtection="1">
      <alignment horizontal="left" vertical="center"/>
    </xf>
    <xf numFmtId="0" fontId="24" fillId="25" borderId="28" xfId="0" applyFont="1" applyFill="1" applyBorder="1" applyAlignment="1" applyProtection="1">
      <alignment horizontal="left" vertical="center"/>
    </xf>
    <xf numFmtId="0" fontId="24" fillId="25" borderId="0" xfId="0" applyFont="1" applyFill="1" applyBorder="1" applyAlignment="1" applyProtection="1">
      <alignment horizontal="left" vertical="center"/>
    </xf>
    <xf numFmtId="0" fontId="24" fillId="25" borderId="29" xfId="0" applyFont="1" applyFill="1" applyBorder="1" applyAlignment="1" applyProtection="1">
      <alignment horizontal="left" vertical="center"/>
    </xf>
    <xf numFmtId="0" fontId="10" fillId="25" borderId="17" xfId="0" applyFont="1" applyFill="1" applyBorder="1" applyAlignment="1" applyProtection="1">
      <alignment horizontal="left" vertical="center" wrapText="1"/>
    </xf>
    <xf numFmtId="0" fontId="10" fillId="25" borderId="18" xfId="0" applyFont="1" applyFill="1" applyBorder="1" applyAlignment="1" applyProtection="1">
      <alignment horizontal="left" vertical="center" wrapText="1"/>
    </xf>
    <xf numFmtId="0" fontId="10" fillId="25" borderId="19" xfId="0" applyFont="1" applyFill="1" applyBorder="1" applyAlignment="1" applyProtection="1">
      <alignment horizontal="left" vertical="center" wrapText="1"/>
    </xf>
    <xf numFmtId="0" fontId="5" fillId="25" borderId="0" xfId="0" applyFont="1" applyFill="1" applyBorder="1" applyAlignment="1">
      <alignment horizontal="left" vertical="center" wrapText="1"/>
    </xf>
    <xf numFmtId="0" fontId="10" fillId="25" borderId="18" xfId="0" applyFont="1" applyFill="1" applyBorder="1" applyAlignment="1">
      <alignment horizontal="left" vertical="top" wrapText="1"/>
    </xf>
    <xf numFmtId="0" fontId="5" fillId="25" borderId="71" xfId="0" applyFont="1" applyFill="1" applyBorder="1" applyAlignment="1">
      <alignment horizontal="left" vertical="center" wrapText="1"/>
    </xf>
    <xf numFmtId="0" fontId="5" fillId="25" borderId="31" xfId="0" applyFont="1" applyFill="1" applyBorder="1" applyAlignment="1">
      <alignment horizontal="left" vertical="center" wrapText="1"/>
    </xf>
    <xf numFmtId="0" fontId="5" fillId="25" borderId="28" xfId="0" quotePrefix="1" applyFont="1" applyFill="1" applyBorder="1" applyAlignment="1">
      <alignment horizontal="left" vertical="center" wrapText="1"/>
    </xf>
    <xf numFmtId="0" fontId="5" fillId="25" borderId="0" xfId="0" quotePrefix="1" applyFont="1" applyFill="1" applyBorder="1" applyAlignment="1">
      <alignment horizontal="left" vertical="center" wrapText="1"/>
    </xf>
    <xf numFmtId="0" fontId="5" fillId="25" borderId="29" xfId="0" quotePrefix="1" applyFont="1" applyFill="1" applyBorder="1" applyAlignment="1">
      <alignment horizontal="left" vertical="center" wrapText="1"/>
    </xf>
    <xf numFmtId="0" fontId="5" fillId="25" borderId="29" xfId="0" applyFont="1" applyFill="1" applyBorder="1" applyAlignment="1">
      <alignment horizontal="left" vertical="center" wrapText="1"/>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5" fillId="25" borderId="17" xfId="0" quotePrefix="1" applyFont="1" applyFill="1" applyBorder="1" applyAlignment="1">
      <alignment horizontal="left" vertical="center"/>
    </xf>
    <xf numFmtId="0" fontId="5" fillId="25" borderId="18" xfId="0" quotePrefix="1" applyFont="1" applyFill="1" applyBorder="1" applyAlignment="1">
      <alignment horizontal="left" vertical="center"/>
    </xf>
    <xf numFmtId="0" fontId="5" fillId="25" borderId="19" xfId="0" quotePrefix="1" applyFont="1" applyFill="1" applyBorder="1" applyAlignment="1">
      <alignment horizontal="left" vertical="center"/>
    </xf>
    <xf numFmtId="0" fontId="5" fillId="25" borderId="78" xfId="0" applyFont="1" applyFill="1" applyBorder="1" applyAlignment="1">
      <alignment horizontal="left" vertical="center" wrapText="1"/>
    </xf>
    <xf numFmtId="0" fontId="5" fillId="25" borderId="53" xfId="0" applyFont="1" applyFill="1" applyBorder="1" applyAlignment="1">
      <alignment horizontal="left" vertical="center" wrapText="1"/>
    </xf>
    <xf numFmtId="0" fontId="5" fillId="25" borderId="86" xfId="0" applyFont="1" applyFill="1" applyBorder="1" applyAlignment="1">
      <alignment horizontal="left" vertical="center" wrapText="1"/>
    </xf>
    <xf numFmtId="0" fontId="5" fillId="25" borderId="57" xfId="0" applyFont="1" applyFill="1" applyBorder="1" applyAlignment="1" applyProtection="1">
      <alignment horizontal="center" vertical="center" wrapText="1"/>
      <protection locked="0"/>
    </xf>
    <xf numFmtId="0" fontId="0" fillId="0" borderId="58" xfId="0" applyBorder="1" applyAlignment="1" applyProtection="1">
      <protection locked="0"/>
    </xf>
    <xf numFmtId="0" fontId="5" fillId="25" borderId="87" xfId="0" applyFont="1" applyFill="1" applyBorder="1" applyAlignment="1" applyProtection="1">
      <alignment horizontal="center" vertical="center" wrapText="1"/>
      <protection locked="0"/>
    </xf>
    <xf numFmtId="0" fontId="0" fillId="0" borderId="90" xfId="0" applyBorder="1" applyAlignment="1" applyProtection="1">
      <protection locked="0"/>
    </xf>
    <xf numFmtId="0" fontId="5" fillId="24" borderId="17" xfId="0" applyFont="1" applyFill="1" applyBorder="1" applyAlignment="1" applyProtection="1">
      <alignment horizontal="left" vertical="top" wrapText="1"/>
      <protection locked="0"/>
    </xf>
    <xf numFmtId="0" fontId="5" fillId="24" borderId="18" xfId="0" applyFont="1" applyFill="1" applyBorder="1" applyAlignment="1" applyProtection="1">
      <alignment horizontal="left" vertical="top" wrapText="1"/>
      <protection locked="0"/>
    </xf>
    <xf numFmtId="0" fontId="5" fillId="25" borderId="36" xfId="0" applyFont="1" applyFill="1" applyBorder="1" applyAlignment="1">
      <alignment horizontal="left" vertical="center" wrapText="1"/>
    </xf>
    <xf numFmtId="0" fontId="5" fillId="25" borderId="60" xfId="0" applyFont="1" applyFill="1" applyBorder="1" applyAlignment="1">
      <alignment horizontal="left" vertical="center" wrapText="1"/>
    </xf>
    <xf numFmtId="0" fontId="5" fillId="25" borderId="69" xfId="0" applyFont="1" applyFill="1" applyBorder="1" applyAlignment="1">
      <alignment horizontal="left" vertical="center" wrapText="1"/>
    </xf>
    <xf numFmtId="0" fontId="5" fillId="25" borderId="46" xfId="0" applyFont="1" applyFill="1" applyBorder="1" applyAlignment="1">
      <alignment horizontal="left" vertical="center" wrapText="1"/>
    </xf>
    <xf numFmtId="0" fontId="9" fillId="25" borderId="40" xfId="0" applyFont="1" applyFill="1" applyBorder="1" applyAlignment="1">
      <alignment horizontal="left" vertical="center" wrapText="1"/>
    </xf>
    <xf numFmtId="0" fontId="9" fillId="25" borderId="31" xfId="0" applyFont="1" applyFill="1" applyBorder="1" applyAlignment="1">
      <alignment horizontal="left" vertical="center" wrapText="1"/>
    </xf>
    <xf numFmtId="0" fontId="9" fillId="25" borderId="71" xfId="0" applyFont="1" applyFill="1" applyBorder="1" applyAlignment="1">
      <alignment horizontal="left" vertical="center" wrapText="1"/>
    </xf>
    <xf numFmtId="0" fontId="9" fillId="25" borderId="36" xfId="0" applyFont="1" applyFill="1" applyBorder="1" applyAlignment="1">
      <alignment horizontal="left" vertical="center" wrapText="1"/>
    </xf>
    <xf numFmtId="0" fontId="9" fillId="25" borderId="60" xfId="0" applyFont="1" applyFill="1" applyBorder="1" applyAlignment="1">
      <alignment horizontal="left" vertical="center" wrapText="1"/>
    </xf>
    <xf numFmtId="0" fontId="9" fillId="25" borderId="17" xfId="0" applyFont="1" applyFill="1" applyBorder="1" applyAlignment="1">
      <alignment horizontal="left" vertical="center" wrapText="1"/>
    </xf>
    <xf numFmtId="0" fontId="9" fillId="25" borderId="18" xfId="0" applyFont="1" applyFill="1" applyBorder="1" applyAlignment="1">
      <alignment horizontal="left" vertical="center" wrapText="1"/>
    </xf>
    <xf numFmtId="0" fontId="34" fillId="25" borderId="20" xfId="0" applyFont="1" applyFill="1" applyBorder="1" applyAlignment="1">
      <alignment horizontal="left" vertical="center" wrapText="1"/>
    </xf>
    <xf numFmtId="0" fontId="34" fillId="25" borderId="14" xfId="0" applyFont="1" applyFill="1" applyBorder="1" applyAlignment="1">
      <alignment horizontal="left" vertical="center" wrapText="1"/>
    </xf>
    <xf numFmtId="0" fontId="34" fillId="25" borderId="22" xfId="0" applyFont="1" applyFill="1" applyBorder="1" applyAlignment="1">
      <alignment horizontal="left" vertical="center" wrapText="1"/>
    </xf>
    <xf numFmtId="0" fontId="9" fillId="25" borderId="72" xfId="0" applyFont="1" applyFill="1" applyBorder="1" applyAlignment="1">
      <alignment horizontal="right" vertical="center" wrapText="1"/>
    </xf>
    <xf numFmtId="0" fontId="9" fillId="25" borderId="14" xfId="0" applyFont="1" applyFill="1" applyBorder="1" applyAlignment="1">
      <alignment horizontal="right" vertical="center" wrapText="1"/>
    </xf>
    <xf numFmtId="0" fontId="9" fillId="25" borderId="66" xfId="0" applyFont="1" applyFill="1" applyBorder="1" applyAlignment="1">
      <alignment horizontal="right" vertical="center" wrapText="1"/>
    </xf>
    <xf numFmtId="0" fontId="5" fillId="25" borderId="63" xfId="0" applyFont="1" applyFill="1" applyBorder="1" applyAlignment="1">
      <alignment horizontal="left" vertical="center" wrapText="1"/>
    </xf>
    <xf numFmtId="0" fontId="5" fillId="25" borderId="40" xfId="0" applyFont="1" applyFill="1" applyBorder="1" applyAlignment="1">
      <alignment horizontal="left" vertical="center" wrapText="1"/>
    </xf>
    <xf numFmtId="0" fontId="9" fillId="25" borderId="55" xfId="0" applyFont="1" applyFill="1" applyBorder="1" applyAlignment="1">
      <alignment horizontal="left" vertical="center" wrapText="1"/>
    </xf>
    <xf numFmtId="0" fontId="9" fillId="25" borderId="47" xfId="0" applyFont="1" applyFill="1" applyBorder="1" applyAlignment="1">
      <alignment horizontal="left" vertical="center" wrapText="1"/>
    </xf>
    <xf numFmtId="0" fontId="24" fillId="25" borderId="20" xfId="0" applyFont="1" applyFill="1" applyBorder="1" applyAlignment="1">
      <alignment horizontal="left" vertical="center" wrapText="1"/>
    </xf>
    <xf numFmtId="0" fontId="24" fillId="25" borderId="14" xfId="0" applyFont="1" applyFill="1" applyBorder="1" applyAlignment="1">
      <alignment horizontal="left" vertical="center" wrapText="1"/>
    </xf>
    <xf numFmtId="0" fontId="24" fillId="25" borderId="66" xfId="0" applyFont="1" applyFill="1" applyBorder="1" applyAlignment="1">
      <alignment horizontal="left" vertical="center" wrapText="1"/>
    </xf>
    <xf numFmtId="0" fontId="5" fillId="24" borderId="19" xfId="0" applyFont="1" applyFill="1" applyBorder="1" applyAlignment="1" applyProtection="1">
      <alignment horizontal="left" vertical="top" wrapText="1"/>
      <protection locked="0"/>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0" fillId="29" borderId="36" xfId="0" applyFill="1" applyBorder="1" applyAlignment="1" applyProtection="1">
      <alignment horizontal="left"/>
      <protection locked="0"/>
    </xf>
    <xf numFmtId="0" fontId="0" fillId="29" borderId="60" xfId="0" applyFill="1" applyBorder="1" applyAlignment="1" applyProtection="1">
      <alignment horizontal="left"/>
      <protection locked="0"/>
    </xf>
    <xf numFmtId="0" fontId="95" fillId="43" borderId="20" xfId="0" applyFont="1" applyFill="1" applyBorder="1" applyProtection="1">
      <protection locked="0"/>
    </xf>
    <xf numFmtId="0" fontId="95" fillId="43" borderId="14" xfId="0" applyFont="1" applyFill="1" applyBorder="1" applyProtection="1">
      <protection locked="0"/>
    </xf>
    <xf numFmtId="0" fontId="95" fillId="43" borderId="22" xfId="0" applyFont="1" applyFill="1" applyBorder="1" applyProtection="1">
      <protection locked="0"/>
    </xf>
    <xf numFmtId="0" fontId="10" fillId="37" borderId="20" xfId="0" applyFont="1" applyFill="1" applyBorder="1" applyAlignment="1" applyProtection="1">
      <alignment horizontal="left"/>
      <protection locked="0"/>
    </xf>
    <xf numFmtId="0" fontId="10" fillId="37" borderId="14" xfId="0" applyFont="1" applyFill="1" applyBorder="1" applyAlignment="1" applyProtection="1">
      <alignment horizontal="left"/>
      <protection locked="0"/>
    </xf>
    <xf numFmtId="0" fontId="96" fillId="25" borderId="14" xfId="0" applyFont="1" applyFill="1" applyBorder="1" applyAlignment="1" applyProtection="1">
      <alignment horizontal="right" vertical="center"/>
    </xf>
    <xf numFmtId="0" fontId="84" fillId="36" borderId="70" xfId="0" applyFont="1" applyFill="1" applyBorder="1"/>
    <xf numFmtId="0" fontId="84" fillId="36" borderId="61" xfId="0" applyFont="1" applyFill="1" applyBorder="1"/>
    <xf numFmtId="0" fontId="84" fillId="36" borderId="71" xfId="0" applyFont="1" applyFill="1" applyBorder="1"/>
    <xf numFmtId="0" fontId="84" fillId="36" borderId="31" xfId="0" applyFont="1" applyFill="1" applyBorder="1"/>
    <xf numFmtId="0" fontId="5" fillId="25" borderId="42" xfId="0" applyFont="1" applyFill="1" applyBorder="1" applyAlignment="1" applyProtection="1">
      <alignment horizontal="center" wrapText="1"/>
    </xf>
    <xf numFmtId="0" fontId="5" fillId="25" borderId="44" xfId="0" applyFont="1" applyFill="1" applyBorder="1" applyAlignment="1" applyProtection="1">
      <alignment horizontal="center" wrapText="1"/>
    </xf>
    <xf numFmtId="0" fontId="5" fillId="25" borderId="49" xfId="0" applyFont="1" applyFill="1" applyBorder="1" applyAlignment="1" applyProtection="1">
      <alignment horizontal="center" wrapText="1"/>
    </xf>
    <xf numFmtId="0" fontId="5" fillId="25" borderId="50" xfId="0" applyFont="1" applyFill="1" applyBorder="1" applyAlignment="1" applyProtection="1">
      <alignment horizontal="center" wrapText="1"/>
    </xf>
    <xf numFmtId="173" fontId="88" fillId="36" borderId="73" xfId="0" applyNumberFormat="1" applyFont="1" applyFill="1" applyBorder="1" applyAlignment="1">
      <alignment horizontal="center" vertical="center" wrapText="1"/>
    </xf>
    <xf numFmtId="173" fontId="88" fillId="36" borderId="75" xfId="0" applyNumberFormat="1" applyFont="1" applyFill="1" applyBorder="1" applyAlignment="1">
      <alignment horizontal="center" vertical="center" wrapText="1"/>
    </xf>
    <xf numFmtId="173" fontId="88" fillId="36" borderId="41" xfId="0" applyNumberFormat="1" applyFont="1" applyFill="1" applyBorder="1" applyAlignment="1">
      <alignment horizontal="center" vertical="center" wrapText="1"/>
    </xf>
    <xf numFmtId="0" fontId="10" fillId="25" borderId="72" xfId="0" applyFont="1" applyFill="1" applyBorder="1" applyAlignment="1" applyProtection="1">
      <alignment horizontal="center"/>
    </xf>
    <xf numFmtId="0" fontId="10" fillId="25" borderId="14" xfId="0" applyFont="1" applyFill="1" applyBorder="1" applyAlignment="1" applyProtection="1">
      <alignment horizontal="center"/>
    </xf>
    <xf numFmtId="0" fontId="54" fillId="0" borderId="17" xfId="0" applyFont="1" applyBorder="1" applyAlignment="1" applyProtection="1">
      <alignment vertical="center"/>
      <protection locked="0"/>
    </xf>
    <xf numFmtId="0" fontId="54" fillId="0" borderId="18" xfId="0" applyFont="1" applyBorder="1" applyAlignment="1" applyProtection="1">
      <alignment vertical="center"/>
      <protection locked="0"/>
    </xf>
    <xf numFmtId="0" fontId="13" fillId="37" borderId="61" xfId="0" applyFont="1" applyFill="1" applyBorder="1" applyProtection="1">
      <protection locked="0"/>
    </xf>
    <xf numFmtId="0" fontId="13" fillId="37" borderId="39" xfId="0" applyFont="1" applyFill="1" applyBorder="1" applyProtection="1">
      <protection locked="0"/>
    </xf>
    <xf numFmtId="0" fontId="80" fillId="25" borderId="20" xfId="0" applyFont="1" applyFill="1" applyBorder="1" applyAlignment="1" applyProtection="1">
      <alignment vertical="center"/>
    </xf>
    <xf numFmtId="0" fontId="80" fillId="25" borderId="14" xfId="0" applyFont="1" applyFill="1" applyBorder="1" applyAlignment="1" applyProtection="1">
      <alignment vertical="center"/>
    </xf>
    <xf numFmtId="0" fontId="80" fillId="25" borderId="66" xfId="0" applyFont="1" applyFill="1" applyBorder="1" applyAlignment="1" applyProtection="1">
      <alignment vertical="center"/>
    </xf>
    <xf numFmtId="0" fontId="78" fillId="25" borderId="0" xfId="0" applyFont="1" applyFill="1" applyBorder="1" applyAlignment="1">
      <alignment horizontal="center"/>
    </xf>
    <xf numFmtId="173" fontId="86" fillId="36" borderId="75" xfId="0" applyNumberFormat="1" applyFont="1" applyFill="1" applyBorder="1" applyAlignment="1">
      <alignment horizontal="center" wrapText="1"/>
    </xf>
    <xf numFmtId="173" fontId="86" fillId="36" borderId="41" xfId="0" applyNumberFormat="1" applyFont="1" applyFill="1" applyBorder="1" applyAlignment="1">
      <alignment horizontal="center" wrapText="1"/>
    </xf>
    <xf numFmtId="0" fontId="83" fillId="36" borderId="17" xfId="0" applyFont="1" applyFill="1" applyBorder="1"/>
    <xf numFmtId="0" fontId="83" fillId="36" borderId="18" xfId="0" applyFont="1" applyFill="1" applyBorder="1"/>
    <xf numFmtId="0" fontId="81" fillId="36" borderId="20" xfId="0" applyFont="1" applyFill="1" applyBorder="1" applyAlignment="1">
      <alignment horizontal="center"/>
    </xf>
    <xf numFmtId="0" fontId="81" fillId="36" borderId="14" xfId="0" applyFont="1" applyFill="1" applyBorder="1" applyAlignment="1">
      <alignment horizontal="center"/>
    </xf>
    <xf numFmtId="0" fontId="81" fillId="36" borderId="22" xfId="0" applyFont="1" applyFill="1" applyBorder="1" applyAlignment="1">
      <alignment horizontal="center"/>
    </xf>
    <xf numFmtId="0" fontId="81" fillId="36" borderId="20" xfId="0" applyFont="1" applyFill="1" applyBorder="1" applyAlignment="1">
      <alignment horizontal="center" wrapText="1"/>
    </xf>
    <xf numFmtId="0" fontId="81" fillId="36" borderId="22" xfId="0" applyFont="1" applyFill="1" applyBorder="1" applyAlignment="1">
      <alignment horizontal="center" wrapText="1"/>
    </xf>
    <xf numFmtId="173" fontId="86" fillId="36" borderId="29" xfId="0" applyNumberFormat="1" applyFont="1" applyFill="1" applyBorder="1" applyAlignment="1">
      <alignment horizontal="center" wrapText="1"/>
    </xf>
    <xf numFmtId="173" fontId="86" fillId="36" borderId="19" xfId="0" applyNumberFormat="1" applyFont="1" applyFill="1" applyBorder="1" applyAlignment="1">
      <alignment horizontal="center" wrapText="1"/>
    </xf>
    <xf numFmtId="0" fontId="83" fillId="36" borderId="20" xfId="0" applyFont="1" applyFill="1" applyBorder="1"/>
    <xf numFmtId="0" fontId="83" fillId="36" borderId="14" xfId="0" applyFont="1" applyFill="1" applyBorder="1"/>
    <xf numFmtId="0" fontId="83" fillId="36" borderId="22" xfId="0" applyFont="1" applyFill="1" applyBorder="1"/>
    <xf numFmtId="0" fontId="77" fillId="36" borderId="15" xfId="0" applyFont="1" applyFill="1" applyBorder="1" applyAlignment="1">
      <alignment horizontal="center"/>
    </xf>
    <xf numFmtId="0" fontId="77" fillId="36" borderId="79"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167" fontId="77" fillId="36" borderId="15" xfId="0" applyNumberFormat="1" applyFont="1" applyFill="1" applyBorder="1" applyAlignment="1">
      <alignment horizontal="center"/>
    </xf>
    <xf numFmtId="167" fontId="77" fillId="36" borderId="11" xfId="0" applyNumberFormat="1" applyFont="1" applyFill="1" applyBorder="1" applyAlignment="1">
      <alignment horizontal="center"/>
    </xf>
    <xf numFmtId="22" fontId="16" fillId="25" borderId="0" xfId="0" applyNumberFormat="1" applyFont="1" applyFill="1" applyAlignment="1" applyProtection="1">
      <alignment horizontal="left"/>
    </xf>
    <xf numFmtId="0" fontId="9" fillId="25" borderId="17" xfId="0" applyFont="1" applyFill="1" applyBorder="1" applyAlignment="1">
      <alignment horizontal="left" vertical="center"/>
    </xf>
    <xf numFmtId="0" fontId="9" fillId="25" borderId="18" xfId="0" applyFont="1" applyFill="1" applyBorder="1" applyAlignment="1">
      <alignment horizontal="left" vertical="center"/>
    </xf>
    <xf numFmtId="0" fontId="9" fillId="25" borderId="19" xfId="0" applyFont="1" applyFill="1" applyBorder="1" applyAlignment="1">
      <alignment horizontal="left" vertical="center"/>
    </xf>
    <xf numFmtId="0" fontId="40" fillId="25" borderId="14" xfId="0" applyFont="1" applyFill="1" applyBorder="1" applyAlignment="1" applyProtection="1">
      <alignment horizontal="center"/>
    </xf>
    <xf numFmtId="0" fontId="5" fillId="25" borderId="50" xfId="0" applyFont="1" applyFill="1" applyBorder="1" applyAlignment="1">
      <alignment horizontal="center"/>
    </xf>
    <xf numFmtId="0" fontId="5" fillId="25" borderId="42" xfId="0" applyFont="1" applyFill="1" applyBorder="1" applyAlignment="1">
      <alignment horizontal="center"/>
    </xf>
    <xf numFmtId="0" fontId="0" fillId="29" borderId="78" xfId="0" applyFill="1" applyBorder="1" applyAlignment="1" applyProtection="1">
      <alignment horizontal="left" vertical="center"/>
      <protection locked="0"/>
    </xf>
    <xf numFmtId="0" fontId="0" fillId="29" borderId="53" xfId="0" applyFill="1" applyBorder="1" applyAlignment="1" applyProtection="1">
      <alignment horizontal="left" vertical="center"/>
      <protection locked="0"/>
    </xf>
    <xf numFmtId="0" fontId="0" fillId="29" borderId="5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8" xfId="0" applyFill="1" applyBorder="1" applyAlignment="1" applyProtection="1">
      <alignment horizontal="left" vertical="center"/>
      <protection locked="0"/>
    </xf>
    <xf numFmtId="0" fontId="0" fillId="29" borderId="19" xfId="0" applyFill="1" applyBorder="1" applyAlignment="1" applyProtection="1">
      <alignment horizontal="left" vertical="center"/>
      <protection locked="0"/>
    </xf>
    <xf numFmtId="0" fontId="0" fillId="29" borderId="28" xfId="0" applyFill="1" applyBorder="1" applyAlignment="1" applyProtection="1">
      <alignment horizontal="left"/>
      <protection locked="0"/>
    </xf>
    <xf numFmtId="0" fontId="0" fillId="29" borderId="0" xfId="0" applyFill="1" applyBorder="1" applyAlignment="1" applyProtection="1">
      <alignment horizontal="left"/>
      <protection locked="0"/>
    </xf>
    <xf numFmtId="0" fontId="0" fillId="29" borderId="29" xfId="0" applyFill="1" applyBorder="1" applyAlignment="1" applyProtection="1">
      <alignment horizontal="left"/>
      <protection locked="0"/>
    </xf>
    <xf numFmtId="0" fontId="0" fillId="29" borderId="37" xfId="0" applyFill="1" applyBorder="1" applyAlignment="1" applyProtection="1">
      <alignment horizontal="left"/>
      <protection locked="0"/>
    </xf>
    <xf numFmtId="0" fontId="9" fillId="25" borderId="61" xfId="0" applyFont="1" applyFill="1" applyBorder="1" applyAlignment="1">
      <alignment vertical="center"/>
    </xf>
    <xf numFmtId="0" fontId="13" fillId="37" borderId="47" xfId="0" applyFont="1" applyFill="1" applyBorder="1" applyProtection="1">
      <protection locked="0"/>
    </xf>
    <xf numFmtId="0" fontId="13" fillId="37" borderId="52" xfId="0" applyFont="1" applyFill="1" applyBorder="1" applyProtection="1">
      <protection locked="0"/>
    </xf>
    <xf numFmtId="0" fontId="9" fillId="25" borderId="18" xfId="0" applyFont="1" applyFill="1" applyBorder="1" applyAlignment="1" applyProtection="1">
      <alignment horizontal="left" vertical="center"/>
      <protection locked="0"/>
    </xf>
    <xf numFmtId="0" fontId="9" fillId="25" borderId="19" xfId="0" applyFont="1" applyFill="1" applyBorder="1" applyAlignment="1" applyProtection="1">
      <alignment horizontal="left" vertical="center"/>
      <protection locked="0"/>
    </xf>
    <xf numFmtId="0" fontId="9" fillId="25" borderId="28" xfId="0" applyFont="1" applyFill="1" applyBorder="1" applyAlignment="1">
      <alignment horizontal="left" vertical="center"/>
    </xf>
    <xf numFmtId="0" fontId="9" fillId="25" borderId="0" xfId="0" applyFont="1" applyFill="1" applyBorder="1" applyAlignment="1">
      <alignment horizontal="left" vertical="center"/>
    </xf>
    <xf numFmtId="0" fontId="9" fillId="25" borderId="29" xfId="0" applyFont="1" applyFill="1" applyBorder="1" applyAlignment="1">
      <alignment horizontal="left" vertical="center"/>
    </xf>
    <xf numFmtId="0" fontId="10" fillId="25" borderId="66" xfId="0" applyFont="1" applyFill="1" applyBorder="1" applyAlignment="1" applyProtection="1">
      <alignment horizontal="center"/>
    </xf>
    <xf numFmtId="0" fontId="24" fillId="25" borderId="28" xfId="0" applyFont="1" applyFill="1" applyBorder="1" applyAlignment="1" applyProtection="1">
      <alignment horizontal="left" vertical="center" wrapText="1"/>
    </xf>
    <xf numFmtId="0" fontId="24" fillId="25" borderId="0" xfId="0" applyFont="1" applyFill="1" applyBorder="1" applyAlignment="1" applyProtection="1">
      <alignment horizontal="left" vertical="center" wrapText="1"/>
    </xf>
    <xf numFmtId="171" fontId="9" fillId="25" borderId="56" xfId="32" applyNumberFormat="1" applyFont="1" applyFill="1" applyBorder="1" applyAlignment="1" applyProtection="1">
      <alignment horizontal="center" vertical="center"/>
    </xf>
    <xf numFmtId="171" fontId="9" fillId="25" borderId="86" xfId="32" applyNumberFormat="1" applyFont="1" applyFill="1" applyBorder="1" applyAlignment="1" applyProtection="1">
      <alignment horizontal="center" vertical="center"/>
    </xf>
    <xf numFmtId="167" fontId="9" fillId="25" borderId="51" xfId="0" applyNumberFormat="1" applyFont="1" applyFill="1" applyBorder="1" applyAlignment="1" applyProtection="1">
      <alignment horizontal="center" vertical="center"/>
    </xf>
    <xf numFmtId="167" fontId="9" fillId="25" borderId="48" xfId="0" applyNumberFormat="1" applyFont="1" applyFill="1" applyBorder="1" applyAlignment="1" applyProtection="1">
      <alignment horizontal="center" vertical="center"/>
    </xf>
    <xf numFmtId="0" fontId="9" fillId="25" borderId="71" xfId="0" applyFont="1" applyFill="1" applyBorder="1" applyAlignment="1" applyProtection="1">
      <alignment horizontal="left" vertical="center" wrapText="1"/>
    </xf>
    <xf numFmtId="0" fontId="9" fillId="25" borderId="31" xfId="0" applyFont="1" applyFill="1" applyBorder="1" applyAlignment="1" applyProtection="1">
      <alignment horizontal="left" vertical="center" wrapText="1"/>
    </xf>
    <xf numFmtId="0" fontId="9" fillId="25" borderId="17" xfId="0" applyFont="1" applyFill="1" applyBorder="1" applyAlignment="1" applyProtection="1">
      <alignment horizontal="left" vertical="center" wrapText="1"/>
    </xf>
    <xf numFmtId="0" fontId="9" fillId="25" borderId="18" xfId="0" applyFont="1" applyFill="1" applyBorder="1" applyAlignment="1" applyProtection="1">
      <alignment horizontal="left" vertical="center" wrapText="1"/>
    </xf>
    <xf numFmtId="0" fontId="10" fillId="25" borderId="67" xfId="0" applyFont="1" applyFill="1" applyBorder="1" applyAlignment="1" applyProtection="1">
      <alignment horizontal="center" vertical="center"/>
    </xf>
    <xf numFmtId="0" fontId="10" fillId="25" borderId="68" xfId="0" applyFont="1" applyFill="1" applyBorder="1" applyAlignment="1" applyProtection="1">
      <alignment horizontal="center" vertical="center"/>
    </xf>
    <xf numFmtId="167" fontId="9" fillId="25" borderId="38" xfId="0" applyNumberFormat="1" applyFont="1" applyFill="1" applyBorder="1" applyAlignment="1" applyProtection="1">
      <alignment horizontal="center" vertical="center"/>
    </xf>
    <xf numFmtId="167" fontId="9" fillId="25" borderId="45" xfId="0" applyNumberFormat="1" applyFont="1" applyFill="1" applyBorder="1" applyAlignment="1" applyProtection="1">
      <alignment horizontal="center" vertical="center"/>
    </xf>
    <xf numFmtId="167" fontId="9" fillId="25" borderId="56" xfId="0" applyNumberFormat="1" applyFont="1" applyFill="1" applyBorder="1" applyAlignment="1" applyProtection="1">
      <alignment horizontal="center" vertical="center"/>
    </xf>
    <xf numFmtId="167" fontId="9" fillId="25" borderId="86" xfId="0" applyNumberFormat="1" applyFont="1" applyFill="1" applyBorder="1" applyAlignment="1" applyProtection="1">
      <alignment horizontal="center" vertical="center"/>
    </xf>
    <xf numFmtId="167" fontId="9" fillId="25" borderId="67" xfId="0" applyNumberFormat="1" applyFont="1" applyFill="1" applyBorder="1" applyAlignment="1" applyProtection="1">
      <alignment horizontal="center" vertical="center"/>
    </xf>
    <xf numFmtId="167" fontId="9" fillId="25" borderId="68" xfId="0" applyNumberFormat="1" applyFont="1" applyFill="1" applyBorder="1" applyAlignment="1" applyProtection="1">
      <alignment horizontal="center" vertical="center"/>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25" borderId="40" xfId="0" applyNumberFormat="1" applyFont="1" applyFill="1" applyBorder="1" applyAlignment="1" applyProtection="1">
      <alignment horizontal="center" vertical="center"/>
    </xf>
    <xf numFmtId="2" fontId="9" fillId="25" borderId="46" xfId="0" applyNumberFormat="1" applyFont="1" applyFill="1" applyBorder="1" applyAlignment="1" applyProtection="1">
      <alignment horizontal="center" vertical="center"/>
    </xf>
    <xf numFmtId="0" fontId="1" fillId="25" borderId="15" xfId="0" applyFont="1" applyFill="1" applyBorder="1" applyAlignment="1" applyProtection="1">
      <alignment horizontal="center"/>
    </xf>
    <xf numFmtId="0" fontId="1" fillId="25" borderId="79" xfId="0" applyFont="1" applyFill="1" applyBorder="1" applyAlignment="1" applyProtection="1">
      <alignment horizontal="center"/>
    </xf>
    <xf numFmtId="0" fontId="1" fillId="25" borderId="11" xfId="0" applyFont="1" applyFill="1" applyBorder="1" applyAlignment="1" applyProtection="1">
      <alignment horizontal="center"/>
    </xf>
    <xf numFmtId="0" fontId="4" fillId="25" borderId="28" xfId="0" applyFont="1" applyFill="1" applyBorder="1" applyAlignment="1" applyProtection="1">
      <alignment horizontal="center"/>
    </xf>
    <xf numFmtId="0" fontId="4" fillId="25" borderId="0" xfId="0" applyFont="1" applyFill="1" applyBorder="1" applyAlignment="1" applyProtection="1">
      <alignment horizontal="center"/>
    </xf>
    <xf numFmtId="0" fontId="4" fillId="25" borderId="29" xfId="0" applyFont="1" applyFill="1" applyBorder="1" applyAlignment="1" applyProtection="1">
      <alignment horizontal="center"/>
    </xf>
    <xf numFmtId="0" fontId="5" fillId="37" borderId="18" xfId="0" applyFont="1" applyFill="1" applyBorder="1" applyAlignment="1" applyProtection="1">
      <alignment horizontal="center" vertical="center"/>
    </xf>
    <xf numFmtId="0" fontId="5" fillId="43" borderId="18" xfId="0" applyFont="1" applyFill="1" applyBorder="1" applyAlignment="1" applyProtection="1">
      <alignment horizontal="center" vertical="center"/>
    </xf>
    <xf numFmtId="0" fontId="9" fillId="36" borderId="47" xfId="0" applyFont="1" applyFill="1" applyBorder="1" applyAlignment="1" applyProtection="1">
      <alignment horizontal="left"/>
    </xf>
    <xf numFmtId="0" fontId="9" fillId="36" borderId="52" xfId="0" applyFont="1" applyFill="1" applyBorder="1" applyAlignment="1" applyProtection="1">
      <alignment horizontal="left"/>
    </xf>
    <xf numFmtId="0" fontId="10" fillId="36" borderId="61" xfId="0" applyFont="1" applyFill="1" applyBorder="1" applyAlignment="1" applyProtection="1">
      <alignment wrapText="1"/>
    </xf>
    <xf numFmtId="0" fontId="0" fillId="25" borderId="28" xfId="0" applyFill="1" applyBorder="1" applyAlignment="1">
      <alignment horizontal="center"/>
    </xf>
    <xf numFmtId="0" fontId="0" fillId="25" borderId="29" xfId="0" applyFill="1" applyBorder="1" applyAlignment="1">
      <alignment horizontal="center"/>
    </xf>
    <xf numFmtId="0" fontId="7" fillId="27" borderId="20" xfId="0" applyFont="1" applyFill="1" applyBorder="1" applyAlignment="1">
      <alignment horizontal="left"/>
    </xf>
    <xf numFmtId="0" fontId="7" fillId="27" borderId="11" xfId="0" applyFont="1" applyFill="1" applyBorder="1" applyAlignment="1">
      <alignment horizontal="left"/>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25" borderId="17" xfId="0" applyFont="1" applyFill="1" applyBorder="1" applyAlignment="1" applyProtection="1">
      <alignment horizontal="center"/>
    </xf>
    <xf numFmtId="0" fontId="9" fillId="25" borderId="19" xfId="0" applyFont="1" applyFill="1" applyBorder="1" applyAlignment="1" applyProtection="1">
      <alignment horizontal="center"/>
    </xf>
    <xf numFmtId="0" fontId="9" fillId="25" borderId="0" xfId="0" applyFont="1" applyFill="1" applyAlignment="1" applyProtection="1">
      <alignment horizontal="center"/>
    </xf>
    <xf numFmtId="0" fontId="89" fillId="41" borderId="15" xfId="0" applyFont="1" applyFill="1" applyBorder="1" applyAlignment="1">
      <alignment horizontal="center"/>
    </xf>
    <xf numFmtId="0" fontId="89" fillId="41" borderId="10" xfId="0" applyFont="1" applyFill="1" applyBorder="1" applyAlignment="1">
      <alignment horizontal="center"/>
    </xf>
    <xf numFmtId="0" fontId="89" fillId="41" borderId="11" xfId="0" applyFont="1" applyFill="1" applyBorder="1" applyAlignment="1">
      <alignment horizontal="center"/>
    </xf>
    <xf numFmtId="0" fontId="7" fillId="26" borderId="49" xfId="0" applyFont="1" applyFill="1" applyBorder="1" applyAlignment="1">
      <alignment horizontal="center"/>
    </xf>
    <xf numFmtId="0" fontId="7" fillId="26" borderId="11" xfId="0" applyFont="1"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27" fillId="26" borderId="15" xfId="0" applyFont="1" applyFill="1" applyBorder="1" applyAlignment="1" applyProtection="1">
      <alignment horizontal="center"/>
    </xf>
    <xf numFmtId="0" fontId="27" fillId="26" borderId="11" xfId="0" applyFont="1" applyFill="1" applyBorder="1" applyAlignment="1" applyProtection="1">
      <alignment horizontal="center"/>
    </xf>
    <xf numFmtId="0" fontId="7" fillId="27" borderId="0" xfId="0" applyFont="1" applyFill="1" applyBorder="1" applyAlignment="1"/>
    <xf numFmtId="0" fontId="7" fillId="0" borderId="29" xfId="0" applyFont="1" applyBorder="1" applyAlignment="1"/>
    <xf numFmtId="0" fontId="7" fillId="26" borderId="28" xfId="0" applyFont="1" applyFill="1" applyBorder="1" applyAlignment="1">
      <alignment horizontal="center"/>
    </xf>
    <xf numFmtId="0" fontId="7" fillId="26" borderId="29" xfId="0" applyFont="1" applyFill="1" applyBorder="1" applyAlignment="1">
      <alignment horizontal="center"/>
    </xf>
    <xf numFmtId="0" fontId="20" fillId="0" borderId="0" xfId="0" applyFont="1" applyFill="1" applyBorder="1" applyAlignment="1">
      <alignment horizontal="center"/>
    </xf>
    <xf numFmtId="0" fontId="90" fillId="41" borderId="18" xfId="0" applyFont="1" applyFill="1" applyBorder="1" applyAlignment="1">
      <alignment horizontal="center"/>
    </xf>
    <xf numFmtId="0" fontId="90" fillId="41" borderId="19" xfId="0" applyFont="1" applyFill="1" applyBorder="1" applyAlignment="1">
      <alignment horizontal="center"/>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95" xfId="0" applyFont="1" applyFill="1" applyBorder="1" applyAlignment="1">
      <alignment horizontal="center"/>
    </xf>
    <xf numFmtId="0" fontId="90" fillId="41" borderId="17" xfId="0" applyFon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cellXfs>
  <cellStyles count="56">
    <cellStyle name="20% - Colore 1" xfId="1"/>
    <cellStyle name="20% - Colore 2" xfId="2"/>
    <cellStyle name="20% - Colore 3" xfId="3"/>
    <cellStyle name="20% - Colore 4" xfId="4"/>
    <cellStyle name="20% - Colore 5" xfId="5"/>
    <cellStyle name="20% - Colore 6" xfId="6"/>
    <cellStyle name="40% - Colore 1" xfId="7"/>
    <cellStyle name="40% - Colore 2" xfId="8"/>
    <cellStyle name="40% - Colore 3" xfId="9"/>
    <cellStyle name="40% - Colore 4" xfId="10"/>
    <cellStyle name="40% - Colore 5" xfId="11"/>
    <cellStyle name="40% - Colore 6" xfId="12"/>
    <cellStyle name="60% - Colore 1" xfId="13"/>
    <cellStyle name="60% - Colore 2" xfId="14"/>
    <cellStyle name="60% - Colore 3" xfId="15"/>
    <cellStyle name="60% - Colore 4" xfId="16"/>
    <cellStyle name="60% - Colore 5" xfId="17"/>
    <cellStyle name="60% - Colore 6" xfId="18"/>
    <cellStyle name="Calcolo" xfId="19"/>
    <cellStyle name="Calcolo 2" xfId="50"/>
    <cellStyle name="Cella collegata" xfId="20"/>
    <cellStyle name="Cella da controllare" xfId="21"/>
    <cellStyle name="Colore 1" xfId="22"/>
    <cellStyle name="Colore 2" xfId="23"/>
    <cellStyle name="Colore 3" xfId="24"/>
    <cellStyle name="Colore 4" xfId="25"/>
    <cellStyle name="Colore 5" xfId="26"/>
    <cellStyle name="Colore 6" xfId="27"/>
    <cellStyle name="Heading" xfId="46"/>
    <cellStyle name="Heading1" xfId="47"/>
    <cellStyle name="Input" xfId="28"/>
    <cellStyle name="Input 2" xfId="51"/>
    <cellStyle name="Komma" xfId="44" builtinId="3"/>
    <cellStyle name="Komma 2" xfId="55"/>
    <cellStyle name="Neutrale" xfId="29"/>
    <cellStyle name="Nota" xfId="30"/>
    <cellStyle name="Nota 2" xfId="52"/>
    <cellStyle name="Output" xfId="31"/>
    <cellStyle name="Output 2" xfId="53"/>
    <cellStyle name="Prozent" xfId="32" builtinId="5"/>
    <cellStyle name="Result" xfId="48"/>
    <cellStyle name="Result2" xfId="49"/>
    <cellStyle name="Standard" xfId="0" builtinId="0"/>
    <cellStyle name="Standard 2" xfId="45"/>
    <cellStyle name="Standard_Entwurf Erläuterungen.XLT" xfId="33"/>
    <cellStyle name="Testo avviso" xfId="34"/>
    <cellStyle name="Testo descrittivo" xfId="35"/>
    <cellStyle name="Titolo" xfId="36"/>
    <cellStyle name="Titolo 1" xfId="37"/>
    <cellStyle name="Titolo 2" xfId="38"/>
    <cellStyle name="Titolo 3" xfId="39"/>
    <cellStyle name="Titolo 4" xfId="40"/>
    <cellStyle name="Totale" xfId="41"/>
    <cellStyle name="Totale 2" xfId="54"/>
    <cellStyle name="Valore non valido" xfId="42"/>
    <cellStyle name="Valore valido" xfId="43"/>
  </cellStyles>
  <dxfs count="351">
    <dxf>
      <font>
        <color theme="0"/>
      </font>
    </dxf>
    <dxf>
      <fill>
        <patternFill>
          <bgColor rgb="FFCCFF99"/>
        </patternFill>
      </fill>
    </dxf>
    <dxf>
      <font>
        <color rgb="FFC00000"/>
      </font>
      <fill>
        <patternFill>
          <bgColor rgb="FFFFCCCC"/>
        </patternFill>
      </fill>
    </dxf>
    <dxf>
      <font>
        <color theme="0"/>
      </font>
      <fill>
        <patternFill patternType="solid">
          <fgColor theme="0"/>
          <bgColor theme="0"/>
        </patternFill>
      </fill>
      <border>
        <left/>
        <right/>
        <top style="thin">
          <color auto="1"/>
        </top>
        <bottom style="thin">
          <color auto="1"/>
        </bottom>
        <vertical/>
        <horizontal/>
      </border>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patternType="solid">
          <bgColor rgb="FFFFCCCC"/>
        </patternFill>
      </fill>
    </dxf>
    <dxf>
      <border>
        <bottom style="hair">
          <color auto="1"/>
        </bottom>
        <vertical/>
        <horizontal/>
      </border>
    </dxf>
    <dxf>
      <border>
        <bottom style="thin">
          <color auto="1"/>
        </bottom>
        <vertical/>
        <horizontal/>
      </border>
    </dxf>
    <dxf>
      <font>
        <color theme="0"/>
      </font>
      <fill>
        <patternFill>
          <bgColor theme="0"/>
        </patternFill>
      </fill>
      <border>
        <left/>
        <right/>
        <top style="hair">
          <color auto="1"/>
        </top>
        <bottom style="thin">
          <color auto="1"/>
        </bottom>
        <vertical/>
        <horizontal/>
      </border>
    </dxf>
    <dxf>
      <font>
        <color theme="0"/>
      </font>
    </dxf>
    <dxf>
      <fill>
        <patternFill>
          <bgColor indexed="13"/>
        </patternFill>
      </fill>
    </dxf>
    <dxf>
      <fill>
        <patternFill>
          <bgColor indexed="13"/>
        </patternFill>
      </fill>
    </dxf>
    <dxf>
      <font>
        <color theme="0"/>
      </font>
    </dxf>
    <dxf>
      <font>
        <color theme="0"/>
      </font>
    </dxf>
    <dxf>
      <font>
        <color theme="0"/>
      </font>
    </dxf>
    <dxf>
      <font>
        <color theme="0"/>
      </font>
    </dxf>
    <dxf>
      <font>
        <color theme="1"/>
      </font>
      <fill>
        <patternFill>
          <bgColor rgb="FFFFFF00"/>
        </patternFill>
      </fill>
      <border>
        <left/>
        <right style="thin">
          <color auto="1"/>
        </right>
        <top style="thin">
          <color auto="1"/>
        </top>
        <bottom style="hair">
          <color auto="1"/>
        </bottom>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border>
        <left/>
        <right/>
        <top style="thin">
          <color auto="1"/>
        </top>
        <bottom style="thin">
          <color auto="1"/>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rgb="FF9C0006"/>
      </font>
      <fill>
        <patternFill>
          <bgColor rgb="FFFFC7CE"/>
        </patternFill>
      </fill>
    </dxf>
    <dxf>
      <font>
        <color theme="0"/>
      </font>
      <fill>
        <patternFill>
          <bgColor theme="0"/>
        </patternFill>
      </fill>
      <border>
        <left/>
        <right/>
        <top/>
        <bottom/>
        <vertical/>
        <horizontal/>
      </border>
    </dxf>
    <dxf>
      <border>
        <top style="thin">
          <color auto="1"/>
        </top>
        <vertical/>
        <horizontal/>
      </border>
    </dxf>
    <dxf>
      <font>
        <color rgb="FF9C0006"/>
      </font>
      <fill>
        <patternFill>
          <bgColor rgb="FFFFC7CE"/>
        </patternFill>
      </fill>
    </dxf>
    <dxf>
      <font>
        <color auto="1"/>
      </font>
      <fill>
        <patternFill>
          <bgColor rgb="FFCCFF99"/>
        </patternFill>
      </fill>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ill>
        <patternFill>
          <bgColor theme="0"/>
        </patternFill>
      </fill>
    </dxf>
    <dxf>
      <font>
        <color rgb="FFFF0000"/>
      </font>
      <fill>
        <patternFill>
          <bgColor theme="5" tint="0.59996337778862885"/>
        </patternFill>
      </fill>
    </dxf>
    <dxf>
      <font>
        <color theme="0"/>
      </font>
      <fill>
        <patternFill>
          <bgColor theme="0"/>
        </patternFill>
      </fill>
    </dxf>
    <dxf>
      <fill>
        <patternFill>
          <bgColor rgb="FFFFFF00"/>
        </patternFill>
      </fill>
    </dxf>
    <dxf>
      <font>
        <color theme="0"/>
      </font>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theme="0"/>
        </patternFill>
      </fill>
    </dxf>
    <dxf>
      <font>
        <color rgb="FFFF0000"/>
      </font>
      <fill>
        <patternFill>
          <bgColor theme="5" tint="0.59996337778862885"/>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fgColor indexed="29"/>
          <bgColor indexed="42"/>
        </patternFill>
      </fill>
    </dxf>
    <dxf>
      <fill>
        <patternFill>
          <bgColor rgb="FFEEFFDD"/>
        </patternFill>
      </fill>
    </dxf>
    <dxf>
      <fill>
        <patternFill>
          <bgColor rgb="FFEEFFDD"/>
        </patternFill>
      </fill>
    </dxf>
    <dxf>
      <fill>
        <patternFill>
          <bgColor rgb="FFEEFFDD"/>
        </patternFill>
      </fill>
    </dxf>
    <dxf>
      <fill>
        <patternFill>
          <bgColor rgb="FFEEFFDD"/>
        </patternFill>
      </fill>
    </dxf>
    <dxf>
      <font>
        <color theme="0"/>
      </font>
    </dxf>
    <dxf>
      <font>
        <color theme="0"/>
      </font>
      <fill>
        <patternFill>
          <bgColor theme="0"/>
        </patternFill>
      </fill>
    </dxf>
    <dxf>
      <font>
        <color theme="0"/>
      </font>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b/>
        <i val="0"/>
        <color rgb="FFFF0000"/>
      </font>
      <fill>
        <patternFill>
          <bgColor theme="5" tint="0.79998168889431442"/>
        </patternFill>
      </fill>
    </dxf>
    <dxf>
      <font>
        <b/>
        <i val="0"/>
        <color auto="1"/>
      </font>
      <fill>
        <patternFill>
          <bgColor rgb="FFCCFF99"/>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ont>
        <color theme="0"/>
      </font>
      <fill>
        <patternFill>
          <bgColor theme="0"/>
        </patternFill>
      </fill>
      <border>
        <left/>
        <vertical/>
        <horizontal/>
      </border>
    </dxf>
    <dxf>
      <font>
        <color theme="0"/>
      </font>
      <fill>
        <patternFill>
          <bgColor theme="0"/>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FF99"/>
        </patternFill>
      </fill>
    </dxf>
    <dxf>
      <fill>
        <patternFill>
          <bgColor rgb="FFFFFF99"/>
        </patternFill>
      </fill>
    </dxf>
    <dxf>
      <fill>
        <patternFill>
          <bgColor rgb="FFFFFF99"/>
        </patternFill>
      </fill>
    </dxf>
    <dxf>
      <font>
        <color theme="0"/>
      </font>
      <fill>
        <patternFill>
          <bgColor theme="0"/>
        </patternFill>
      </fill>
      <border>
        <left/>
        <right/>
        <top/>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border>
        <top/>
        <vertical/>
        <horizontal/>
      </border>
    </dxf>
    <dxf>
      <font>
        <color theme="0"/>
      </font>
      <fill>
        <patternFill>
          <fgColor theme="0"/>
          <bgColor theme="0"/>
        </patternFill>
      </fill>
      <border>
        <left/>
        <right/>
        <top style="thin">
          <color auto="1"/>
        </top>
        <bottom/>
        <vertical/>
        <horizontal/>
      </border>
    </dxf>
    <dxf>
      <border>
        <bottom style="thin">
          <color theme="1"/>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dxf>
    <dxf>
      <font>
        <color theme="1"/>
      </font>
      <fill>
        <patternFill>
          <bgColor rgb="FFEEFFDD"/>
        </patternFill>
      </fill>
    </dxf>
    <dxf>
      <font>
        <color theme="1"/>
      </font>
      <fill>
        <patternFill>
          <bgColor rgb="FFEEFFDD"/>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ill>
        <patternFill>
          <fgColor indexed="9"/>
          <bgColor indexed="9"/>
        </patternFill>
      </fill>
    </dxf>
    <dxf>
      <font>
        <condense val="0"/>
        <extend val="0"/>
        <color indexed="9"/>
      </font>
    </dxf>
    <dxf>
      <fill>
        <patternFill>
          <bgColor rgb="FFFFC000"/>
        </patternFill>
      </fill>
    </dxf>
    <dxf>
      <fill>
        <patternFill>
          <bgColor rgb="FFFFFF99"/>
        </patternFill>
      </fill>
    </dxf>
    <dxf>
      <fill>
        <patternFill>
          <bgColor indexed="9"/>
        </patternFill>
      </fill>
    </dxf>
    <dxf>
      <font>
        <color theme="0"/>
      </font>
      <fill>
        <patternFill>
          <bgColor theme="0"/>
        </patternFill>
      </fill>
    </dxf>
    <dxf>
      <fill>
        <patternFill>
          <bgColor indexed="43"/>
        </patternFill>
      </fill>
    </dxf>
    <dxf>
      <fill>
        <patternFill>
          <bgColor indexed="13"/>
        </patternFill>
      </fill>
    </dxf>
    <dxf>
      <fill>
        <patternFill>
          <bgColor indexed="13"/>
        </patternFill>
      </fill>
    </dxf>
    <dxf>
      <fill>
        <patternFill>
          <bgColor indexed="9"/>
        </patternFill>
      </fill>
    </dxf>
    <dxf>
      <fill>
        <patternFill>
          <bgColor indexed="43"/>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indexed="9"/>
        </patternFill>
      </fill>
    </dxf>
    <dxf>
      <font>
        <color theme="0"/>
      </font>
      <fill>
        <patternFill>
          <bgColor theme="0"/>
        </patternFill>
      </fill>
    </dxf>
    <dxf>
      <font>
        <color theme="1"/>
      </font>
    </dxf>
    <dxf>
      <font>
        <b val="0"/>
        <i val="0"/>
        <color theme="1"/>
      </font>
      <fill>
        <patternFill patternType="solid">
          <bgColor rgb="FFEEFFDD"/>
        </patternFill>
      </fill>
    </dxf>
    <dxf>
      <font>
        <b val="0"/>
        <i val="0"/>
        <color theme="1"/>
      </font>
      <fill>
        <patternFill patternType="solid">
          <bgColor rgb="FFEEFFDD"/>
        </patternFill>
      </fill>
    </dxf>
    <dxf>
      <font>
        <b val="0"/>
        <i val="0"/>
        <color theme="1"/>
      </font>
      <fill>
        <patternFill patternType="solid">
          <bgColor indexed="13"/>
        </patternFill>
      </fill>
    </dxf>
    <dxf>
      <font>
        <color theme="1"/>
      </font>
      <fill>
        <patternFill>
          <bgColor rgb="FFEEFFDD"/>
        </patternFill>
      </fill>
    </dxf>
    <dxf>
      <fill>
        <patternFill>
          <bgColor rgb="FFFFC000"/>
        </patternFill>
      </fill>
    </dxf>
    <dxf>
      <font>
        <color theme="0"/>
      </font>
      <fill>
        <patternFill>
          <bgColor theme="0"/>
        </patternFill>
      </fill>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dxf>
    <dxf>
      <font>
        <b/>
        <i val="0"/>
        <condense val="0"/>
        <extend val="0"/>
        <color indexed="10"/>
      </font>
    </dxf>
    <dxf>
      <font>
        <color theme="0"/>
      </font>
      <fill>
        <patternFill>
          <bgColor theme="0"/>
        </patternFill>
      </fill>
    </dxf>
    <dxf>
      <fill>
        <patternFill>
          <bgColor rgb="FFFFC000"/>
        </patternFill>
      </fill>
    </dxf>
    <dxf>
      <font>
        <b val="0"/>
        <i val="0"/>
        <condense val="0"/>
        <extend val="0"/>
      </font>
      <fill>
        <patternFill patternType="solid">
          <bgColor indexed="43"/>
        </patternFill>
      </fill>
    </dxf>
    <dxf>
      <font>
        <color theme="0"/>
      </font>
      <fill>
        <patternFill>
          <bgColor theme="0"/>
        </patternFill>
      </fill>
    </dxf>
    <dxf>
      <font>
        <color theme="0"/>
      </font>
      <fill>
        <patternFill>
          <bgColor theme="0"/>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ill>
        <patternFill>
          <bgColor rgb="FFFFC000"/>
        </patternFill>
      </fill>
    </dxf>
    <dxf>
      <font>
        <color theme="0"/>
      </font>
      <fill>
        <patternFill>
          <bgColor theme="0"/>
        </patternFill>
      </fill>
    </dxf>
    <dxf>
      <font>
        <b val="0"/>
        <i val="0"/>
        <color theme="1"/>
      </font>
      <fill>
        <patternFill patternType="solid">
          <bgColor rgb="FFEEFFDD"/>
        </patternFill>
      </fill>
    </dxf>
    <dxf>
      <font>
        <color theme="1"/>
      </font>
      <fill>
        <patternFill>
          <bgColor rgb="FFEEFFDD"/>
        </patternFill>
      </fill>
    </dxf>
    <dxf>
      <font>
        <b val="0"/>
        <i val="0"/>
        <color theme="1"/>
      </font>
      <fill>
        <patternFill patternType="solid">
          <bgColor indexed="13"/>
        </patternFill>
      </fill>
    </dxf>
    <dxf>
      <font>
        <b val="0"/>
        <i val="0"/>
        <condense val="0"/>
        <extend val="0"/>
      </font>
      <fill>
        <patternFill patternType="solid">
          <bgColor indexed="43"/>
        </patternFill>
      </fill>
    </dxf>
    <dxf>
      <fill>
        <patternFill>
          <bgColor rgb="FFFFC000"/>
        </patternFill>
      </fill>
    </dxf>
    <dxf>
      <font>
        <color theme="0"/>
      </font>
      <fill>
        <patternFill>
          <bgColor theme="0"/>
        </patternFill>
      </fill>
    </dxf>
    <dxf>
      <font>
        <b val="0"/>
        <i val="0"/>
        <color theme="1"/>
      </font>
      <fill>
        <patternFill patternType="solid">
          <bgColor rgb="FFEEFFDD"/>
        </patternFill>
      </fill>
    </dxf>
    <dxf>
      <font>
        <color theme="1"/>
      </font>
      <fill>
        <patternFill>
          <bgColor rgb="FFEEFFDD"/>
        </patternFill>
      </fill>
    </dxf>
    <dxf>
      <font>
        <b val="0"/>
        <i val="0"/>
        <color theme="1"/>
      </font>
      <fill>
        <patternFill patternType="solid">
          <bgColor indexed="13"/>
        </patternFill>
      </fill>
    </dxf>
    <dxf>
      <font>
        <b val="0"/>
        <i val="0"/>
        <condense val="0"/>
        <extend val="0"/>
      </font>
      <fill>
        <patternFill patternType="solid">
          <bgColor indexed="43"/>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ill>
        <patternFill>
          <bgColor rgb="FFFFC000"/>
        </patternFill>
      </fill>
    </dxf>
    <dxf>
      <font>
        <b/>
        <i val="0"/>
        <condense val="0"/>
        <extend val="0"/>
        <color indexed="10"/>
      </font>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ill>
        <patternFill>
          <bgColor rgb="FFFFC000"/>
        </patternFill>
      </fill>
    </dxf>
    <dxf>
      <font>
        <b/>
        <i val="0"/>
        <condense val="0"/>
        <extend val="0"/>
        <color indexed="10"/>
      </font>
    </dxf>
    <dxf>
      <fill>
        <patternFill>
          <bgColor indexed="43"/>
        </patternFill>
      </fill>
    </dxf>
    <dxf>
      <fill>
        <patternFill>
          <bgColor indexed="13"/>
        </patternFill>
      </fill>
    </dxf>
    <dxf>
      <fill>
        <patternFill>
          <bgColor indexed="43"/>
        </patternFill>
      </fill>
    </dxf>
    <dxf>
      <fill>
        <patternFill>
          <bgColor indexed="13"/>
        </patternFill>
      </fill>
    </dxf>
    <dxf>
      <border>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indexed="13"/>
        </patternFill>
      </fill>
    </dxf>
    <dxf>
      <fill>
        <patternFill>
          <bgColor indexed="9"/>
        </patternFill>
      </fill>
    </dxf>
    <dxf>
      <fill>
        <patternFill>
          <bgColor indexed="13"/>
        </patternFill>
      </fill>
    </dxf>
    <dxf>
      <fill>
        <patternFill>
          <bgColor indexed="9"/>
        </patternFill>
      </fill>
    </dxf>
    <dxf>
      <font>
        <color theme="0"/>
      </font>
      <fill>
        <patternFill>
          <bgColor theme="0"/>
        </patternFill>
      </fill>
    </dxf>
    <dxf>
      <font>
        <color theme="0"/>
      </font>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ndense val="0"/>
        <extend val="0"/>
        <color auto="1"/>
      </font>
    </dxf>
    <dxf>
      <font>
        <color theme="0"/>
      </font>
      <fill>
        <patternFill>
          <bgColor theme="0"/>
        </patternFill>
      </fill>
      <border>
        <left/>
        <right/>
        <top/>
        <bottom/>
        <vertical/>
        <horizontal/>
      </border>
    </dxf>
    <dxf>
      <font>
        <color theme="1"/>
      </font>
    </dxf>
    <dxf>
      <font>
        <color theme="1"/>
      </font>
    </dxf>
    <dxf>
      <font>
        <color auto="1"/>
      </font>
    </dxf>
    <dxf>
      <fill>
        <patternFill>
          <bgColor rgb="FFFFC000"/>
        </patternFill>
      </fill>
    </dxf>
    <dxf>
      <fill>
        <patternFill>
          <bgColor rgb="FFFFC00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ont>
        <color theme="1"/>
      </font>
      <fill>
        <patternFill>
          <bgColor rgb="FFFFFF00"/>
        </patternFill>
      </fill>
    </dxf>
    <dxf>
      <font>
        <color theme="0"/>
      </font>
      <fill>
        <patternFill>
          <bgColor theme="0"/>
        </patternFill>
      </fill>
    </dxf>
    <dxf>
      <font>
        <color theme="1"/>
      </font>
      <fill>
        <patternFill>
          <bgColor rgb="FFFFFF00"/>
        </patternFill>
      </fill>
    </dxf>
    <dxf>
      <font>
        <color theme="0"/>
      </font>
      <fill>
        <patternFill>
          <bgColor theme="0"/>
        </patternFill>
      </fill>
    </dxf>
    <dxf>
      <font>
        <condense val="0"/>
        <extend val="0"/>
        <color indexed="10"/>
      </font>
    </dxf>
    <dxf>
      <fill>
        <patternFill>
          <bgColor indexed="9"/>
        </patternFill>
      </fill>
    </dxf>
    <dxf>
      <fill>
        <patternFill>
          <bgColor indexed="9"/>
        </patternFill>
      </fill>
    </dxf>
    <dxf>
      <fill>
        <patternFill>
          <bgColor indexed="9"/>
        </patternFill>
      </fill>
    </dxf>
    <dxf>
      <fill>
        <patternFill>
          <bgColor indexed="9"/>
        </patternFill>
      </fill>
    </dxf>
    <dxf>
      <font>
        <color theme="0"/>
      </font>
      <fill>
        <patternFill>
          <bgColor theme="0"/>
        </patternFill>
      </fill>
      <border>
        <left/>
        <right/>
        <top/>
        <bottom/>
        <vertical/>
        <horizontal/>
      </border>
    </dxf>
    <dxf>
      <fill>
        <patternFill>
          <bgColor rgb="FFFFFF00"/>
        </patternFill>
      </fill>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ill>
        <patternFill>
          <bgColor indexed="13"/>
        </patternFill>
      </fill>
    </dxf>
    <dxf>
      <fill>
        <patternFill>
          <bgColor indexed="9"/>
        </patternFill>
      </fill>
    </dxf>
    <dxf>
      <font>
        <b val="0"/>
        <i val="0"/>
        <color theme="1"/>
      </font>
      <fill>
        <patternFill patternType="solid">
          <bgColor rgb="FFEEFFDD"/>
        </patternFill>
      </fill>
    </dxf>
    <dxf>
      <font>
        <color theme="1"/>
      </font>
      <fill>
        <patternFill>
          <bgColor rgb="FFEEFFDD"/>
        </patternFill>
      </fill>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ill>
        <patternFill>
          <bgColor indexed="13"/>
        </patternFill>
      </fill>
    </dxf>
    <dxf>
      <fill>
        <patternFill>
          <bgColor indexed="9"/>
        </patternFill>
      </fill>
    </dxf>
    <dxf>
      <font>
        <color theme="0"/>
      </font>
      <fill>
        <patternFill>
          <bgColor theme="0"/>
        </patternFill>
      </fill>
      <border>
        <left/>
        <right/>
        <top/>
        <bottom/>
        <vertical/>
        <horizontal/>
      </border>
    </dxf>
    <dxf>
      <fill>
        <patternFill>
          <bgColor indexed="13"/>
        </patternFill>
      </fill>
    </dxf>
    <dxf>
      <fill>
        <patternFill>
          <bgColor indexed="9"/>
        </patternFill>
      </fill>
    </dxf>
    <dxf>
      <font>
        <condense val="0"/>
        <extend val="0"/>
        <color auto="1"/>
      </font>
    </dxf>
    <dxf>
      <font>
        <color theme="0"/>
      </font>
      <fill>
        <patternFill>
          <bgColor theme="0"/>
        </patternFill>
      </fill>
      <border>
        <left/>
        <right/>
        <top style="thin">
          <color auto="1"/>
        </top>
        <bottom/>
        <vertical/>
        <horizontal/>
      </border>
    </dxf>
    <dxf>
      <fill>
        <patternFill>
          <bgColor theme="0"/>
        </patternFill>
      </fill>
    </dxf>
    <dxf>
      <fill>
        <patternFill>
          <bgColor indexed="13"/>
        </patternFill>
      </fill>
    </dxf>
    <dxf>
      <fill>
        <patternFill>
          <bgColor rgb="FFFFFF99"/>
        </patternFill>
      </fill>
    </dxf>
    <dxf>
      <font>
        <b val="0"/>
        <i val="0"/>
        <color theme="1"/>
      </font>
      <fill>
        <patternFill patternType="solid">
          <bgColor indexed="13"/>
        </patternFill>
      </fill>
    </dxf>
    <dxf>
      <fill>
        <patternFill>
          <bgColor theme="0"/>
        </patternFill>
      </fill>
    </dxf>
    <dxf>
      <fill>
        <patternFill>
          <bgColor indexed="13"/>
        </patternFill>
      </fill>
    </dxf>
    <dxf>
      <fill>
        <patternFill>
          <bgColor rgb="FFFFFF99"/>
        </patternFill>
      </fill>
    </dxf>
    <dxf>
      <font>
        <color theme="1"/>
      </font>
      <fill>
        <patternFill>
          <bgColor indexed="13"/>
        </patternFill>
      </fill>
    </dxf>
    <dxf>
      <fill>
        <patternFill>
          <bgColor indexed="9"/>
        </patternFill>
      </fill>
    </dxf>
    <dxf>
      <font>
        <color auto="1"/>
      </font>
      <fill>
        <patternFill>
          <bgColor rgb="FFFFFF99"/>
        </patternFill>
      </fill>
    </dxf>
    <dxf>
      <fill>
        <patternFill>
          <bgColor indexed="9"/>
        </patternFill>
      </fill>
    </dxf>
    <dxf>
      <fill>
        <patternFill>
          <bgColor indexed="9"/>
        </patternFill>
      </fill>
    </dxf>
    <dxf>
      <fill>
        <patternFill>
          <bgColor indexed="13"/>
        </patternFill>
      </fill>
    </dxf>
    <dxf>
      <fill>
        <patternFill>
          <bgColor indexed="34"/>
        </patternFill>
      </fill>
    </dxf>
    <dxf>
      <font>
        <b val="0"/>
        <i val="0"/>
        <condense val="0"/>
        <extend val="0"/>
      </font>
      <fill>
        <patternFill patternType="solid">
          <bgColor indexed="43"/>
        </patternFill>
      </fill>
    </dxf>
    <dxf>
      <fill>
        <patternFill>
          <bgColor indexed="13"/>
        </patternFill>
      </fill>
    </dxf>
    <dxf>
      <font>
        <b val="0"/>
        <i val="0"/>
        <condense val="0"/>
        <extend val="0"/>
      </font>
      <fill>
        <patternFill patternType="solid">
          <bgColor indexed="43"/>
        </patternFill>
      </fill>
    </dxf>
    <dxf>
      <fill>
        <patternFill>
          <bgColor indexed="13"/>
        </patternFill>
      </fill>
    </dxf>
    <dxf>
      <font>
        <b val="0"/>
        <i val="0"/>
        <condense val="0"/>
        <extend val="0"/>
        <color auto="1"/>
      </font>
      <fill>
        <patternFill patternType="solid">
          <bgColor indexed="43"/>
        </patternFill>
      </fill>
    </dxf>
    <dxf>
      <fill>
        <patternFill>
          <bgColor indexed="43"/>
        </patternFill>
      </fill>
    </dxf>
    <dxf>
      <fill>
        <patternFill>
          <bgColor indexed="43"/>
        </patternFill>
      </fill>
    </dxf>
    <dxf>
      <fill>
        <patternFill patternType="solid">
          <fgColor indexed="9"/>
          <bgColor indexed="43"/>
        </patternFill>
      </fill>
    </dxf>
    <dxf>
      <font>
        <condense val="0"/>
        <extend val="0"/>
        <color indexed="9"/>
      </font>
    </dxf>
    <dxf>
      <font>
        <condense val="0"/>
        <extend val="0"/>
        <color indexed="9"/>
      </font>
    </dxf>
    <dxf>
      <font>
        <b/>
        <i val="0"/>
        <condense val="0"/>
        <extend val="0"/>
        <color indexed="10"/>
      </font>
      <fill>
        <patternFill>
          <bgColor indexed="34"/>
        </patternFill>
      </fill>
    </dxf>
    <dxf>
      <fill>
        <patternFill>
          <bgColor indexed="13"/>
        </patternFill>
      </fill>
    </dxf>
    <dxf>
      <fill>
        <patternFill>
          <bgColor indexed="34"/>
        </patternFill>
      </fill>
    </dxf>
    <dxf>
      <fill>
        <patternFill>
          <bgColor indexed="34"/>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b val="0"/>
        <i val="0"/>
        <condense val="0"/>
        <extend val="0"/>
      </font>
      <fill>
        <patternFill patternType="solid">
          <bgColor indexed="43"/>
        </patternFill>
      </fill>
    </dxf>
    <dxf>
      <font>
        <condense val="0"/>
        <extend val="0"/>
        <color indexed="9"/>
      </font>
    </dxf>
    <dxf>
      <fill>
        <patternFill>
          <bgColor indexed="9"/>
        </patternFill>
      </fill>
    </dxf>
    <dxf>
      <font>
        <condense val="0"/>
        <extend val="0"/>
        <color indexed="10"/>
      </font>
    </dxf>
    <dxf>
      <font>
        <b/>
        <i val="0"/>
        <condense val="0"/>
        <extend val="0"/>
        <color indexed="10"/>
      </font>
    </dxf>
    <dxf>
      <fill>
        <patternFill>
          <bgColor indexed="13"/>
        </patternFill>
      </fill>
    </dxf>
    <dxf>
      <fill>
        <patternFill>
          <bgColor rgb="FFFFFF00"/>
        </patternFill>
      </fill>
    </dxf>
    <dxf>
      <font>
        <b val="0"/>
        <i val="0"/>
        <condense val="0"/>
        <extend val="0"/>
        <color auto="1"/>
      </font>
      <fill>
        <patternFill patternType="solid">
          <bgColor rgb="FFFFFF00"/>
        </patternFill>
      </fill>
    </dxf>
    <dxf>
      <fill>
        <patternFill>
          <fgColor indexed="9"/>
          <bgColor indexed="9"/>
        </patternFill>
      </fill>
    </dxf>
    <dxf>
      <font>
        <b/>
        <i val="0"/>
        <condense val="0"/>
        <extend val="0"/>
        <color indexed="13"/>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color rgb="FFFFFFCC"/>
      <color rgb="FFFFFF99"/>
      <color rgb="FF9CB4BB"/>
      <color rgb="FF7F7F7F"/>
      <color rgb="FFE1BA5E"/>
      <color rgb="FF81C7DC"/>
      <color rgb="FFEA6E76"/>
      <color rgb="FFAA8C8C"/>
      <color rgb="FFF9EA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png"/></Relationships>
</file>

<file path=xl/charts/_rels/chart2.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image" Target="../media/image2.png"/></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extLst>
              <c:ext xmlns:c16="http://schemas.microsoft.com/office/drawing/2014/chart" uri="{C3380CC4-5D6E-409C-BE32-E72D297353CC}">
                <c16:uniqueId val="{00000001-8014-4CA2-B636-018D074759DE}"/>
              </c:ext>
            </c:extLst>
          </c:dPt>
          <c:val>
            <c:numRef>
              <c:f>Dati!$C$3</c:f>
              <c:numCache>
                <c:formatCode>General</c:formatCode>
                <c:ptCount val="1"/>
                <c:pt idx="0">
                  <c:v>1</c:v>
                </c:pt>
              </c:numCache>
            </c:numRef>
          </c:val>
          <c:extLst>
            <c:ext xmlns:c16="http://schemas.microsoft.com/office/drawing/2014/chart" uri="{C3380CC4-5D6E-409C-BE32-E72D297353CC}">
              <c16:uniqueId val="{00000002-8014-4CA2-B636-018D074759DE}"/>
            </c:ext>
          </c:extLst>
        </c:ser>
        <c:ser>
          <c:idx val="0"/>
          <c:order val="0"/>
          <c:spPr>
            <a:blipFill>
              <a:blip xmlns:r="http://schemas.openxmlformats.org/officeDocument/2006/relationships" r:embed="rId4"/>
              <a:stretch>
                <a:fillRect/>
              </a:stretch>
            </a:blipFill>
            <a:ln>
              <a:noFill/>
            </a:ln>
            <a:effectLst/>
          </c:spPr>
          <c:invertIfNegative val="0"/>
          <c:val>
            <c:numRef>
              <c:f>Dati!$B$3</c:f>
              <c:numCache>
                <c:formatCode>General</c:formatCode>
                <c:ptCount val="1"/>
                <c:pt idx="0">
                  <c:v>0</c:v>
                </c:pt>
              </c:numCache>
            </c:numRef>
          </c:val>
          <c:extLst>
            <c:ext xmlns:c16="http://schemas.microsoft.com/office/drawing/2014/chart" uri="{C3380CC4-5D6E-409C-BE32-E72D297353CC}">
              <c16:uniqueId val="{00000003-8014-4CA2-B636-018D074759DE}"/>
            </c:ext>
          </c:extLst>
        </c:ser>
        <c:dLbls>
          <c:showLegendKey val="0"/>
          <c:showVal val="0"/>
          <c:showCatName val="0"/>
          <c:showSerName val="0"/>
          <c:showPercent val="0"/>
          <c:showBubbleSize val="0"/>
        </c:dLbls>
        <c:gapWidth val="0"/>
        <c:overlap val="100"/>
        <c:axId val="543226448"/>
        <c:axId val="543224880"/>
      </c:barChart>
      <c:catAx>
        <c:axId val="543226448"/>
        <c:scaling>
          <c:orientation val="minMax"/>
        </c:scaling>
        <c:delete val="1"/>
        <c:axPos val="b"/>
        <c:numFmt formatCode="General" sourceLinked="1"/>
        <c:majorTickMark val="none"/>
        <c:minorTickMark val="none"/>
        <c:tickLblPos val="nextTo"/>
        <c:crossAx val="543224880"/>
        <c:crosses val="autoZero"/>
        <c:auto val="1"/>
        <c:lblAlgn val="ctr"/>
        <c:lblOffset val="100"/>
        <c:noMultiLvlLbl val="0"/>
      </c:catAx>
      <c:valAx>
        <c:axId val="543224880"/>
        <c:scaling>
          <c:orientation val="minMax"/>
        </c:scaling>
        <c:delete val="1"/>
        <c:axPos val="l"/>
        <c:numFmt formatCode="0%" sourceLinked="1"/>
        <c:majorTickMark val="none"/>
        <c:minorTickMark val="none"/>
        <c:tickLblPos val="nextTo"/>
        <c:crossAx val="543226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extLst>
              <c:ext xmlns:c16="http://schemas.microsoft.com/office/drawing/2014/chart" uri="{C3380CC4-5D6E-409C-BE32-E72D297353CC}">
                <c16:uniqueId val="{00000001-5E49-4D61-8418-9795A576B559}"/>
              </c:ext>
            </c:extLst>
          </c:dPt>
          <c:val>
            <c:numRef>
              <c:f>Dati!$C$3</c:f>
              <c:numCache>
                <c:formatCode>General</c:formatCode>
                <c:ptCount val="1"/>
                <c:pt idx="0">
                  <c:v>1</c:v>
                </c:pt>
              </c:numCache>
            </c:numRef>
          </c:val>
          <c:extLst>
            <c:ext xmlns:c16="http://schemas.microsoft.com/office/drawing/2014/chart" uri="{C3380CC4-5D6E-409C-BE32-E72D297353CC}">
              <c16:uniqueId val="{00000002-5E49-4D61-8418-9795A576B559}"/>
            </c:ext>
          </c:extLst>
        </c:ser>
        <c:ser>
          <c:idx val="0"/>
          <c:order val="0"/>
          <c:spPr>
            <a:blipFill>
              <a:blip xmlns:r="http://schemas.openxmlformats.org/officeDocument/2006/relationships" r:embed="rId4"/>
              <a:stretch>
                <a:fillRect/>
              </a:stretch>
            </a:blipFill>
            <a:ln>
              <a:noFill/>
            </a:ln>
            <a:effectLst/>
          </c:spPr>
          <c:invertIfNegative val="0"/>
          <c:val>
            <c:numRef>
              <c:f>Dati!$B$3</c:f>
              <c:numCache>
                <c:formatCode>General</c:formatCode>
                <c:ptCount val="1"/>
                <c:pt idx="0">
                  <c:v>0</c:v>
                </c:pt>
              </c:numCache>
            </c:numRef>
          </c:val>
          <c:extLst>
            <c:ext xmlns:c16="http://schemas.microsoft.com/office/drawing/2014/chart" uri="{C3380CC4-5D6E-409C-BE32-E72D297353CC}">
              <c16:uniqueId val="{00000003-5E49-4D61-8418-9795A576B559}"/>
            </c:ext>
          </c:extLst>
        </c:ser>
        <c:dLbls>
          <c:showLegendKey val="0"/>
          <c:showVal val="0"/>
          <c:showCatName val="0"/>
          <c:showSerName val="0"/>
          <c:showPercent val="0"/>
          <c:showBubbleSize val="0"/>
        </c:dLbls>
        <c:gapWidth val="0"/>
        <c:overlap val="100"/>
        <c:axId val="543224096"/>
        <c:axId val="543227232"/>
      </c:barChart>
      <c:catAx>
        <c:axId val="543224096"/>
        <c:scaling>
          <c:orientation val="minMax"/>
        </c:scaling>
        <c:delete val="1"/>
        <c:axPos val="b"/>
        <c:numFmt formatCode="General" sourceLinked="1"/>
        <c:majorTickMark val="none"/>
        <c:minorTickMark val="none"/>
        <c:tickLblPos val="nextTo"/>
        <c:crossAx val="543227232"/>
        <c:crosses val="autoZero"/>
        <c:auto val="1"/>
        <c:lblAlgn val="ctr"/>
        <c:lblOffset val="100"/>
        <c:noMultiLvlLbl val="0"/>
      </c:catAx>
      <c:valAx>
        <c:axId val="543227232"/>
        <c:scaling>
          <c:orientation val="minMax"/>
        </c:scaling>
        <c:delete val="1"/>
        <c:axPos val="l"/>
        <c:numFmt formatCode="0%" sourceLinked="1"/>
        <c:majorTickMark val="none"/>
        <c:minorTickMark val="none"/>
        <c:tickLblPos val="nextTo"/>
        <c:crossAx val="543224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80927384076995E-2"/>
          <c:y val="3.7453703703703718E-2"/>
          <c:w val="0.90426640743069253"/>
          <c:h val="0.68645151115767178"/>
        </c:manualLayout>
      </c:layout>
      <c:barChart>
        <c:barDir val="col"/>
        <c:grouping val="stacked"/>
        <c:varyColors val="0"/>
        <c:ser>
          <c:idx val="5"/>
          <c:order val="0"/>
          <c:tx>
            <c:strRef>
              <c:f>'Visione d''insieme'!$P$48</c:f>
              <c:strCache>
                <c:ptCount val="1"/>
                <c:pt idx="0">
                  <c:v>Grenzwert E hlwk,li</c:v>
                </c:pt>
              </c:strCache>
            </c:strRef>
          </c:tx>
          <c:spPr>
            <a:solidFill>
              <a:srgbClr val="92D050"/>
            </a:solidFill>
            <a:ln>
              <a:noFill/>
            </a:ln>
            <a:effectLst/>
          </c:spPr>
          <c:invertIfNegative val="0"/>
          <c:cat>
            <c:numRef>
              <c:f>'Visione d''insieme'!$S$59:$T$59</c:f>
              <c:numCache>
                <c:formatCode>General</c:formatCode>
                <c:ptCount val="2"/>
                <c:pt idx="0">
                  <c:v>1</c:v>
                </c:pt>
                <c:pt idx="1">
                  <c:v>3</c:v>
                </c:pt>
              </c:numCache>
            </c:numRef>
          </c:cat>
          <c:val>
            <c:numRef>
              <c:f>'Visione d''insieme'!$Q$48:$S$48</c:f>
              <c:numCache>
                <c:formatCode>General</c:formatCode>
                <c:ptCount val="3"/>
                <c:pt idx="0" formatCode="0.0">
                  <c:v>0</c:v>
                </c:pt>
                <c:pt idx="1">
                  <c:v>0</c:v>
                </c:pt>
                <c:pt idx="2">
                  <c:v>0</c:v>
                </c:pt>
              </c:numCache>
            </c:numRef>
          </c:val>
          <c:extLst>
            <c:ext xmlns:c16="http://schemas.microsoft.com/office/drawing/2014/chart" uri="{C3380CC4-5D6E-409C-BE32-E72D297353CC}">
              <c16:uniqueId val="{00000000-8360-41E6-AA4C-C7495FE77345}"/>
            </c:ext>
          </c:extLst>
        </c:ser>
        <c:ser>
          <c:idx val="6"/>
          <c:order val="1"/>
          <c:tx>
            <c:v/>
          </c:tx>
          <c:spPr>
            <a:solidFill>
              <a:srgbClr val="81C7DC"/>
            </a:solidFill>
            <a:ln>
              <a:noFill/>
            </a:ln>
            <a:effectLst/>
          </c:spPr>
          <c:invertIfNegative val="0"/>
          <c:cat>
            <c:numRef>
              <c:f>'Visione d''insieme'!$S$59:$T$59</c:f>
              <c:numCache>
                <c:formatCode>General</c:formatCode>
                <c:ptCount val="2"/>
                <c:pt idx="0">
                  <c:v>1</c:v>
                </c:pt>
                <c:pt idx="1">
                  <c:v>3</c:v>
                </c:pt>
              </c:numCache>
            </c:numRef>
          </c:cat>
          <c:val>
            <c:numRef>
              <c:f>'Visione d''insieme'!$Q$49:$S$49</c:f>
              <c:numCache>
                <c:formatCode>General</c:formatCode>
                <c:ptCount val="3"/>
                <c:pt idx="0" formatCode="0.0">
                  <c:v>0</c:v>
                </c:pt>
              </c:numCache>
            </c:numRef>
          </c:val>
          <c:extLst>
            <c:ext xmlns:c16="http://schemas.microsoft.com/office/drawing/2014/chart" uri="{C3380CC4-5D6E-409C-BE32-E72D297353CC}">
              <c16:uniqueId val="{00000001-8360-41E6-AA4C-C7495FE77345}"/>
            </c:ext>
          </c:extLst>
        </c:ser>
        <c:ser>
          <c:idx val="14"/>
          <c:order val="2"/>
          <c:tx>
            <c:v/>
          </c:tx>
          <c:spPr>
            <a:solidFill>
              <a:srgbClr val="AA8C8C"/>
            </a:solidFill>
            <a:ln>
              <a:noFill/>
            </a:ln>
            <a:effectLst/>
          </c:spPr>
          <c:invertIfNegative val="0"/>
          <c:cat>
            <c:numRef>
              <c:f>'Visione d''insieme'!$S$59:$T$59</c:f>
              <c:numCache>
                <c:formatCode>General</c:formatCode>
                <c:ptCount val="2"/>
                <c:pt idx="0">
                  <c:v>1</c:v>
                </c:pt>
                <c:pt idx="1">
                  <c:v>3</c:v>
                </c:pt>
              </c:numCache>
            </c:numRef>
          </c:cat>
          <c:val>
            <c:numRef>
              <c:f>'Visione d''insieme'!$Q$50:$S$50</c:f>
              <c:numCache>
                <c:formatCode>General</c:formatCode>
                <c:ptCount val="3"/>
                <c:pt idx="0" formatCode="0.0">
                  <c:v>0</c:v>
                </c:pt>
                <c:pt idx="1">
                  <c:v>0</c:v>
                </c:pt>
                <c:pt idx="2">
                  <c:v>0</c:v>
                </c:pt>
              </c:numCache>
            </c:numRef>
          </c:val>
          <c:extLst>
            <c:ext xmlns:c16="http://schemas.microsoft.com/office/drawing/2014/chart" uri="{C3380CC4-5D6E-409C-BE32-E72D297353CC}">
              <c16:uniqueId val="{00000002-8360-41E6-AA4C-C7495FE77345}"/>
            </c:ext>
          </c:extLst>
        </c:ser>
        <c:ser>
          <c:idx val="7"/>
          <c:order val="3"/>
          <c:tx>
            <c:v/>
          </c:tx>
          <c:spPr>
            <a:solidFill>
              <a:srgbClr val="E1BA5E"/>
            </a:solidFill>
            <a:ln>
              <a:noFill/>
            </a:ln>
            <a:effectLst/>
          </c:spPr>
          <c:invertIfNegative val="0"/>
          <c:cat>
            <c:numRef>
              <c:f>'Visione d''insieme'!$S$59:$T$59</c:f>
              <c:numCache>
                <c:formatCode>General</c:formatCode>
                <c:ptCount val="2"/>
                <c:pt idx="0">
                  <c:v>1</c:v>
                </c:pt>
                <c:pt idx="1">
                  <c:v>3</c:v>
                </c:pt>
              </c:numCache>
            </c:numRef>
          </c:cat>
          <c:val>
            <c:numRef>
              <c:f>'Visione d''insieme'!$Q$51:$S$51</c:f>
              <c:numCache>
                <c:formatCode>General</c:formatCode>
                <c:ptCount val="3"/>
                <c:pt idx="1">
                  <c:v>0</c:v>
                </c:pt>
                <c:pt idx="2">
                  <c:v>0</c:v>
                </c:pt>
              </c:numCache>
            </c:numRef>
          </c:val>
          <c:extLst>
            <c:ext xmlns:c16="http://schemas.microsoft.com/office/drawing/2014/chart" uri="{C3380CC4-5D6E-409C-BE32-E72D297353CC}">
              <c16:uniqueId val="{00000003-8360-41E6-AA4C-C7495FE77345}"/>
            </c:ext>
          </c:extLst>
        </c:ser>
        <c:ser>
          <c:idx val="8"/>
          <c:order val="4"/>
          <c:tx>
            <c:v/>
          </c:tx>
          <c:spPr>
            <a:solidFill>
              <a:srgbClr val="E1BA5E"/>
            </a:solidFill>
            <a:ln>
              <a:noFill/>
            </a:ln>
            <a:effectLst/>
          </c:spPr>
          <c:invertIfNegative val="0"/>
          <c:cat>
            <c:numRef>
              <c:f>'Visione d''insieme'!$S$59:$T$59</c:f>
              <c:numCache>
                <c:formatCode>General</c:formatCode>
                <c:ptCount val="2"/>
                <c:pt idx="0">
                  <c:v>1</c:v>
                </c:pt>
                <c:pt idx="1">
                  <c:v>3</c:v>
                </c:pt>
              </c:numCache>
            </c:numRef>
          </c:cat>
          <c:val>
            <c:numRef>
              <c:f>'Visione d''insieme'!$Q$52:$S$52</c:f>
              <c:numCache>
                <c:formatCode>General</c:formatCode>
                <c:ptCount val="3"/>
                <c:pt idx="1">
                  <c:v>0</c:v>
                </c:pt>
                <c:pt idx="2">
                  <c:v>0</c:v>
                </c:pt>
              </c:numCache>
            </c:numRef>
          </c:val>
          <c:extLst>
            <c:ext xmlns:c16="http://schemas.microsoft.com/office/drawing/2014/chart" uri="{C3380CC4-5D6E-409C-BE32-E72D297353CC}">
              <c16:uniqueId val="{00000004-8360-41E6-AA4C-C7495FE77345}"/>
            </c:ext>
          </c:extLst>
        </c:ser>
        <c:ser>
          <c:idx val="9"/>
          <c:order val="5"/>
          <c:tx>
            <c:v/>
          </c:tx>
          <c:spPr>
            <a:solidFill>
              <a:srgbClr val="7F7F7F"/>
            </a:solidFill>
            <a:ln>
              <a:noFill/>
            </a:ln>
            <a:effectLst/>
          </c:spPr>
          <c:invertIfNegative val="0"/>
          <c:cat>
            <c:numRef>
              <c:f>'Visione d''insieme'!$S$59:$T$59</c:f>
              <c:numCache>
                <c:formatCode>General</c:formatCode>
                <c:ptCount val="2"/>
                <c:pt idx="0">
                  <c:v>1</c:v>
                </c:pt>
                <c:pt idx="1">
                  <c:v>3</c:v>
                </c:pt>
              </c:numCache>
            </c:numRef>
          </c:cat>
          <c:val>
            <c:numRef>
              <c:f>'Visione d''insieme'!$Q$53:$S$53</c:f>
              <c:numCache>
                <c:formatCode>General</c:formatCode>
                <c:ptCount val="3"/>
                <c:pt idx="1">
                  <c:v>0</c:v>
                </c:pt>
                <c:pt idx="2">
                  <c:v>0</c:v>
                </c:pt>
              </c:numCache>
            </c:numRef>
          </c:val>
          <c:extLst>
            <c:ext xmlns:c16="http://schemas.microsoft.com/office/drawing/2014/chart" uri="{C3380CC4-5D6E-409C-BE32-E72D297353CC}">
              <c16:uniqueId val="{00000005-8360-41E6-AA4C-C7495FE77345}"/>
            </c:ext>
          </c:extLst>
        </c:ser>
        <c:ser>
          <c:idx val="10"/>
          <c:order val="6"/>
          <c:tx>
            <c:v/>
          </c:tx>
          <c:spPr>
            <a:solidFill>
              <a:srgbClr val="9CB4BB"/>
            </a:solidFill>
            <a:ln>
              <a:noFill/>
            </a:ln>
            <a:effectLst/>
          </c:spPr>
          <c:invertIfNegative val="0"/>
          <c:cat>
            <c:numRef>
              <c:f>'Visione d''insieme'!$S$59:$T$59</c:f>
              <c:numCache>
                <c:formatCode>General</c:formatCode>
                <c:ptCount val="2"/>
                <c:pt idx="0">
                  <c:v>1</c:v>
                </c:pt>
                <c:pt idx="1">
                  <c:v>3</c:v>
                </c:pt>
              </c:numCache>
            </c:numRef>
          </c:cat>
          <c:val>
            <c:numRef>
              <c:f>'Visione d''insieme'!$Q$54:$S$54</c:f>
              <c:numCache>
                <c:formatCode>General</c:formatCode>
                <c:ptCount val="3"/>
                <c:pt idx="1">
                  <c:v>0</c:v>
                </c:pt>
                <c:pt idx="2">
                  <c:v>0</c:v>
                </c:pt>
              </c:numCache>
            </c:numRef>
          </c:val>
          <c:extLst>
            <c:ext xmlns:c16="http://schemas.microsoft.com/office/drawing/2014/chart" uri="{C3380CC4-5D6E-409C-BE32-E72D297353CC}">
              <c16:uniqueId val="{00000006-8360-41E6-AA4C-C7495FE77345}"/>
            </c:ext>
          </c:extLst>
        </c:ser>
        <c:ser>
          <c:idx val="4"/>
          <c:order val="9"/>
          <c:tx>
            <c:strRef>
              <c:f>'Visione d''insieme'!$M$43</c:f>
              <c:strCache>
                <c:ptCount val="1"/>
                <c:pt idx="0">
                  <c:v>Riscaldamento</c:v>
                </c:pt>
              </c:strCache>
            </c:strRef>
          </c:tx>
          <c:spPr>
            <a:solidFill>
              <a:srgbClr val="EA6E76"/>
            </a:solidFill>
            <a:ln>
              <a:noFill/>
            </a:ln>
            <a:effectLst/>
          </c:spPr>
          <c:invertIfNegative val="0"/>
          <c:cat>
            <c:numRef>
              <c:f>'Visione d''insieme'!$S$59:$T$59</c:f>
              <c:numCache>
                <c:formatCode>General</c:formatCode>
                <c:ptCount val="2"/>
                <c:pt idx="0">
                  <c:v>1</c:v>
                </c:pt>
                <c:pt idx="1">
                  <c:v>3</c:v>
                </c:pt>
              </c:numCache>
            </c:numRef>
          </c:cat>
          <c:val>
            <c:numRef>
              <c:f>'Visione d''insieme'!$Q$41:$S$41</c:f>
              <c:numCache>
                <c:formatCode>0.0</c:formatCode>
                <c:ptCount val="3"/>
                <c:pt idx="0">
                  <c:v>0</c:v>
                </c:pt>
                <c:pt idx="1">
                  <c:v>0</c:v>
                </c:pt>
                <c:pt idx="2" formatCode="General">
                  <c:v>0</c:v>
                </c:pt>
              </c:numCache>
            </c:numRef>
          </c:val>
          <c:extLst>
            <c:ext xmlns:c16="http://schemas.microsoft.com/office/drawing/2014/chart" uri="{C3380CC4-5D6E-409C-BE32-E72D297353CC}">
              <c16:uniqueId val="{00000007-8360-41E6-AA4C-C7495FE77345}"/>
            </c:ext>
          </c:extLst>
        </c:ser>
        <c:ser>
          <c:idx val="3"/>
          <c:order val="10"/>
          <c:tx>
            <c:strRef>
              <c:f>'Visione d''insieme'!$M$44</c:f>
              <c:strCache>
                <c:ptCount val="1"/>
                <c:pt idx="0">
                  <c:v>Acqua calda sanitaria</c:v>
                </c:pt>
              </c:strCache>
            </c:strRef>
          </c:tx>
          <c:spPr>
            <a:solidFill>
              <a:srgbClr val="81C7DC"/>
            </a:solidFill>
            <a:ln>
              <a:noFill/>
            </a:ln>
            <a:effectLst/>
          </c:spPr>
          <c:invertIfNegative val="0"/>
          <c:cat>
            <c:numRef>
              <c:f>'Visione d''insieme'!$S$59:$T$59</c:f>
              <c:numCache>
                <c:formatCode>General</c:formatCode>
                <c:ptCount val="2"/>
                <c:pt idx="0">
                  <c:v>1</c:v>
                </c:pt>
                <c:pt idx="1">
                  <c:v>3</c:v>
                </c:pt>
              </c:numCache>
            </c:numRef>
          </c:cat>
          <c:val>
            <c:numRef>
              <c:f>'Visione d''insieme'!$Q$42:$S$42</c:f>
              <c:numCache>
                <c:formatCode>0.0</c:formatCode>
                <c:ptCount val="3"/>
                <c:pt idx="0">
                  <c:v>0</c:v>
                </c:pt>
                <c:pt idx="1">
                  <c:v>0</c:v>
                </c:pt>
                <c:pt idx="2" formatCode="General">
                  <c:v>0</c:v>
                </c:pt>
              </c:numCache>
            </c:numRef>
          </c:val>
          <c:extLst>
            <c:ext xmlns:c16="http://schemas.microsoft.com/office/drawing/2014/chart" uri="{C3380CC4-5D6E-409C-BE32-E72D297353CC}">
              <c16:uniqueId val="{00000008-8360-41E6-AA4C-C7495FE77345}"/>
            </c:ext>
          </c:extLst>
        </c:ser>
        <c:ser>
          <c:idx val="16"/>
          <c:order val="11"/>
          <c:tx>
            <c:strRef>
              <c:f>'Visione d''insieme'!$M$45</c:f>
              <c:strCache>
                <c:ptCount val="1"/>
                <c:pt idx="0">
                  <c:v>Aerazione + climatizzazione</c:v>
                </c:pt>
              </c:strCache>
            </c:strRef>
          </c:tx>
          <c:spPr>
            <a:solidFill>
              <a:srgbClr val="AA8C8C"/>
            </a:solidFill>
            <a:ln>
              <a:noFill/>
            </a:ln>
            <a:effectLst/>
          </c:spPr>
          <c:invertIfNegative val="0"/>
          <c:cat>
            <c:numRef>
              <c:f>'Visione d''insieme'!$S$59:$T$59</c:f>
              <c:numCache>
                <c:formatCode>General</c:formatCode>
                <c:ptCount val="2"/>
                <c:pt idx="0">
                  <c:v>1</c:v>
                </c:pt>
                <c:pt idx="1">
                  <c:v>3</c:v>
                </c:pt>
              </c:numCache>
            </c:numRef>
          </c:cat>
          <c:val>
            <c:numRef>
              <c:f>'Visione d''insieme'!$Q$43:$S$43</c:f>
              <c:numCache>
                <c:formatCode>0.0</c:formatCode>
                <c:ptCount val="3"/>
                <c:pt idx="0">
                  <c:v>0</c:v>
                </c:pt>
                <c:pt idx="1">
                  <c:v>0</c:v>
                </c:pt>
                <c:pt idx="2" formatCode="General">
                  <c:v>0</c:v>
                </c:pt>
              </c:numCache>
            </c:numRef>
          </c:val>
          <c:extLst>
            <c:ext xmlns:c16="http://schemas.microsoft.com/office/drawing/2014/chart" uri="{C3380CC4-5D6E-409C-BE32-E72D297353CC}">
              <c16:uniqueId val="{00000009-8360-41E6-AA4C-C7495FE77345}"/>
            </c:ext>
          </c:extLst>
        </c:ser>
        <c:ser>
          <c:idx val="17"/>
          <c:order val="12"/>
          <c:tx>
            <c:strRef>
              <c:f>'Visione d''insieme'!$M$46</c:f>
              <c:strCache>
                <c:ptCount val="1"/>
                <c:pt idx="0">
                  <c:v>Elettricità d'abitazione</c:v>
                </c:pt>
              </c:strCache>
            </c:strRef>
          </c:tx>
          <c:spPr>
            <a:solidFill>
              <a:srgbClr val="E1BA5E"/>
            </a:solidFill>
            <a:ln>
              <a:noFill/>
            </a:ln>
            <a:effectLst/>
          </c:spPr>
          <c:invertIfNegative val="0"/>
          <c:cat>
            <c:numRef>
              <c:f>'Visione d''insieme'!$S$59:$T$59</c:f>
              <c:numCache>
                <c:formatCode>General</c:formatCode>
                <c:ptCount val="2"/>
                <c:pt idx="0">
                  <c:v>1</c:v>
                </c:pt>
                <c:pt idx="1">
                  <c:v>3</c:v>
                </c:pt>
              </c:numCache>
            </c:numRef>
          </c:cat>
          <c:val>
            <c:numRef>
              <c:f>'Visione d''insieme'!$Q$44:$S$44</c:f>
              <c:numCache>
                <c:formatCode>0.0</c:formatCode>
                <c:ptCount val="3"/>
                <c:pt idx="0">
                  <c:v>0</c:v>
                </c:pt>
                <c:pt idx="1">
                  <c:v>0</c:v>
                </c:pt>
                <c:pt idx="2" formatCode="General">
                  <c:v>0</c:v>
                </c:pt>
              </c:numCache>
            </c:numRef>
          </c:val>
          <c:extLst>
            <c:ext xmlns:c16="http://schemas.microsoft.com/office/drawing/2014/chart" uri="{C3380CC4-5D6E-409C-BE32-E72D297353CC}">
              <c16:uniqueId val="{0000000A-8360-41E6-AA4C-C7495FE77345}"/>
            </c:ext>
          </c:extLst>
        </c:ser>
        <c:ser>
          <c:idx val="18"/>
          <c:order val="13"/>
          <c:tx>
            <c:strRef>
              <c:f>'Visione d''insieme'!$M$47</c:f>
              <c:strCache>
                <c:ptCount val="1"/>
                <c:pt idx="0">
                  <c:v>Illuminazione</c:v>
                </c:pt>
              </c:strCache>
            </c:strRef>
          </c:tx>
          <c:spPr>
            <a:solidFill>
              <a:srgbClr val="E1BA5E"/>
            </a:solidFill>
            <a:ln>
              <a:noFill/>
            </a:ln>
            <a:effectLst/>
          </c:spPr>
          <c:invertIfNegative val="0"/>
          <c:cat>
            <c:numRef>
              <c:f>'Visione d''insieme'!$S$59:$T$59</c:f>
              <c:numCache>
                <c:formatCode>General</c:formatCode>
                <c:ptCount val="2"/>
                <c:pt idx="0">
                  <c:v>1</c:v>
                </c:pt>
                <c:pt idx="1">
                  <c:v>3</c:v>
                </c:pt>
              </c:numCache>
            </c:numRef>
          </c:cat>
          <c:val>
            <c:numRef>
              <c:f>'Visione d''insieme'!$Q$45:$S$45</c:f>
              <c:numCache>
                <c:formatCode>0.0</c:formatCode>
                <c:ptCount val="3"/>
                <c:pt idx="0">
                  <c:v>0</c:v>
                </c:pt>
                <c:pt idx="1">
                  <c:v>0</c:v>
                </c:pt>
                <c:pt idx="2" formatCode="General">
                  <c:v>0</c:v>
                </c:pt>
              </c:numCache>
            </c:numRef>
          </c:val>
          <c:extLst>
            <c:ext xmlns:c16="http://schemas.microsoft.com/office/drawing/2014/chart" uri="{C3380CC4-5D6E-409C-BE32-E72D297353CC}">
              <c16:uniqueId val="{0000000B-8360-41E6-AA4C-C7495FE77345}"/>
            </c:ext>
          </c:extLst>
        </c:ser>
        <c:ser>
          <c:idx val="19"/>
          <c:order val="14"/>
          <c:tx>
            <c:strRef>
              <c:f>'Visione d''insieme'!$M$48</c:f>
              <c:strCache>
                <c:ptCount val="1"/>
                <c:pt idx="0">
                  <c:v>Apparecchi</c:v>
                </c:pt>
              </c:strCache>
            </c:strRef>
          </c:tx>
          <c:spPr>
            <a:solidFill>
              <a:srgbClr val="7F7F7F"/>
            </a:solidFill>
            <a:ln>
              <a:noFill/>
            </a:ln>
            <a:effectLst/>
          </c:spPr>
          <c:invertIfNegative val="0"/>
          <c:cat>
            <c:numRef>
              <c:f>'Visione d''insieme'!$S$59:$T$59</c:f>
              <c:numCache>
                <c:formatCode>General</c:formatCode>
                <c:ptCount val="2"/>
                <c:pt idx="0">
                  <c:v>1</c:v>
                </c:pt>
                <c:pt idx="1">
                  <c:v>3</c:v>
                </c:pt>
              </c:numCache>
            </c:numRef>
          </c:cat>
          <c:val>
            <c:numRef>
              <c:f>'Visione d''insieme'!$Q$46:$S$46</c:f>
              <c:numCache>
                <c:formatCode>0.0</c:formatCode>
                <c:ptCount val="3"/>
                <c:pt idx="0">
                  <c:v>0</c:v>
                </c:pt>
                <c:pt idx="1">
                  <c:v>0</c:v>
                </c:pt>
                <c:pt idx="2" formatCode="General">
                  <c:v>0</c:v>
                </c:pt>
              </c:numCache>
            </c:numRef>
          </c:val>
          <c:extLst>
            <c:ext xmlns:c16="http://schemas.microsoft.com/office/drawing/2014/chart" uri="{C3380CC4-5D6E-409C-BE32-E72D297353CC}">
              <c16:uniqueId val="{0000000C-8360-41E6-AA4C-C7495FE77345}"/>
            </c:ext>
          </c:extLst>
        </c:ser>
        <c:ser>
          <c:idx val="20"/>
          <c:order val="15"/>
          <c:tx>
            <c:strRef>
              <c:f>'Visione d''insieme'!$M$49</c:f>
              <c:strCache>
                <c:ptCount val="1"/>
                <c:pt idx="0">
                  <c:v>Impiantistica dell'edificio</c:v>
                </c:pt>
              </c:strCache>
            </c:strRef>
          </c:tx>
          <c:spPr>
            <a:solidFill>
              <a:srgbClr val="9CB4BB"/>
            </a:solidFill>
            <a:ln>
              <a:noFill/>
            </a:ln>
            <a:effectLst/>
          </c:spPr>
          <c:invertIfNegative val="0"/>
          <c:cat>
            <c:numRef>
              <c:f>'Visione d''insieme'!$S$59:$T$59</c:f>
              <c:numCache>
                <c:formatCode>General</c:formatCode>
                <c:ptCount val="2"/>
                <c:pt idx="0">
                  <c:v>1</c:v>
                </c:pt>
                <c:pt idx="1">
                  <c:v>3</c:v>
                </c:pt>
              </c:numCache>
            </c:numRef>
          </c:cat>
          <c:val>
            <c:numRef>
              <c:f>'Visione d''insieme'!$Q$47:$S$47</c:f>
              <c:numCache>
                <c:formatCode>0.0</c:formatCode>
                <c:ptCount val="3"/>
                <c:pt idx="0">
                  <c:v>0</c:v>
                </c:pt>
                <c:pt idx="1">
                  <c:v>0</c:v>
                </c:pt>
                <c:pt idx="2" formatCode="General">
                  <c:v>0</c:v>
                </c:pt>
              </c:numCache>
            </c:numRef>
          </c:val>
          <c:extLst>
            <c:ext xmlns:c16="http://schemas.microsoft.com/office/drawing/2014/chart" uri="{C3380CC4-5D6E-409C-BE32-E72D297353CC}">
              <c16:uniqueId val="{0000000D-8360-41E6-AA4C-C7495FE77345}"/>
            </c:ext>
          </c:extLst>
        </c:ser>
        <c:ser>
          <c:idx val="0"/>
          <c:order val="16"/>
          <c:tx>
            <c:v/>
          </c:tx>
          <c:spPr>
            <a:noFill/>
            <a:ln>
              <a:noFill/>
            </a:ln>
            <a:effectLst/>
          </c:spPr>
          <c:invertIfNegative val="0"/>
          <c:cat>
            <c:numRef>
              <c:f>'Visione d''insieme'!$S$59:$T$59</c:f>
              <c:numCache>
                <c:formatCode>General</c:formatCode>
                <c:ptCount val="2"/>
                <c:pt idx="0">
                  <c:v>1</c:v>
                </c:pt>
                <c:pt idx="1">
                  <c:v>3</c:v>
                </c:pt>
              </c:numCache>
            </c:numRef>
          </c:cat>
          <c:val>
            <c:numRef>
              <c:f>'Visione d''insieme'!$Q$37:$S$37</c:f>
              <c:numCache>
                <c:formatCode>General</c:formatCode>
                <c:ptCount val="3"/>
                <c:pt idx="0">
                  <c:v>0</c:v>
                </c:pt>
                <c:pt idx="1">
                  <c:v>0</c:v>
                </c:pt>
                <c:pt idx="2" formatCode="0.0">
                  <c:v>0</c:v>
                </c:pt>
              </c:numCache>
            </c:numRef>
          </c:val>
          <c:extLst>
            <c:ext xmlns:c16="http://schemas.microsoft.com/office/drawing/2014/chart" uri="{C3380CC4-5D6E-409C-BE32-E72D297353CC}">
              <c16:uniqueId val="{0000000E-8360-41E6-AA4C-C7495FE77345}"/>
            </c:ext>
          </c:extLst>
        </c:ser>
        <c:ser>
          <c:idx val="15"/>
          <c:order val="17"/>
          <c:tx>
            <c:strRef>
              <c:f>'Visione d''insieme'!$M$56</c:f>
              <c:strCache>
                <c:ptCount val="1"/>
                <c:pt idx="0">
                  <c:v>PV non computabile</c:v>
                </c:pt>
              </c:strCache>
            </c:strRef>
          </c:tx>
          <c:spPr>
            <a:pattFill prst="wdUpDiag">
              <a:fgClr>
                <a:srgbClr val="F9EA85"/>
              </a:fgClr>
              <a:bgClr>
                <a:schemeClr val="bg1"/>
              </a:bgClr>
            </a:pattFill>
            <a:ln>
              <a:noFill/>
            </a:ln>
            <a:effectLst/>
          </c:spPr>
          <c:invertIfNegative val="0"/>
          <c:cat>
            <c:numRef>
              <c:f>'Visione d''insieme'!$S$59:$T$59</c:f>
              <c:numCache>
                <c:formatCode>General</c:formatCode>
                <c:ptCount val="2"/>
                <c:pt idx="0">
                  <c:v>1</c:v>
                </c:pt>
                <c:pt idx="1">
                  <c:v>3</c:v>
                </c:pt>
              </c:numCache>
            </c:numRef>
          </c:cat>
          <c:val>
            <c:numRef>
              <c:f>'Visione d''insieme'!$Q$38:$S$38</c:f>
              <c:numCache>
                <c:formatCode>General</c:formatCode>
                <c:ptCount val="3"/>
                <c:pt idx="0">
                  <c:v>0</c:v>
                </c:pt>
                <c:pt idx="1">
                  <c:v>0</c:v>
                </c:pt>
                <c:pt idx="2" formatCode="0.0">
                  <c:v>0</c:v>
                </c:pt>
              </c:numCache>
            </c:numRef>
          </c:val>
          <c:extLst>
            <c:ext xmlns:c16="http://schemas.microsoft.com/office/drawing/2014/chart" uri="{C3380CC4-5D6E-409C-BE32-E72D297353CC}">
              <c16:uniqueId val="{0000000F-8360-41E6-AA4C-C7495FE77345}"/>
            </c:ext>
          </c:extLst>
        </c:ser>
        <c:ser>
          <c:idx val="1"/>
          <c:order val="18"/>
          <c:tx>
            <c:strRef>
              <c:f>'Visione d''insieme'!$M$54</c:f>
              <c:strCache>
                <c:ptCount val="1"/>
                <c:pt idx="0">
                  <c:v>Quota di PV immessa in rete</c:v>
                </c:pt>
              </c:strCache>
            </c:strRef>
          </c:tx>
          <c:spPr>
            <a:solidFill>
              <a:srgbClr val="F9EA85"/>
            </a:solidFill>
            <a:ln>
              <a:noFill/>
            </a:ln>
            <a:effectLst/>
          </c:spPr>
          <c:invertIfNegative val="0"/>
          <c:cat>
            <c:numRef>
              <c:f>'Visione d''insieme'!$S$59:$T$59</c:f>
              <c:numCache>
                <c:formatCode>General</c:formatCode>
                <c:ptCount val="2"/>
                <c:pt idx="0">
                  <c:v>1</c:v>
                </c:pt>
                <c:pt idx="1">
                  <c:v>3</c:v>
                </c:pt>
              </c:numCache>
            </c:numRef>
          </c:cat>
          <c:val>
            <c:numRef>
              <c:f>'Visione d''insieme'!$Q$39:$S$39</c:f>
              <c:numCache>
                <c:formatCode>General</c:formatCode>
                <c:ptCount val="3"/>
                <c:pt idx="0">
                  <c:v>0</c:v>
                </c:pt>
                <c:pt idx="1">
                  <c:v>0</c:v>
                </c:pt>
                <c:pt idx="2" formatCode="0.0">
                  <c:v>0</c:v>
                </c:pt>
              </c:numCache>
            </c:numRef>
          </c:val>
          <c:extLst>
            <c:ext xmlns:c16="http://schemas.microsoft.com/office/drawing/2014/chart" uri="{C3380CC4-5D6E-409C-BE32-E72D297353CC}">
              <c16:uniqueId val="{00000010-8360-41E6-AA4C-C7495FE77345}"/>
            </c:ext>
          </c:extLst>
        </c:ser>
        <c:ser>
          <c:idx val="2"/>
          <c:order val="19"/>
          <c:tx>
            <c:strRef>
              <c:f>'Visione d''insieme'!$M$53</c:f>
              <c:strCache>
                <c:ptCount val="1"/>
                <c:pt idx="0">
                  <c:v>Autoconsumo PV</c:v>
                </c:pt>
              </c:strCache>
            </c:strRef>
          </c:tx>
          <c:spPr>
            <a:solidFill>
              <a:srgbClr val="F4DC32"/>
            </a:solidFill>
            <a:ln>
              <a:noFill/>
            </a:ln>
            <a:effectLst/>
          </c:spPr>
          <c:invertIfNegative val="0"/>
          <c:cat>
            <c:numRef>
              <c:f>'Visione d''insieme'!$S$59:$T$59</c:f>
              <c:numCache>
                <c:formatCode>General</c:formatCode>
                <c:ptCount val="2"/>
                <c:pt idx="0">
                  <c:v>1</c:v>
                </c:pt>
                <c:pt idx="1">
                  <c:v>3</c:v>
                </c:pt>
              </c:numCache>
            </c:numRef>
          </c:cat>
          <c:val>
            <c:numRef>
              <c:f>'Visione d''insieme'!$Q$40:$S$40</c:f>
              <c:numCache>
                <c:formatCode>General</c:formatCode>
                <c:ptCount val="3"/>
                <c:pt idx="0">
                  <c:v>0</c:v>
                </c:pt>
                <c:pt idx="1">
                  <c:v>0</c:v>
                </c:pt>
                <c:pt idx="2" formatCode="0.0">
                  <c:v>0</c:v>
                </c:pt>
              </c:numCache>
            </c:numRef>
          </c:val>
          <c:extLst>
            <c:ext xmlns:c16="http://schemas.microsoft.com/office/drawing/2014/chart" uri="{C3380CC4-5D6E-409C-BE32-E72D297353CC}">
              <c16:uniqueId val="{00000011-8360-41E6-AA4C-C7495FE77345}"/>
            </c:ext>
          </c:extLst>
        </c:ser>
        <c:dLbls>
          <c:showLegendKey val="0"/>
          <c:showVal val="0"/>
          <c:showCatName val="0"/>
          <c:showSerName val="0"/>
          <c:showPercent val="0"/>
          <c:showBubbleSize val="0"/>
        </c:dLbls>
        <c:gapWidth val="80"/>
        <c:overlap val="100"/>
        <c:axId val="543223312"/>
        <c:axId val="543225664"/>
      </c:barChart>
      <c:scatterChart>
        <c:scatterStyle val="lineMarker"/>
        <c:varyColors val="0"/>
        <c:ser>
          <c:idx val="12"/>
          <c:order val="7"/>
          <c:tx>
            <c:strRef>
              <c:f>'Visione d''insieme'!$M$61</c:f>
              <c:strCache>
                <c:ptCount val="1"/>
                <c:pt idx="0">
                  <c:v>Fabbisogno massimo permesso</c:v>
                </c:pt>
              </c:strCache>
            </c:strRef>
          </c:tx>
          <c:spPr>
            <a:ln w="19050" cap="rnd">
              <a:solidFill>
                <a:srgbClr val="FF0000"/>
              </a:solidFill>
              <a:round/>
            </a:ln>
            <a:effectLst/>
          </c:spPr>
          <c:marker>
            <c:symbol val="none"/>
          </c:marker>
          <c:dPt>
            <c:idx val="1"/>
            <c:marker>
              <c:symbol val="none"/>
            </c:marker>
            <c:bubble3D val="0"/>
            <c:spPr>
              <a:ln w="19050" cap="rnd">
                <a:solidFill>
                  <a:srgbClr val="FF0000"/>
                </a:solidFill>
                <a:round/>
              </a:ln>
              <a:effectLst/>
            </c:spPr>
            <c:extLst>
              <c:ext xmlns:c16="http://schemas.microsoft.com/office/drawing/2014/chart" uri="{C3380CC4-5D6E-409C-BE32-E72D297353CC}">
                <c16:uniqueId val="{00000013-8360-41E6-AA4C-C7495FE77345}"/>
              </c:ext>
            </c:extLst>
          </c:dPt>
          <c:xVal>
            <c:numRef>
              <c:f>'Visione d''insieme'!$S$56:$T$56</c:f>
              <c:numCache>
                <c:formatCode>General</c:formatCode>
                <c:ptCount val="2"/>
                <c:pt idx="0">
                  <c:v>1</c:v>
                </c:pt>
                <c:pt idx="1">
                  <c:v>3</c:v>
                </c:pt>
              </c:numCache>
            </c:numRef>
          </c:xVal>
          <c:yVal>
            <c:numRef>
              <c:f>'Visione d''insieme'!$S$61:$T$61</c:f>
              <c:numCache>
                <c:formatCode>0.0</c:formatCode>
                <c:ptCount val="2"/>
                <c:pt idx="0">
                  <c:v>0</c:v>
                </c:pt>
                <c:pt idx="1">
                  <c:v>0</c:v>
                </c:pt>
              </c:numCache>
            </c:numRef>
          </c:yVal>
          <c:smooth val="0"/>
          <c:extLst>
            <c:ext xmlns:c16="http://schemas.microsoft.com/office/drawing/2014/chart" uri="{C3380CC4-5D6E-409C-BE32-E72D297353CC}">
              <c16:uniqueId val="{00000014-8360-41E6-AA4C-C7495FE77345}"/>
            </c:ext>
          </c:extLst>
        </c:ser>
        <c:ser>
          <c:idx val="11"/>
          <c:order val="8"/>
          <c:tx>
            <c:strRef>
              <c:f>'Visione d''insieme'!$M$60</c:f>
              <c:strCache>
                <c:ptCount val="1"/>
                <c:pt idx="0">
                  <c:v>Indice Minergie</c:v>
                </c:pt>
              </c:strCache>
            </c:strRef>
          </c:tx>
          <c:spPr>
            <a:ln w="19050" cap="rnd">
              <a:solidFill>
                <a:schemeClr val="tx1"/>
              </a:solidFill>
              <a:round/>
            </a:ln>
            <a:effectLst/>
          </c:spPr>
          <c:marker>
            <c:symbol val="none"/>
          </c:marker>
          <c:xVal>
            <c:numRef>
              <c:f>'Visione d''insieme'!$S$59:$T$59</c:f>
              <c:numCache>
                <c:formatCode>General</c:formatCode>
                <c:ptCount val="2"/>
                <c:pt idx="0">
                  <c:v>1</c:v>
                </c:pt>
                <c:pt idx="1">
                  <c:v>3</c:v>
                </c:pt>
              </c:numCache>
            </c:numRef>
          </c:xVal>
          <c:yVal>
            <c:numRef>
              <c:f>'Visione d''insieme'!$S$60:$T$60</c:f>
              <c:numCache>
                <c:formatCode>0.0</c:formatCode>
                <c:ptCount val="2"/>
                <c:pt idx="0">
                  <c:v>0</c:v>
                </c:pt>
                <c:pt idx="1">
                  <c:v>0</c:v>
                </c:pt>
              </c:numCache>
            </c:numRef>
          </c:yVal>
          <c:smooth val="0"/>
          <c:extLst>
            <c:ext xmlns:c16="http://schemas.microsoft.com/office/drawing/2014/chart" uri="{C3380CC4-5D6E-409C-BE32-E72D297353CC}">
              <c16:uniqueId val="{00000015-8360-41E6-AA4C-C7495FE77345}"/>
            </c:ext>
          </c:extLst>
        </c:ser>
        <c:dLbls>
          <c:showLegendKey val="0"/>
          <c:showVal val="0"/>
          <c:showCatName val="0"/>
          <c:showSerName val="0"/>
          <c:showPercent val="0"/>
          <c:showBubbleSize val="0"/>
        </c:dLbls>
        <c:axId val="543223312"/>
        <c:axId val="543225664"/>
      </c:scatterChart>
      <c:catAx>
        <c:axId val="543223312"/>
        <c:scaling>
          <c:orientation val="minMax"/>
        </c:scaling>
        <c:delete val="1"/>
        <c:axPos val="b"/>
        <c:numFmt formatCode="General" sourceLinked="1"/>
        <c:majorTickMark val="none"/>
        <c:minorTickMark val="none"/>
        <c:tickLblPos val="nextTo"/>
        <c:crossAx val="543225664"/>
        <c:crosses val="autoZero"/>
        <c:auto val="1"/>
        <c:lblAlgn val="ctr"/>
        <c:lblOffset val="100"/>
        <c:noMultiLvlLbl val="0"/>
      </c:catAx>
      <c:valAx>
        <c:axId val="543225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kWh/m2</a:t>
                </a:r>
              </a:p>
            </c:rich>
          </c:tx>
          <c:layout>
            <c:manualLayout>
              <c:xMode val="edge"/>
              <c:yMode val="edge"/>
              <c:x val="1.9269411772406251E-3"/>
              <c:y val="3.112162481835693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3223312"/>
        <c:crosses val="autoZero"/>
        <c:crossBetween val="between"/>
      </c:valAx>
      <c:spPr>
        <a:noFill/>
        <a:ln>
          <a:noFill/>
        </a:ln>
        <a:effectLst/>
      </c:spPr>
    </c:plotArea>
    <c:legend>
      <c:legendPos val="b"/>
      <c:layout>
        <c:manualLayout>
          <c:xMode val="edge"/>
          <c:yMode val="edge"/>
          <c:x val="0"/>
          <c:y val="0.72533810956033928"/>
          <c:w val="0.9987058272952789"/>
          <c:h val="0.274661890439660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3" dropStyle="combo" dx="22" fmlaLink="Standardwerte!$BN$28" fmlaRange="Standardwerte!$BL$29:$BL$31" noThreeD="1" sel="2"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66675</xdr:colOff>
      <xdr:row>1</xdr:row>
      <xdr:rowOff>85725</xdr:rowOff>
    </xdr:from>
    <xdr:to>
      <xdr:col>3</xdr:col>
      <xdr:colOff>352425</xdr:colOff>
      <xdr:row>3</xdr:row>
      <xdr:rowOff>161925</xdr:rowOff>
    </xdr:to>
    <xdr:graphicFrame macro="">
      <xdr:nvGraphicFramePr>
        <xdr:cNvPr id="3" name="Diagramm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37367</xdr:rowOff>
    </xdr:from>
    <xdr:to>
      <xdr:col>2</xdr:col>
      <xdr:colOff>895350</xdr:colOff>
      <xdr:row>3</xdr:row>
      <xdr:rowOff>95249</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192"/>
          <a:ext cx="2400300" cy="4769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66674</xdr:colOff>
      <xdr:row>1</xdr:row>
      <xdr:rowOff>85725</xdr:rowOff>
    </xdr:from>
    <xdr:to>
      <xdr:col>4</xdr:col>
      <xdr:colOff>523874</xdr:colOff>
      <xdr:row>3</xdr:row>
      <xdr:rowOff>161925</xdr:rowOff>
    </xdr:to>
    <xdr:graphicFrame macro="">
      <xdr:nvGraphicFramePr>
        <xdr:cNvPr id="3" name="Diagramm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85725</xdr:colOff>
      <xdr:row>44</xdr:row>
      <xdr:rowOff>28575</xdr:rowOff>
    </xdr:from>
    <xdr:to>
      <xdr:col>9</xdr:col>
      <xdr:colOff>15240</xdr:colOff>
      <xdr:row>62</xdr:row>
      <xdr:rowOff>180975</xdr:rowOff>
    </xdr:to>
    <xdr:graphicFrame macro="">
      <xdr:nvGraphicFramePr>
        <xdr:cNvPr id="4" name="Diagramm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238125</xdr:colOff>
      <xdr:row>1</xdr:row>
      <xdr:rowOff>29857</xdr:rowOff>
    </xdr:from>
    <xdr:to>
      <xdr:col>4</xdr:col>
      <xdr:colOff>47625</xdr:colOff>
      <xdr:row>3</xdr:row>
      <xdr:rowOff>104774</xdr:rowOff>
    </xdr:to>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6725" y="153682"/>
          <a:ext cx="2486025" cy="494017"/>
        </a:xfrm>
        <a:prstGeom prst="rect">
          <a:avLst/>
        </a:prstGeom>
      </xdr:spPr>
    </xdr:pic>
    <xdr:clientData/>
  </xdr:twoCellAnchor>
  <xdr:twoCellAnchor>
    <xdr:from>
      <xdr:col>1</xdr:col>
      <xdr:colOff>238125</xdr:colOff>
      <xdr:row>57</xdr:row>
      <xdr:rowOff>53341</xdr:rowOff>
    </xdr:from>
    <xdr:to>
      <xdr:col>7</xdr:col>
      <xdr:colOff>209550</xdr:colOff>
      <xdr:row>58</xdr:row>
      <xdr:rowOff>180977</xdr:rowOff>
    </xdr:to>
    <xdr:sp macro="" textlink="">
      <xdr:nvSpPr>
        <xdr:cNvPr id="2" name="Rechteck 1">
          <a:extLst>
            <a:ext uri="{FF2B5EF4-FFF2-40B4-BE49-F238E27FC236}">
              <a16:creationId xmlns:a16="http://schemas.microsoft.com/office/drawing/2014/main" id="{00000000-0008-0000-0400-000002000000}"/>
            </a:ext>
          </a:extLst>
        </xdr:cNvPr>
        <xdr:cNvSpPr/>
      </xdr:nvSpPr>
      <xdr:spPr bwMode="auto">
        <a:xfrm>
          <a:off x="474345" y="10736581"/>
          <a:ext cx="4772025" cy="340996"/>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twoCellAnchor>
    <xdr:from>
      <xdr:col>1</xdr:col>
      <xdr:colOff>180975</xdr:colOff>
      <xdr:row>58</xdr:row>
      <xdr:rowOff>85725</xdr:rowOff>
    </xdr:from>
    <xdr:to>
      <xdr:col>3</xdr:col>
      <xdr:colOff>28575</xdr:colOff>
      <xdr:row>59</xdr:row>
      <xdr:rowOff>85725</xdr:rowOff>
    </xdr:to>
    <xdr:sp macro="" textlink="">
      <xdr:nvSpPr>
        <xdr:cNvPr id="5" name="Rechteck 4">
          <a:extLst>
            <a:ext uri="{FF2B5EF4-FFF2-40B4-BE49-F238E27FC236}">
              <a16:creationId xmlns:a16="http://schemas.microsoft.com/office/drawing/2014/main" id="{00000000-0008-0000-0400-000005000000}"/>
            </a:ext>
          </a:extLst>
        </xdr:cNvPr>
        <xdr:cNvSpPr/>
      </xdr:nvSpPr>
      <xdr:spPr bwMode="auto">
        <a:xfrm>
          <a:off x="409575" y="10715625"/>
          <a:ext cx="1943100" cy="219075"/>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wsDr>
</file>

<file path=xl/drawings/drawing5.xml><?xml version="1.0" encoding="utf-8"?>
<c:userShapes xmlns:c="http://schemas.openxmlformats.org/drawingml/2006/chart">
  <cdr:relSizeAnchor xmlns:cdr="http://schemas.openxmlformats.org/drawingml/2006/chartDrawing">
    <cdr:from>
      <cdr:x>0.00364</cdr:x>
      <cdr:y>0.73462</cdr:y>
    </cdr:from>
    <cdr:to>
      <cdr:x>0.3538</cdr:x>
      <cdr:y>0.80043</cdr:y>
    </cdr:to>
    <cdr:sp macro="" textlink="">
      <cdr:nvSpPr>
        <cdr:cNvPr id="2" name="Rechteck 1"/>
        <cdr:cNvSpPr/>
      </cdr:nvSpPr>
      <cdr:spPr bwMode="auto">
        <a:xfrm xmlns:a="http://schemas.openxmlformats.org/drawingml/2006/main">
          <a:off x="22225" y="3260726"/>
          <a:ext cx="2139950" cy="292100"/>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de-CH" sz="1100"/>
        </a:p>
      </cdr:txBody>
    </cdr:sp>
  </cdr:relSizeAnchor>
  <cdr:relSizeAnchor xmlns:cdr="http://schemas.openxmlformats.org/drawingml/2006/chartDrawing">
    <cdr:from>
      <cdr:x>0.3351</cdr:x>
      <cdr:y>0.05794</cdr:y>
    </cdr:from>
    <cdr:to>
      <cdr:x>0.48473</cdr:x>
      <cdr:y>0.26395</cdr:y>
    </cdr:to>
    <cdr:sp macro="" textlink="">
      <cdr:nvSpPr>
        <cdr:cNvPr id="3" name="Textfeld 2"/>
        <cdr:cNvSpPr txBox="1"/>
      </cdr:nvSpPr>
      <cdr:spPr>
        <a:xfrm xmlns:a="http://schemas.openxmlformats.org/drawingml/2006/main">
          <a:off x="20478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CH" sz="1100"/>
        </a:p>
      </cdr:txBody>
    </cdr:sp>
  </cdr:relSizeAnchor>
</c:userShapes>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0</xdr:colOff>
          <xdr:row>26</xdr:row>
          <xdr:rowOff>0</xdr:rowOff>
        </xdr:from>
        <xdr:to>
          <xdr:col>66</xdr:col>
          <xdr:colOff>0</xdr:colOff>
          <xdr:row>27</xdr:row>
          <xdr:rowOff>0</xdr:rowOff>
        </xdr:to>
        <xdr:sp macro="" textlink="">
          <xdr:nvSpPr>
            <xdr:cNvPr id="14353" name="Drop Down 17" hidden="1">
              <a:extLst>
                <a:ext uri="{63B3BB69-23CF-44E3-9099-C40C66FF867C}">
                  <a14:compatExt spid="_x0000_s14353"/>
                </a:ext>
                <a:ext uri="{FF2B5EF4-FFF2-40B4-BE49-F238E27FC236}">
                  <a16:creationId xmlns:a16="http://schemas.microsoft.com/office/drawing/2014/main" id="{00000000-0008-0000-0500-00001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X856"/>
  <sheetViews>
    <sheetView showZeros="0" tabSelected="1" zoomScaleNormal="100" workbookViewId="0">
      <selection activeCell="C8" sqref="C8:H8"/>
    </sheetView>
  </sheetViews>
  <sheetFormatPr baseColWidth="10" defaultColWidth="11.44140625" defaultRowHeight="12"/>
  <cols>
    <col min="1" max="1" width="3.44140625" style="1696" customWidth="1"/>
    <col min="2" max="2" width="21.6640625" style="5" customWidth="1"/>
    <col min="3" max="3" width="13.6640625" style="5" customWidth="1"/>
    <col min="4" max="4" width="6" style="5" customWidth="1"/>
    <col min="5" max="5" width="6.6640625" style="5" customWidth="1"/>
    <col min="6" max="9" width="10.44140625" style="5" customWidth="1"/>
    <col min="10" max="10" width="0.6640625" style="5" customWidth="1"/>
    <col min="11" max="11" width="8.6640625" style="5" customWidth="1"/>
    <col min="12" max="12" width="3.6640625" style="325" customWidth="1"/>
    <col min="13" max="13" width="3.109375" style="325" customWidth="1"/>
    <col min="14" max="16384" width="11.44140625" style="5"/>
  </cols>
  <sheetData>
    <row r="1" spans="1:11" ht="9.9" customHeight="1">
      <c r="B1" s="1029" t="str">
        <f>Uebersetzung!D4</f>
        <v>v2.02</v>
      </c>
      <c r="C1" s="3"/>
      <c r="D1" s="3"/>
      <c r="E1" s="367"/>
      <c r="F1" s="3"/>
      <c r="G1" s="3"/>
      <c r="H1" s="3"/>
      <c r="I1" s="169"/>
      <c r="J1" s="3"/>
      <c r="K1" s="7" t="str">
        <f>Uebersetzung!D5</f>
        <v>Formulario EN101b, v2.02, da utilizzare fino al 31.12.2018</v>
      </c>
    </row>
    <row r="2" spans="1:11" ht="17.100000000000001" customHeight="1">
      <c r="B2" s="36"/>
      <c r="C2" s="870"/>
      <c r="D2" s="119"/>
      <c r="E2" s="36"/>
      <c r="F2" s="119"/>
      <c r="G2" s="1921" t="str">
        <f>Uebersetzung!D6</f>
        <v>Verifica energetica</v>
      </c>
      <c r="H2" s="1922"/>
      <c r="I2" s="1922"/>
      <c r="J2" s="1922"/>
      <c r="K2" s="1923"/>
    </row>
    <row r="3" spans="1:11" ht="17.100000000000001" customHeight="1">
      <c r="B3" s="1200">
        <f>IF(MUKEN,1,0)</f>
        <v>0</v>
      </c>
      <c r="C3" s="148">
        <f>IF(MUKEN,0,1)</f>
        <v>1</v>
      </c>
      <c r="D3" s="53"/>
      <c r="E3" s="1924" t="s">
        <v>757</v>
      </c>
      <c r="F3" s="1925"/>
      <c r="G3" s="1926" t="str">
        <f>Uebersetzung!D7</f>
        <v>Fabbisogno energetico</v>
      </c>
      <c r="H3" s="1927"/>
      <c r="I3" s="1927"/>
      <c r="J3" s="1927"/>
      <c r="K3" s="1928"/>
    </row>
    <row r="4" spans="1:11" ht="17.100000000000001" customHeight="1">
      <c r="B4" s="95"/>
      <c r="C4" s="60"/>
      <c r="D4" s="120"/>
      <c r="E4" s="95"/>
      <c r="F4" s="120"/>
      <c r="G4" s="1929">
        <f>IF(MUKEN,Uebersetzung!D8,)</f>
        <v>0</v>
      </c>
      <c r="H4" s="1930"/>
      <c r="I4" s="1930"/>
      <c r="J4" s="1930"/>
      <c r="K4" s="1931"/>
    </row>
    <row r="5" spans="1:11" ht="12" customHeight="1">
      <c r="B5" s="3"/>
      <c r="C5" s="3"/>
      <c r="D5" s="3"/>
      <c r="E5" s="367"/>
      <c r="F5" s="3"/>
      <c r="G5" s="3"/>
      <c r="H5" s="3"/>
      <c r="I5" s="169"/>
      <c r="J5" s="3"/>
      <c r="K5" s="4"/>
    </row>
    <row r="6" spans="1:11" ht="9.9" hidden="1" customHeight="1">
      <c r="B6" s="6"/>
      <c r="C6" s="6"/>
      <c r="D6" s="3"/>
      <c r="E6" s="3"/>
      <c r="F6" s="3"/>
      <c r="G6" s="3"/>
      <c r="H6" s="3"/>
      <c r="I6" s="3"/>
      <c r="J6" s="3"/>
    </row>
    <row r="7" spans="1:11" ht="20.100000000000001" customHeight="1">
      <c r="A7" s="1697" t="s">
        <v>385</v>
      </c>
      <c r="B7" s="822" t="str">
        <f>IF(MUKEN,Uebersetzung!D9,Uebersetzung!D356)</f>
        <v>Nome del progetto:</v>
      </c>
      <c r="C7" s="1938"/>
      <c r="D7" s="1938"/>
      <c r="E7" s="1938"/>
      <c r="F7" s="1938"/>
      <c r="G7" s="930" t="str">
        <f>Uebersetzung!D10</f>
        <v>Part. n.:</v>
      </c>
      <c r="H7" s="1041"/>
      <c r="I7" s="930" t="str">
        <f>IF(MUKEN,Uebersetzung!D11,Uebersetzung!D358)</f>
        <v xml:space="preserve">n. MOP: </v>
      </c>
      <c r="J7" s="1934"/>
      <c r="K7" s="1935"/>
    </row>
    <row r="8" spans="1:11" ht="20.100000000000001" customHeight="1">
      <c r="A8" s="1697" t="s">
        <v>386</v>
      </c>
      <c r="B8" s="823" t="str">
        <f>IF(MUKEN,Uebersetzung!D13,Uebersetzung!D359)</f>
        <v>Indirizzo dell'edificio</v>
      </c>
      <c r="C8" s="1939"/>
      <c r="D8" s="1939"/>
      <c r="E8" s="1939"/>
      <c r="F8" s="1939"/>
      <c r="G8" s="1939"/>
      <c r="H8" s="1939"/>
      <c r="I8" s="1098" t="str">
        <f>Uebersetzung!D117</f>
        <v>EGID:</v>
      </c>
      <c r="J8" s="1936"/>
      <c r="K8" s="1937"/>
    </row>
    <row r="9" spans="1:11" ht="20.100000000000001" hidden="1" customHeight="1"/>
    <row r="10" spans="1:11" ht="1.2" customHeight="1">
      <c r="B10" s="8"/>
      <c r="C10" s="8"/>
      <c r="D10" s="9"/>
      <c r="E10" s="9"/>
      <c r="F10" s="9"/>
      <c r="G10" s="9"/>
    </row>
    <row r="11" spans="1:11" ht="12" customHeight="1">
      <c r="A11" s="1697"/>
      <c r="F11" s="9"/>
      <c r="G11" s="9"/>
    </row>
    <row r="12" spans="1:11" ht="1.2" customHeight="1">
      <c r="A12" s="1697"/>
      <c r="B12" s="3"/>
      <c r="C12" s="3"/>
      <c r="D12" s="3"/>
      <c r="E12" s="3"/>
      <c r="F12" s="3"/>
      <c r="G12" s="3"/>
      <c r="H12" s="9"/>
      <c r="I12" s="9"/>
      <c r="J12" s="9"/>
      <c r="K12" s="9"/>
    </row>
    <row r="13" spans="1:11" ht="20.100000000000001" customHeight="1">
      <c r="A13" s="1697" t="s">
        <v>390</v>
      </c>
      <c r="B13" s="845" t="str">
        <f>Uebersetzung!D14</f>
        <v>Dati dell'edificio</v>
      </c>
      <c r="C13" s="846"/>
      <c r="D13" s="107"/>
      <c r="E13" s="817" t="str">
        <f>Uebersetzung!D15</f>
        <v>Altitudine:</v>
      </c>
      <c r="F13" s="198"/>
      <c r="G13" s="12" t="str">
        <f>Uebersetzung!D16</f>
        <v>msm</v>
      </c>
      <c r="H13" s="821" t="str">
        <f>Uebersetzung!D12</f>
        <v>Cantone:</v>
      </c>
      <c r="I13" s="1940"/>
      <c r="J13" s="1940"/>
      <c r="K13" s="1941"/>
    </row>
    <row r="14" spans="1:11" ht="20.100000000000001" customHeight="1">
      <c r="A14" s="1697" t="s">
        <v>856</v>
      </c>
      <c r="B14" s="10" t="str">
        <f>Uebersetzung!D17</f>
        <v>(secondo la SIA 380/1)</v>
      </c>
      <c r="C14" s="17"/>
      <c r="D14" s="11"/>
      <c r="E14" s="920" t="str">
        <f>Uebersetzung!D18</f>
        <v>Tipo di verifica</v>
      </c>
      <c r="F14" s="1944" t="s">
        <v>313</v>
      </c>
      <c r="G14" s="1944"/>
      <c r="H14" s="15" t="str">
        <f>Uebersetzung!D28</f>
        <v>Staz. climatica</v>
      </c>
      <c r="I14" s="1942"/>
      <c r="J14" s="1942"/>
      <c r="K14" s="1943"/>
    </row>
    <row r="15" spans="1:11" ht="20.100000000000001" customHeight="1">
      <c r="A15" s="1697"/>
      <c r="B15" s="820" t="str">
        <f>Uebersetzung!D29</f>
        <v>Zone</v>
      </c>
      <c r="C15" s="11"/>
      <c r="D15" s="11"/>
      <c r="E15" s="11"/>
      <c r="F15" s="197">
        <v>1</v>
      </c>
      <c r="G15" s="197">
        <v>2</v>
      </c>
      <c r="H15" s="197">
        <v>3</v>
      </c>
      <c r="I15" s="197">
        <v>4</v>
      </c>
      <c r="J15" s="818"/>
      <c r="K15" s="819" t="str">
        <f>Uebersetzung!D30</f>
        <v>Somma</v>
      </c>
    </row>
    <row r="16" spans="1:11" ht="21.9" customHeight="1">
      <c r="A16" s="1697" t="s">
        <v>391</v>
      </c>
      <c r="B16" s="1871" t="str">
        <f>Uebersetzung!D31</f>
        <v>Categoria d'edificio</v>
      </c>
      <c r="C16" s="1872"/>
      <c r="D16" s="1932" t="str">
        <f>IF(minergiep,IF(AND(Standardwerte!BO55,Standardwerte!BO56,Standardwerte!BO57,Standardwerte!BO58),"","mit MINERGIE-P nicht möglich"),"")</f>
        <v/>
      </c>
      <c r="E16" s="1933"/>
      <c r="F16" s="1426"/>
      <c r="G16" s="1426"/>
      <c r="H16" s="1426"/>
      <c r="I16" s="1426"/>
      <c r="J16" s="214"/>
      <c r="K16" s="215" t="str">
        <f>Uebersetzung!D35</f>
        <v>(media)</v>
      </c>
    </row>
    <row r="17" spans="1:21" ht="20.100000000000001" customHeight="1">
      <c r="A17" s="1697" t="s">
        <v>392</v>
      </c>
      <c r="B17" s="1875" t="str">
        <f>Uebersetzung!D32</f>
        <v>Con acqua calda?</v>
      </c>
      <c r="C17" s="1876"/>
      <c r="D17" s="271"/>
      <c r="E17" s="272"/>
      <c r="F17" s="890"/>
      <c r="G17" s="890"/>
      <c r="H17" s="890"/>
      <c r="I17" s="890"/>
      <c r="J17" s="218"/>
      <c r="K17" s="922" t="str">
        <f>IF(OR(AND(F17="",Kategorie1&gt;1),AND(G17="",Kategorie2&gt;1,Zonen&gt;1),AND(H17="",Kategorie3&gt;1,Zonen&gt;2),AND(I17="",Kategorie4&gt;1,Zonen&gt;3)),Fehler1,IF(OR(ISERROR(_WW1),AND(ISERROR(_WW2),Zonen&gt;1),AND(ISERROR(_WW3),Zonen&gt;2),AND(ISERROR(_WW4),Zonen&gt;3)),Fehler2,""))</f>
        <v/>
      </c>
    </row>
    <row r="18" spans="1:21" ht="20.100000000000001" hidden="1" customHeight="1">
      <c r="A18" s="1697"/>
      <c r="F18" s="1043"/>
      <c r="G18" s="1043"/>
      <c r="H18" s="1043"/>
      <c r="I18" s="1043"/>
      <c r="L18" s="326"/>
    </row>
    <row r="19" spans="1:21" ht="20.100000000000001" customHeight="1">
      <c r="A19" s="1697" t="s">
        <v>394</v>
      </c>
      <c r="B19" s="1875" t="str">
        <f>Uebersetzung!D33</f>
        <v>Superficie di riferimento energetico AE</v>
      </c>
      <c r="C19" s="1876"/>
      <c r="D19" s="212" t="s">
        <v>138</v>
      </c>
      <c r="E19" s="212" t="s">
        <v>321</v>
      </c>
      <c r="F19" s="273"/>
      <c r="G19" s="273"/>
      <c r="H19" s="273"/>
      <c r="I19" s="273"/>
      <c r="J19" s="203"/>
      <c r="K19" s="205">
        <f>IF(OR(F19&lt;F91,G19&lt;G91,H19&lt;H91,I19&lt;I91),0,_EBF1+_EBF2+_EBF3+_EBF4)</f>
        <v>0</v>
      </c>
    </row>
    <row r="20" spans="1:21" ht="20.100000000000001" hidden="1" customHeight="1">
      <c r="A20" s="1697" t="s">
        <v>386</v>
      </c>
      <c r="F20" s="1043"/>
      <c r="G20" s="1043"/>
      <c r="H20" s="1043"/>
      <c r="I20" s="1043"/>
    </row>
    <row r="21" spans="1:21" ht="20.100000000000001" customHeight="1">
      <c r="A21" s="1697" t="s">
        <v>395</v>
      </c>
      <c r="B21" s="1875" t="str">
        <f>Uebersetzung!D36</f>
        <v>Edificio nuovo</v>
      </c>
      <c r="C21" s="1876"/>
      <c r="D21" s="212"/>
      <c r="E21" s="217"/>
      <c r="F21" s="890"/>
      <c r="G21" s="890"/>
      <c r="H21" s="890"/>
      <c r="I21" s="890"/>
      <c r="J21" s="218"/>
      <c r="K21" s="922" t="str">
        <f>IF(OR(AND(F21="",Kategorie1&gt;1),AND(G21="",Kategorie2&gt;1),AND(H21="",Kategorie3&gt;1),AND(I21="",Kategorie4&gt;1)),Fehler1,"")</f>
        <v/>
      </c>
    </row>
    <row r="22" spans="1:21" ht="20.100000000000001" hidden="1" customHeight="1">
      <c r="A22" s="1697" t="s">
        <v>388</v>
      </c>
      <c r="B22" s="1191"/>
      <c r="C22" s="1088"/>
      <c r="D22" s="1193"/>
      <c r="E22" s="1193"/>
      <c r="F22" s="1419"/>
      <c r="G22" s="1419"/>
      <c r="H22" s="1419"/>
      <c r="I22" s="1419"/>
      <c r="J22" s="1088"/>
      <c r="K22" s="1192"/>
    </row>
    <row r="23" spans="1:21" ht="18" customHeight="1">
      <c r="A23" s="1697" t="s">
        <v>396</v>
      </c>
      <c r="B23" s="1913" t="str">
        <f>Uebersetzung!D357</f>
        <v>Rapporto di forma</v>
      </c>
      <c r="C23" s="1914"/>
      <c r="D23" s="223" t="s">
        <v>533</v>
      </c>
      <c r="E23" s="293"/>
      <c r="F23" s="1190"/>
      <c r="G23" s="1190"/>
      <c r="H23" s="1190"/>
      <c r="I23" s="1190"/>
      <c r="J23" s="294"/>
      <c r="K23" s="206" t="str">
        <f>IF(EBF&gt;0,(F23*_EBF1+G23*_EBF2+H23*_EBF3+I23*_EBF4)/(_EBF1+_EBF2+_EBF3+_EBF4),"")</f>
        <v/>
      </c>
    </row>
    <row r="24" spans="1:21" ht="21.9" customHeight="1">
      <c r="A24" s="1697" t="s">
        <v>397</v>
      </c>
      <c r="B24" s="1915" t="str">
        <f>Uebersetzung!D37</f>
        <v>Fabb. risc. con ricambio d'aria standard</v>
      </c>
      <c r="C24" s="1916"/>
      <c r="D24" s="1466" t="str">
        <f>"Qh"</f>
        <v>Qh</v>
      </c>
      <c r="E24" s="1199" t="str">
        <f>E46</f>
        <v>MJ/m2</v>
      </c>
      <c r="F24" s="1362"/>
      <c r="G24" s="1362"/>
      <c r="H24" s="1362"/>
      <c r="I24" s="1362"/>
      <c r="J24" s="1365">
        <f>IF(OR(AND(Zonen&gt;0,_qhs1=0,,Kategorie1&lt;13),AND(Zonen&gt;1,_qhs2=0,Kategorie2&lt;13),AND(Zonen&gt;2,_qhs3=0,Kategorie3&lt;13),AND(Zonen&gt;3,_qhs4=0,Kategorie4&lt;13)),0,1)</f>
        <v>1</v>
      </c>
      <c r="K24" s="1366">
        <f>IF(EBF=0,0,(F24*_EBF1+G24*_EBF2+H24*_EBF3+I24*_EBF4)/EBF)</f>
        <v>0</v>
      </c>
      <c r="N24" s="480"/>
    </row>
    <row r="25" spans="1:21" ht="20.100000000000001" hidden="1" customHeight="1">
      <c r="A25" s="1697" t="s">
        <v>390</v>
      </c>
      <c r="B25" s="1455"/>
      <c r="C25" s="9"/>
      <c r="D25" s="435" t="str">
        <f>IF(minergiea,"",IF(minergiep,IF(Luftheizung,"qh,max",""),IF(Hoehe&gt;=800,"FS1","")))</f>
        <v/>
      </c>
      <c r="E25" s="1194" t="str">
        <f>IF(minergiea,"MJ/m2",IF(minergiep,IF(Luftheizung,"W/m2",""),IF(Hoehe&gt;=800,"-","")))</f>
        <v/>
      </c>
      <c r="F25" s="1195"/>
      <c r="G25" s="1196"/>
      <c r="H25" s="1196"/>
      <c r="I25" s="1196"/>
      <c r="J25" s="1197"/>
      <c r="K25" s="1198">
        <f>IF(minergiea,"",IF(minergiep,IF(EBF&gt;0,IF(OR(F_s1&gt;qhmax,F_s2&gt;qhmax,F_s3&gt;qhmax,F_s4&gt;qhmax),"Anforderung 1   nicht erfüllt",""),""),IF(OR(F_s1&gt;1,F_s2&gt;1,F_s3&gt;1,F_s4&gt;1),"Fs &gt; 1:                  nicht möglich",)))</f>
        <v>0</v>
      </c>
    </row>
    <row r="26" spans="1:21" ht="4.5" customHeight="1">
      <c r="A26" s="1698"/>
      <c r="B26" s="1393"/>
      <c r="C26" s="1393"/>
      <c r="D26" s="488"/>
      <c r="E26" s="488"/>
      <c r="F26" s="160">
        <v>3</v>
      </c>
      <c r="G26" s="160">
        <v>3</v>
      </c>
      <c r="H26" s="160">
        <v>3</v>
      </c>
      <c r="I26" s="160">
        <v>3</v>
      </c>
      <c r="J26" s="488"/>
      <c r="K26" s="488"/>
      <c r="M26" s="488"/>
      <c r="N26" s="125"/>
    </row>
    <row r="27" spans="1:21" ht="20.100000000000001" customHeight="1">
      <c r="A27" s="1696" t="s">
        <v>679</v>
      </c>
      <c r="B27" s="1917" t="str">
        <f>Uebersetzung!D38</f>
        <v>Impianti di aerazione e climatizzazione</v>
      </c>
      <c r="C27" s="1918"/>
      <c r="D27" s="1918"/>
      <c r="E27" s="1918"/>
      <c r="F27" s="274" t="str">
        <f>IF(Kategorie1=1,"",IF(Standardwerte!AG50,"1)",IF(OR(minergiea,minergiep),"",IF(Standardwerte!AG49,"1)",""))))</f>
        <v/>
      </c>
      <c r="G27" s="274" t="str">
        <f>IF(Zonen&gt;1,IF(Standardwerte!AI50,"1)",IF(OR(minergiea,minergiep),"",IF(Standardwerte!AI49,"1)",""))),"")</f>
        <v/>
      </c>
      <c r="H27" s="274" t="str">
        <f>IF(Zonen&gt;2,IF(Standardwerte!AK50,"1)",IF(OR(minergiea,minergiep),"",IF(Standardwerte!AK49,"1)",""))),"")</f>
        <v/>
      </c>
      <c r="I27" s="274" t="str">
        <f>IF(Zonen&gt;3,IF(Standardwerte!AM50,"1)",IF(OR(minergiea,minergiep),"",IF(Standardwerte!AM49,"1)",""))),"")</f>
        <v/>
      </c>
      <c r="J27" s="12"/>
      <c r="K27" s="13"/>
    </row>
    <row r="28" spans="1:21" ht="20.100000000000001" customHeight="1">
      <c r="B28" s="10" t="str">
        <f>Uebersetzung!D39</f>
        <v>La portata d'aria esterna termicamente determinante secondo F45-I45 è da inserire nel calcolo del fabbisogno termico (SIA 380/1)</v>
      </c>
      <c r="C28" s="17"/>
      <c r="D28" s="14"/>
      <c r="E28" s="14"/>
      <c r="F28" s="11"/>
      <c r="G28" s="11"/>
      <c r="H28" s="15"/>
      <c r="I28" s="16"/>
      <c r="J28" s="17"/>
      <c r="K28" s="18"/>
      <c r="T28" s="148"/>
      <c r="U28" s="148"/>
    </row>
    <row r="29" spans="1:21" ht="20.100000000000001" customHeight="1">
      <c r="B29" s="1919" t="str">
        <f>Uebersetzung!D40</f>
        <v>Piccoli impianti di ventilazione standard</v>
      </c>
      <c r="C29" s="1920"/>
      <c r="D29" s="1920"/>
      <c r="E29" s="444" t="str">
        <f>B15</f>
        <v>Zone</v>
      </c>
      <c r="F29" s="197">
        <v>1</v>
      </c>
      <c r="G29" s="197">
        <v>2</v>
      </c>
      <c r="H29" s="197">
        <v>3</v>
      </c>
      <c r="I29" s="197">
        <v>4</v>
      </c>
      <c r="J29" s="19"/>
      <c r="K29" s="20" t="str">
        <f>K15</f>
        <v>Somma</v>
      </c>
      <c r="T29" s="148"/>
      <c r="U29" s="148"/>
    </row>
    <row r="30" spans="1:21" ht="20.100000000000001" customHeight="1">
      <c r="A30" s="1697" t="s">
        <v>398</v>
      </c>
      <c r="B30" s="1871" t="str">
        <f>Uebersetzung!D48</f>
        <v>Piccoli impianti con valori standard</v>
      </c>
      <c r="C30" s="1872"/>
      <c r="D30" s="219"/>
      <c r="E30" s="220"/>
      <c r="F30" s="890"/>
      <c r="G30" s="890"/>
      <c r="H30" s="890"/>
      <c r="I30" s="890"/>
      <c r="J30" s="199"/>
      <c r="K30" s="922" t="str">
        <f>IF(OR(AND(F30="",Kategorie1&gt;1),AND(G30="",Kategorie2&gt;1,Zonen&gt;1),AND(H30="",Kategorie3&gt;1,Zonen&gt;2),AND(I30="",Kategorie4&gt;1,Zonen&gt;3)),Fehler1,IF(OR(ISERROR(Standardlüftung1),AND(ISERROR(Standardlüftung2),Zonen&gt;1),AND(ISERROR(Standardlüftung3),Zonen&gt;2),AND(ISERROR(Standardlüftung4),Zonen&gt;3)),Fehler2,""))</f>
        <v/>
      </c>
      <c r="L30" s="325" t="s">
        <v>199</v>
      </c>
      <c r="T30" s="148"/>
      <c r="U30" s="148"/>
    </row>
    <row r="31" spans="1:21" ht="20.100000000000001" customHeight="1">
      <c r="A31" s="1697" t="s">
        <v>399</v>
      </c>
      <c r="B31" s="1875" t="str">
        <f>Uebersetzung!D41</f>
        <v>Tipo d'impianto</v>
      </c>
      <c r="C31" s="1876"/>
      <c r="D31" s="217"/>
      <c r="E31" s="212"/>
      <c r="F31" s="925"/>
      <c r="G31" s="925"/>
      <c r="H31" s="925"/>
      <c r="I31" s="925"/>
      <c r="J31" s="202"/>
      <c r="K31" s="244"/>
      <c r="L31" s="325" t="s">
        <v>199</v>
      </c>
      <c r="T31" s="148"/>
      <c r="U31" s="148"/>
    </row>
    <row r="32" spans="1:21" ht="20.100000000000001" customHeight="1">
      <c r="A32" s="1697" t="s">
        <v>400</v>
      </c>
      <c r="B32" s="1911">
        <f>IF(OR(Kategorie1=2,Kategorie1=3,Kategorie2=2,Kategorie2=3,Kategorie3=2,Kategorie3=3,Kategorie4=2,Kategorie4=3),IF(OR(Kategorie1=4,Kategorie1=5,Kategorie2=4,Kategorie2=5,Kategorie3=4,Kategorie3=5,Kategorie4=4,Kategorie4=5),Uebersetzung!D42,Uebersetzung!D43),IF(OR(Kategorie1=4,Kategorie1=5,Kategorie2=4,Kategorie2=5,Kategorie3=4,Kategorie3=5,Kategorie4=4,Kategorie4=5),Uebersetzung!D44,))</f>
        <v>0</v>
      </c>
      <c r="C32" s="1912"/>
      <c r="D32" s="212"/>
      <c r="E32" s="212"/>
      <c r="F32" s="926"/>
      <c r="G32" s="926"/>
      <c r="H32" s="926"/>
      <c r="I32" s="926"/>
      <c r="J32" s="200"/>
      <c r="K32" s="204"/>
    </row>
    <row r="33" spans="1:24" ht="20.100000000000001" hidden="1" customHeight="1">
      <c r="A33" s="1697" t="s">
        <v>393</v>
      </c>
      <c r="B33" s="1875"/>
      <c r="C33" s="1876"/>
      <c r="D33" s="212"/>
      <c r="E33" s="212"/>
      <c r="F33" s="928"/>
      <c r="G33" s="928"/>
      <c r="H33" s="928"/>
      <c r="I33" s="928"/>
      <c r="J33" s="200"/>
      <c r="K33" s="205"/>
    </row>
    <row r="34" spans="1:24" ht="20.100000000000001" customHeight="1">
      <c r="A34" s="1697" t="s">
        <v>402</v>
      </c>
      <c r="B34" s="1875" t="str">
        <f>Uebersetzung!D45</f>
        <v>Scambiatore con recupero di calore</v>
      </c>
      <c r="C34" s="1910"/>
      <c r="D34" s="1876"/>
      <c r="E34" s="212"/>
      <c r="F34" s="926"/>
      <c r="G34" s="926"/>
      <c r="H34" s="926"/>
      <c r="I34" s="926"/>
      <c r="J34" s="200"/>
      <c r="K34" s="244"/>
    </row>
    <row r="35" spans="1:24" ht="20.100000000000001" customHeight="1">
      <c r="A35" s="1697" t="s">
        <v>403</v>
      </c>
      <c r="B35" s="1875" t="str">
        <f>Uebersetzung!D47</f>
        <v xml:space="preserve">Azionamento dei ventilatori con </v>
      </c>
      <c r="C35" s="1876"/>
      <c r="D35" s="212"/>
      <c r="E35" s="212"/>
      <c r="F35" s="926"/>
      <c r="G35" s="926"/>
      <c r="H35" s="926"/>
      <c r="I35" s="926"/>
      <c r="J35" s="200"/>
      <c r="K35" s="205"/>
    </row>
    <row r="36" spans="1:24" ht="17.25" hidden="1" customHeight="1">
      <c r="A36" s="1697" t="s">
        <v>395</v>
      </c>
      <c r="F36" s="1043"/>
      <c r="G36" s="1043"/>
      <c r="H36" s="1043"/>
      <c r="I36" s="1043"/>
    </row>
    <row r="37" spans="1:24" ht="20.100000000000001" customHeight="1">
      <c r="A37" s="1697" t="s">
        <v>116</v>
      </c>
      <c r="B37" s="1906" t="str">
        <f>Uebersetzung!D46</f>
        <v xml:space="preserve">Portata d'aria nominale </v>
      </c>
      <c r="C37" s="1907"/>
      <c r="D37" s="440"/>
      <c r="E37" s="219" t="s">
        <v>583</v>
      </c>
      <c r="F37" s="927" t="str">
        <f>VSup1</f>
        <v/>
      </c>
      <c r="G37" s="927" t="str">
        <f>VSup2</f>
        <v/>
      </c>
      <c r="H37" s="927" t="str">
        <f>VSup3</f>
        <v/>
      </c>
      <c r="I37" s="927" t="str">
        <f>VSup4</f>
        <v/>
      </c>
      <c r="J37" s="441"/>
      <c r="K37" s="205">
        <f>IF(AND(Lüftung1&gt;1,Standardlüftung1=3),F37,0)+IF(AND(Lüftung2&gt;1,Standardlüftung2=3,Zonen&gt;1),G37,0)+IF(AND(Lüftung3&gt;1,Standardlüftung3=3,Zonen&gt;2),H37,0)+IF(AND(Lüftung4&gt;1,Standardlüftung4=3,Zonen&gt;3),I37,0)</f>
        <v>0</v>
      </c>
      <c r="L37" s="160"/>
    </row>
    <row r="38" spans="1:24" ht="20.100000000000001" customHeight="1">
      <c r="A38" s="1697" t="s">
        <v>3033</v>
      </c>
      <c r="B38" s="1908" t="str">
        <f>Uebersetzung!D53</f>
        <v>Calcolo esterno</v>
      </c>
      <c r="C38" s="1909"/>
      <c r="D38" s="991" t="str">
        <f>IF(OR(F27&lt;&gt;"",G27&lt;&gt;"",H27&lt;&gt;""),Uebersetzung!D116,"")</f>
        <v/>
      </c>
      <c r="E38" s="446"/>
      <c r="F38" s="446"/>
      <c r="G38" s="446"/>
      <c r="H38" s="446"/>
      <c r="I38" s="446"/>
      <c r="J38" s="446"/>
      <c r="K38" s="443"/>
      <c r="L38" s="160"/>
    </row>
    <row r="39" spans="1:24" ht="20.100000000000001" customHeight="1">
      <c r="A39" s="1697" t="s">
        <v>3034</v>
      </c>
      <c r="B39" s="1871" t="str">
        <f>Uebersetzung!D54</f>
        <v>Raffreddamento o umidificazione?</v>
      </c>
      <c r="C39" s="1872"/>
      <c r="D39" s="293"/>
      <c r="E39" s="293"/>
      <c r="F39" s="891"/>
      <c r="G39" s="891"/>
      <c r="H39" s="891"/>
      <c r="I39" s="891"/>
      <c r="J39" s="294"/>
      <c r="K39" s="924">
        <f>IF(OR(AND(Zonen&gt;3,Standardwerte!$M$118=1),AND(Zonen&gt;2,Standardwerte!$L$118=1),AND(Zonen&gt;1,Standardwerte!$K$118=1),AND(Zonen&gt;0,Standardwerte!$J$118=1)),Fehler1,)</f>
        <v>0</v>
      </c>
      <c r="L39" s="160"/>
    </row>
    <row r="40" spans="1:24" ht="20.100000000000001" customHeight="1">
      <c r="A40" s="1697" t="s">
        <v>3035</v>
      </c>
      <c r="B40" s="1873" t="str">
        <f>Uebersetzung!D49</f>
        <v>Portata d'aria esterna termicamcamente det.</v>
      </c>
      <c r="C40" s="1874"/>
      <c r="D40" s="221" t="s">
        <v>142</v>
      </c>
      <c r="E40" s="212" t="s">
        <v>583</v>
      </c>
      <c r="F40" s="961"/>
      <c r="G40" s="919"/>
      <c r="H40" s="448"/>
      <c r="I40" s="448"/>
      <c r="J40" s="209"/>
      <c r="K40" s="205">
        <f>IF(Standardlüftung1&lt;3,F40,0)+IF(Standardlüftung2&lt;3,G40,0)+IF(Standardlüftung3&lt;3,H40,0)+IF(Standardlüftung4&lt;3,I40,0)</f>
        <v>0</v>
      </c>
    </row>
    <row r="41" spans="1:24" ht="24" customHeight="1">
      <c r="A41" s="1697" t="s">
        <v>3036</v>
      </c>
      <c r="B41" s="1878" t="str">
        <f>Uebersetzung!D50</f>
        <v>Fabb. elettricità per aerazione e antigelo</v>
      </c>
      <c r="C41" s="1879"/>
      <c r="D41" s="221" t="s">
        <v>704</v>
      </c>
      <c r="E41" s="212" t="s">
        <v>673</v>
      </c>
      <c r="F41" s="961"/>
      <c r="G41" s="919"/>
      <c r="H41" s="448"/>
      <c r="I41" s="448"/>
      <c r="J41" s="201"/>
      <c r="K41" s="447">
        <f>IF(Standardlüftung1&lt;3,F41,0)+IF(Standardlüftung2&lt;3,G41,0)+IF(Standardlüftung3&lt;3,H41,0)+IF(Standardlüftung4&lt;3,I41,0)</f>
        <v>0</v>
      </c>
      <c r="M41" s="488"/>
      <c r="N41" s="125"/>
    </row>
    <row r="42" spans="1:24" ht="24" customHeight="1">
      <c r="A42" s="1697" t="s">
        <v>3037</v>
      </c>
      <c r="B42" s="1878" t="str">
        <f>Uebersetzung!D51</f>
        <v>Fabb. elettricità raffreddamento e umidificazione</v>
      </c>
      <c r="C42" s="1879"/>
      <c r="D42" s="221" t="s">
        <v>705</v>
      </c>
      <c r="E42" s="219" t="s">
        <v>673</v>
      </c>
      <c r="F42" s="450"/>
      <c r="G42" s="451"/>
      <c r="H42" s="451"/>
      <c r="I42" s="451"/>
      <c r="J42" s="445"/>
      <c r="K42" s="1073">
        <f>F42+IF(Zonen&gt;1,G42,0)+IF(Zonen&gt;2,H42,0)+IF(Zonen&gt;3,I42,0)</f>
        <v>0</v>
      </c>
      <c r="M42" s="488"/>
      <c r="N42" s="125"/>
    </row>
    <row r="43" spans="1:24" ht="24" customHeight="1">
      <c r="A43" s="1697" t="s">
        <v>3038</v>
      </c>
      <c r="B43" s="1880" t="str">
        <f>Uebersetzung!D56</f>
        <v>Fabb. di elettricità per il trasporto di freddo</v>
      </c>
      <c r="C43" s="1881"/>
      <c r="D43" s="221" t="s">
        <v>155</v>
      </c>
      <c r="E43" s="219" t="s">
        <v>673</v>
      </c>
      <c r="F43" s="450"/>
      <c r="G43" s="1472"/>
      <c r="H43" s="1472"/>
      <c r="I43" s="1472"/>
      <c r="J43" s="445"/>
      <c r="K43" s="1073">
        <f>F43+IF(Zonen&gt;1,G43,0)+IF(Zonen&gt;2,H43,0)+IF(Zonen&gt;3,I43,0)</f>
        <v>0</v>
      </c>
      <c r="M43" s="488"/>
      <c r="N43" s="125"/>
    </row>
    <row r="44" spans="1:24" ht="20.100000000000001" customHeight="1">
      <c r="A44" s="1697" t="s">
        <v>3040</v>
      </c>
      <c r="B44" s="842" t="str">
        <f>Uebersetzung!D57</f>
        <v>Qh con portata d'aria esterna termicamente determinante</v>
      </c>
      <c r="C44" s="843"/>
      <c r="D44" s="442"/>
      <c r="E44" s="446"/>
      <c r="F44" s="446"/>
      <c r="G44" s="446"/>
      <c r="H44" s="446"/>
      <c r="I44" s="446"/>
      <c r="J44" s="446"/>
      <c r="K44" s="443"/>
      <c r="M44" s="488"/>
      <c r="N44" s="125"/>
    </row>
    <row r="45" spans="1:24" ht="20.100000000000001" customHeight="1">
      <c r="A45" s="1697" t="s">
        <v>3039</v>
      </c>
      <c r="B45" s="1871" t="str">
        <f>Uebersetzung!D58</f>
        <v>Portata d'aria esterna termicamente det.</v>
      </c>
      <c r="C45" s="1877"/>
      <c r="D45" s="221" t="s">
        <v>534</v>
      </c>
      <c r="E45" s="223" t="s">
        <v>582</v>
      </c>
      <c r="F45" s="593">
        <f>IF(F88,VEBFo1,IF(AND(F40&gt;0,F19&gt;0,F86),F40/F19+_vo,INDEX(Standardwerte!$O$9:$O$21,Kategorie1,1)))</f>
        <v>0</v>
      </c>
      <c r="G45" s="593">
        <f>IF(Zonen&gt;1,IF(G88,VEBFo2,IF(AND(G40&gt;0,G19&gt;0,G86),G40/G19+_vo,INDEX(Standardwerte!$O$9:$O$21,Kategorie2,1))),)</f>
        <v>0</v>
      </c>
      <c r="H45" s="593">
        <f>IF(Zonen&gt;2,IF(H88,VEBFo3,IF(AND(H40&gt;0,H19&gt;0,H86),H40/H19+_vo,INDEX(Standardwerte!$O$9:$O$21,Kategorie3,1))),)</f>
        <v>0</v>
      </c>
      <c r="I45" s="593">
        <f>IF(Zonen&gt;3,IF(I88,VEBFo4,IF(AND(I40&gt;0,I19&gt;0,I86),I40/I19+_vo,INDEX(Standardwerte!$O$9:$O$21,Kategorie4,1))),)</f>
        <v>0</v>
      </c>
      <c r="J45" s="759"/>
      <c r="K45" s="760">
        <f>IF(ISERROR(F45*EBFo1+G45*EBFo2+H45*EBFo3+I45*EBFo4),"",IF(AND(EBFo&gt;0,EBF&gt;0),(F45*EBFo1+G45*EBFo2+H45*EBFo3+I45*EBFo4)/EBFo,))</f>
        <v>0</v>
      </c>
      <c r="M45" s="488"/>
      <c r="N45" s="513"/>
    </row>
    <row r="46" spans="1:24" ht="24" customHeight="1">
      <c r="A46" s="1697" t="s">
        <v>1061</v>
      </c>
      <c r="B46" s="1880" t="str">
        <f>Uebersetzung!D60</f>
        <v>Fabb. calore effettivo per il risc. con aeraz.</v>
      </c>
      <c r="C46" s="1881"/>
      <c r="D46" s="407" t="s">
        <v>842</v>
      </c>
      <c r="E46" s="1602" t="s">
        <v>191</v>
      </c>
      <c r="F46" s="1362"/>
      <c r="G46" s="1362"/>
      <c r="H46" s="1362"/>
      <c r="I46" s="1362"/>
      <c r="J46" s="1363">
        <f>IF(OR(AND(Zonen&gt;0,_qh1=0,Kategorie1&lt;13),AND(Zonen&gt;1,_qh2=0,Kategorie2&lt;13),AND(Zonen&gt;2,_qh3=0,Kategorie3&lt;13),AND(Zonen&gt;3,_qh4=0,Kategorie4&lt;13)),0,1)</f>
        <v>1</v>
      </c>
      <c r="K46" s="1364">
        <f>IF(EBF=0,0,(F46*_EBF1+G46*_EBF2+H46*_EBF3+I46*_EBF4)/EBF)</f>
        <v>0</v>
      </c>
      <c r="M46" s="488"/>
      <c r="N46" s="125"/>
    </row>
    <row r="47" spans="1:24" ht="12" customHeight="1">
      <c r="A47" s="1699"/>
      <c r="B47" s="1100">
        <f ca="1">NOW()</f>
        <v>43132.781938657405</v>
      </c>
      <c r="D47" s="1832">
        <f>IF(AND(EBF&gt;0,Einheiten=1,K46&lt;30,K46&gt;0),1,)</f>
        <v>0</v>
      </c>
      <c r="E47" s="1832">
        <f>IF(AND(EBF&gt;0,Einheiten=1,K46&lt;30,K46&gt;0),Uebersetzung!D527,)</f>
        <v>0</v>
      </c>
      <c r="K47" s="824" t="str">
        <f>K62</f>
        <v xml:space="preserve"> /  /  /  /  /  / </v>
      </c>
      <c r="M47" s="488"/>
      <c r="N47" s="125"/>
    </row>
    <row r="48" spans="1:24" ht="15.9" customHeight="1">
      <c r="A48" s="1699"/>
      <c r="B48" s="934" t="str">
        <f>Uebersetzung!D146</f>
        <v>Firme</v>
      </c>
      <c r="C48" s="935" t="str">
        <f>Uebersetzung!D147</f>
        <v>Verifica elaborata da:</v>
      </c>
      <c r="D48" s="936"/>
      <c r="E48" s="936"/>
      <c r="F48" s="936"/>
      <c r="G48" s="935" t="str">
        <f>Uebersetzung!D148</f>
        <v>Controllo della verifica/Controllo esterno:</v>
      </c>
      <c r="H48" s="97"/>
      <c r="I48" s="937"/>
      <c r="J48" s="936"/>
      <c r="K48" s="936"/>
      <c r="M48" s="488"/>
      <c r="N48" s="97"/>
      <c r="O48" s="97"/>
      <c r="P48" s="97"/>
      <c r="Q48" s="641"/>
      <c r="R48" s="641"/>
      <c r="S48" s="641"/>
      <c r="T48" s="749"/>
      <c r="U48" s="641"/>
      <c r="V48" s="641"/>
      <c r="W48" s="641"/>
      <c r="X48" s="641"/>
    </row>
    <row r="49" spans="1:24" ht="15.9" customHeight="1">
      <c r="A49" s="1699"/>
      <c r="B49" s="936"/>
      <c r="C49" s="938"/>
      <c r="D49" s="936"/>
      <c r="E49" s="936"/>
      <c r="F49" s="936"/>
      <c r="G49" s="298" t="str">
        <f>Uebersetzung!D149</f>
        <v>Si attesta la correttezza</v>
      </c>
      <c r="H49" s="97"/>
      <c r="I49" s="937"/>
      <c r="J49" s="936"/>
      <c r="K49" s="936"/>
      <c r="M49" s="488"/>
      <c r="O49" s="640"/>
    </row>
    <row r="50" spans="1:24" ht="6" customHeight="1">
      <c r="A50" s="1699"/>
      <c r="B50" s="936"/>
      <c r="C50" s="938"/>
      <c r="D50" s="936"/>
      <c r="E50" s="936"/>
      <c r="F50" s="936"/>
      <c r="G50" s="938"/>
      <c r="H50" s="97"/>
      <c r="I50" s="937"/>
      <c r="J50" s="936"/>
      <c r="K50" s="936"/>
      <c r="M50" s="488"/>
      <c r="O50" s="641"/>
    </row>
    <row r="51" spans="1:24" ht="20.100000000000001" customHeight="1">
      <c r="A51" s="1699"/>
      <c r="B51" s="939" t="str">
        <f>Uebersetzung!D150</f>
        <v>Nome e indirizzo</v>
      </c>
      <c r="C51" s="1894"/>
      <c r="D51" s="1893"/>
      <c r="E51" s="1893"/>
      <c r="F51" s="1949"/>
      <c r="G51" s="1892"/>
      <c r="H51" s="1893"/>
      <c r="I51" s="1893"/>
      <c r="J51" s="1893"/>
      <c r="K51" s="1893"/>
      <c r="M51" s="488"/>
      <c r="O51" s="641"/>
    </row>
    <row r="52" spans="1:24" ht="20.100000000000001" customHeight="1">
      <c r="A52" s="1699"/>
      <c r="B52" s="939" t="str">
        <f>Uebersetzung!D151</f>
        <v>risp. timbro della ditta</v>
      </c>
      <c r="C52" s="1894"/>
      <c r="D52" s="1893"/>
      <c r="E52" s="1893"/>
      <c r="F52" s="1949"/>
      <c r="G52" s="1894"/>
      <c r="H52" s="1893"/>
      <c r="I52" s="1893"/>
      <c r="J52" s="1893"/>
      <c r="K52" s="1893"/>
      <c r="M52" s="488"/>
      <c r="O52" s="645"/>
    </row>
    <row r="53" spans="1:24" ht="20.100000000000001" customHeight="1">
      <c r="A53" s="1699"/>
      <c r="B53" s="936"/>
      <c r="C53" s="1895"/>
      <c r="D53" s="1896"/>
      <c r="E53" s="1896"/>
      <c r="F53" s="1897"/>
      <c r="G53" s="1895"/>
      <c r="H53" s="1896"/>
      <c r="I53" s="1896"/>
      <c r="J53" s="1896"/>
      <c r="K53" s="1896"/>
      <c r="M53" s="488"/>
      <c r="O53" s="645"/>
    </row>
    <row r="54" spans="1:24" ht="6" customHeight="1">
      <c r="A54" s="1699"/>
      <c r="B54" s="937"/>
      <c r="C54" s="937"/>
      <c r="D54" s="937"/>
      <c r="E54" s="937"/>
      <c r="F54" s="937"/>
      <c r="G54" s="937"/>
      <c r="I54" s="937"/>
      <c r="J54" s="936"/>
      <c r="K54" s="936"/>
      <c r="M54" s="488"/>
      <c r="O54" s="641"/>
    </row>
    <row r="55" spans="1:24" ht="20.100000000000001" customHeight="1">
      <c r="A55" s="1699"/>
      <c r="B55" s="3" t="str">
        <f>Uebersetzung!D152</f>
        <v>Responsabile, tel.:</v>
      </c>
      <c r="C55" s="1895"/>
      <c r="D55" s="1896"/>
      <c r="E55" s="1896"/>
      <c r="F55" s="1897"/>
      <c r="G55" s="1898"/>
      <c r="H55" s="1896"/>
      <c r="I55" s="1896"/>
      <c r="J55" s="1896"/>
      <c r="K55" s="1896"/>
      <c r="M55" s="488"/>
      <c r="O55" s="641"/>
    </row>
    <row r="56" spans="1:24" ht="2.1" customHeight="1">
      <c r="A56" s="1700"/>
      <c r="B56" s="941"/>
      <c r="C56" s="942"/>
      <c r="D56" s="942"/>
      <c r="E56" s="942"/>
      <c r="F56" s="942"/>
      <c r="G56" s="942"/>
      <c r="H56" s="942"/>
      <c r="I56" s="942"/>
      <c r="J56" s="942"/>
      <c r="K56" s="942"/>
      <c r="M56" s="488"/>
      <c r="O56" s="641"/>
    </row>
    <row r="57" spans="1:24" ht="20.100000000000001" customHeight="1">
      <c r="A57" s="1699"/>
      <c r="B57" s="1886" t="str">
        <f>Uebersetzung!D153</f>
        <v>Luogo, data, firma:</v>
      </c>
      <c r="C57" s="1899"/>
      <c r="D57" s="1900"/>
      <c r="E57" s="1900"/>
      <c r="F57" s="1901"/>
      <c r="G57" s="1905"/>
      <c r="H57" s="1900"/>
      <c r="I57" s="1900"/>
      <c r="J57" s="1900"/>
      <c r="K57" s="1900"/>
      <c r="M57" s="488"/>
      <c r="O57" s="645"/>
    </row>
    <row r="58" spans="1:24" ht="20.100000000000001" customHeight="1">
      <c r="A58" s="1699"/>
      <c r="B58" s="1886"/>
      <c r="C58" s="1902"/>
      <c r="D58" s="1903"/>
      <c r="E58" s="1903"/>
      <c r="F58" s="1904"/>
      <c r="G58" s="1902"/>
      <c r="H58" s="1903"/>
      <c r="I58" s="1903"/>
      <c r="J58" s="1903"/>
      <c r="K58" s="1903"/>
      <c r="M58" s="488"/>
      <c r="O58" s="645"/>
    </row>
    <row r="59" spans="1:24" ht="6" customHeight="1">
      <c r="A59" s="1699"/>
      <c r="B59" s="936"/>
      <c r="C59" s="936"/>
      <c r="D59" s="936"/>
      <c r="E59" s="936"/>
      <c r="F59" s="943"/>
      <c r="G59" s="943"/>
      <c r="H59" s="943"/>
      <c r="I59" s="936"/>
      <c r="J59" s="936"/>
      <c r="K59" s="936"/>
      <c r="M59" s="488"/>
      <c r="O59" s="641"/>
    </row>
    <row r="60" spans="1:24" ht="20.100000000000001" customHeight="1">
      <c r="A60" s="1699"/>
      <c r="B60" s="939" t="str">
        <f>Uebersetzung!D154</f>
        <v>Controllo esecuzione:</v>
      </c>
      <c r="C60" s="719" t="str">
        <f>Uebersetzung!D155</f>
        <v>stessa persona</v>
      </c>
      <c r="D60" s="892"/>
      <c r="E60" s="936"/>
      <c r="F60" s="851" t="str">
        <f>Uebersetzung!D156</f>
        <v>oppure:</v>
      </c>
      <c r="G60" s="1891"/>
      <c r="H60" s="1891"/>
      <c r="I60" s="1891"/>
      <c r="J60" s="1891"/>
      <c r="K60" s="1891"/>
      <c r="M60" s="488"/>
      <c r="O60" s="641"/>
    </row>
    <row r="61" spans="1:24" ht="3.9" customHeight="1">
      <c r="A61" s="1699"/>
      <c r="B61" s="156"/>
      <c r="C61" s="156"/>
      <c r="D61" s="156"/>
      <c r="E61" s="156"/>
      <c r="F61" s="156"/>
      <c r="G61" s="156"/>
      <c r="H61" s="156"/>
      <c r="I61" s="156"/>
      <c r="J61" s="156"/>
      <c r="K61" s="156"/>
      <c r="M61" s="488"/>
      <c r="O61" s="641"/>
    </row>
    <row r="62" spans="1:24" ht="9.9" customHeight="1">
      <c r="A62" s="1699"/>
      <c r="B62" s="847">
        <f ca="1">NOW()</f>
        <v>43132.781938657405</v>
      </c>
      <c r="K62" s="824" t="str">
        <f>Dati!C8&amp;" / "&amp;Dati!C7&amp;" / "&amp;Dati!H7&amp;" / "&amp;Dati!J7&amp;" / "&amp;Dati!J8&amp;" / "&amp;Dati!G55&amp;" / "&amp;Dati!G57</f>
        <v xml:space="preserve"> /  /  /  /  /  / </v>
      </c>
      <c r="M62" s="936"/>
      <c r="N62" s="936"/>
      <c r="O62" s="641"/>
      <c r="P62" s="641"/>
      <c r="Q62" s="641"/>
      <c r="R62" s="641"/>
      <c r="S62" s="641"/>
      <c r="T62" s="641"/>
      <c r="U62" s="641"/>
      <c r="V62" s="641"/>
      <c r="W62" s="641"/>
      <c r="X62" s="641"/>
    </row>
    <row r="63" spans="1:24" ht="17.25" customHeight="1">
      <c r="A63" s="1697"/>
      <c r="B63" s="329"/>
      <c r="C63" s="329"/>
      <c r="D63" s="168"/>
      <c r="E63" s="168"/>
      <c r="F63" s="125"/>
      <c r="G63" s="125"/>
      <c r="H63" s="125"/>
      <c r="I63" s="125"/>
      <c r="J63" s="125"/>
      <c r="K63" s="125"/>
      <c r="M63" s="936"/>
      <c r="N63" s="936"/>
      <c r="O63" s="641"/>
      <c r="P63" s="641"/>
      <c r="Q63" s="641"/>
      <c r="R63" s="641"/>
      <c r="S63" s="641"/>
      <c r="T63" s="641"/>
      <c r="U63" s="641"/>
      <c r="V63" s="641"/>
      <c r="W63" s="641"/>
      <c r="X63" s="641"/>
    </row>
    <row r="64" spans="1:24" ht="11.4" hidden="1" customHeight="1">
      <c r="D64" s="99"/>
      <c r="E64" s="99"/>
      <c r="F64" s="196"/>
      <c r="G64" s="196"/>
      <c r="H64" s="196"/>
      <c r="I64" s="70" t="s">
        <v>314</v>
      </c>
      <c r="J64" s="9"/>
      <c r="K64" s="8">
        <f>IF(Standardwerte!$R$28&gt;1,4,IF(Standardwerte!$N$28&gt;1,3,IF(Standardwerte!$R$24&gt;1,2,IF(Standardwerte!$N$24&gt;1,1,))))</f>
        <v>0</v>
      </c>
      <c r="M64" s="488"/>
      <c r="N64" s="125"/>
    </row>
    <row r="65" spans="1:14" ht="17.25" hidden="1" customHeight="1">
      <c r="B65" s="396" t="s">
        <v>323</v>
      </c>
      <c r="C65" s="815"/>
      <c r="D65" s="398" t="s">
        <v>84</v>
      </c>
      <c r="E65" s="398"/>
      <c r="F65" s="397"/>
      <c r="G65" s="399" t="s">
        <v>701</v>
      </c>
      <c r="H65" s="149"/>
      <c r="I65" s="331" t="s">
        <v>495</v>
      </c>
      <c r="J65" s="118"/>
      <c r="K65" s="332" t="s">
        <v>166</v>
      </c>
      <c r="N65" s="125"/>
    </row>
    <row r="66" spans="1:14" ht="17.25" hidden="1" customHeight="1">
      <c r="A66" s="1697" t="s">
        <v>398</v>
      </c>
      <c r="B66" s="1871" t="str">
        <f>IF(auswahl1&gt;0,INDEX(Standardwerte!$AF$5:$AF$13,2),"")</f>
        <v/>
      </c>
      <c r="C66" s="1872"/>
      <c r="D66" s="418" t="str">
        <f>IF(minergiea,"Bestgeräte",IF(auswahl1&gt;0,INDEX(Standardwerte!$BA$5:$BA$13,2),""))</f>
        <v/>
      </c>
      <c r="E66" s="419"/>
      <c r="F66" s="420"/>
      <c r="G66" s="150" t="s">
        <v>310</v>
      </c>
      <c r="H66" s="150" t="s">
        <v>311</v>
      </c>
      <c r="I66" s="944"/>
      <c r="J66" s="1889"/>
      <c r="K66" s="1890"/>
      <c r="M66" s="160"/>
      <c r="N66" s="126"/>
    </row>
    <row r="67" spans="1:14" ht="17.25" hidden="1" customHeight="1">
      <c r="A67" s="1697" t="s">
        <v>399</v>
      </c>
      <c r="B67" s="1875" t="str">
        <f>IF(auswahl2&gt;0,INDEX(Standardwerte!$AF$5:$AF$13,3),"")</f>
        <v/>
      </c>
      <c r="C67" s="1876"/>
      <c r="D67" s="414" t="str">
        <f>IF(auswahl2&gt;0,INDEX(Standardwerte!$BA$5:$BA$13,3),"")</f>
        <v/>
      </c>
      <c r="E67" s="415"/>
      <c r="F67" s="416"/>
      <c r="G67" s="151" t="s">
        <v>310</v>
      </c>
      <c r="H67" s="151" t="s">
        <v>311</v>
      </c>
      <c r="I67" s="945"/>
      <c r="J67" s="1887"/>
      <c r="K67" s="1888"/>
      <c r="M67" s="160"/>
      <c r="N67" s="125"/>
    </row>
    <row r="68" spans="1:14" ht="17.25" hidden="1" customHeight="1">
      <c r="A68" s="1697" t="s">
        <v>400</v>
      </c>
      <c r="B68" s="1875" t="str">
        <f>IF(auswahl3&gt;0,INDEX(Standardwerte!$AF$5:$AF$13,4),"")</f>
        <v/>
      </c>
      <c r="C68" s="1876"/>
      <c r="D68" s="414" t="str">
        <f>IF(auswahl3&gt;0,INDEX(Standardwerte!$BA$5:$BA$13,4),"")</f>
        <v/>
      </c>
      <c r="E68" s="415"/>
      <c r="F68" s="416"/>
      <c r="G68" s="151" t="s">
        <v>310</v>
      </c>
      <c r="H68" s="151" t="s">
        <v>311</v>
      </c>
      <c r="I68" s="946"/>
      <c r="J68" s="1884"/>
      <c r="K68" s="1885"/>
      <c r="M68" s="160"/>
      <c r="N68" s="125"/>
    </row>
    <row r="69" spans="1:14" ht="17.25" hidden="1" customHeight="1">
      <c r="A69" s="1697" t="s">
        <v>401</v>
      </c>
      <c r="B69" s="1875" t="str">
        <f>IF(auswahl4&gt;0,INDEX(Standardwerte!$AF$5:$AF$13,5),"")</f>
        <v/>
      </c>
      <c r="C69" s="1876"/>
      <c r="D69" s="414" t="str">
        <f>IF(auswahl4&gt;0,INDEX(Standardwerte!$BA$5:$BA$13,5),"")</f>
        <v/>
      </c>
      <c r="E69" s="415"/>
      <c r="F69" s="416"/>
      <c r="G69" s="151" t="s">
        <v>310</v>
      </c>
      <c r="H69" s="151" t="s">
        <v>311</v>
      </c>
      <c r="I69" s="946"/>
      <c r="J69" s="1884"/>
      <c r="K69" s="1885"/>
      <c r="M69" s="160" t="b">
        <v>0</v>
      </c>
      <c r="N69" s="125"/>
    </row>
    <row r="70" spans="1:14" ht="17.25" hidden="1" customHeight="1">
      <c r="A70" s="1697" t="s">
        <v>402</v>
      </c>
      <c r="B70" s="1875" t="str">
        <f>IF(auswahl5&gt;0,INDEX(Standardwerte!$AF$5:$AF$13,6),"")</f>
        <v/>
      </c>
      <c r="C70" s="1876"/>
      <c r="D70" s="414" t="str">
        <f>IF(auswahl5&gt;0,INDEX(Standardwerte!$BA$5:$BA$13,6),"")</f>
        <v/>
      </c>
      <c r="E70" s="415"/>
      <c r="F70" s="416"/>
      <c r="G70" s="151" t="s">
        <v>310</v>
      </c>
      <c r="H70" s="151" t="s">
        <v>311</v>
      </c>
      <c r="I70" s="946"/>
      <c r="J70" s="1884"/>
      <c r="K70" s="1885"/>
      <c r="M70" s="160" t="b">
        <v>0</v>
      </c>
      <c r="N70" s="125"/>
    </row>
    <row r="71" spans="1:14" ht="17.25" hidden="1" customHeight="1">
      <c r="A71" s="1697" t="s">
        <v>403</v>
      </c>
      <c r="B71" s="1875" t="str">
        <f>IF(auswahl6&gt;0,INDEX(Standardwerte!$AF$5:$AF$13,7),"")</f>
        <v/>
      </c>
      <c r="C71" s="1876"/>
      <c r="D71" s="414" t="str">
        <f>IF(auswahl6&gt;0,INDEX(Standardwerte!$BA$5:$BA$13,7),"")</f>
        <v/>
      </c>
      <c r="E71" s="415"/>
      <c r="F71" s="416"/>
      <c r="G71" s="151" t="s">
        <v>310</v>
      </c>
      <c r="H71" s="151" t="s">
        <v>311</v>
      </c>
      <c r="I71" s="946"/>
      <c r="J71" s="1884"/>
      <c r="K71" s="1885"/>
      <c r="M71" s="160" t="b">
        <v>1</v>
      </c>
      <c r="N71" s="125"/>
    </row>
    <row r="72" spans="1:14" ht="17.25" hidden="1" customHeight="1">
      <c r="A72" s="1697" t="s">
        <v>431</v>
      </c>
      <c r="B72" s="1875" t="str">
        <f>IF(auswahl7&gt;0,INDEX(Standardwerte!$AF$5:$AF$13,8),"")</f>
        <v/>
      </c>
      <c r="C72" s="1876"/>
      <c r="D72" s="414" t="str">
        <f>IF(auswahl7&gt;0,INDEX(Standardwerte!$BA$5:$BA$13,8),"")</f>
        <v/>
      </c>
      <c r="E72" s="415"/>
      <c r="F72" s="416"/>
      <c r="G72" s="151" t="s">
        <v>310</v>
      </c>
      <c r="H72" s="151" t="s">
        <v>311</v>
      </c>
      <c r="I72" s="946"/>
      <c r="J72" s="1884"/>
      <c r="K72" s="1885"/>
      <c r="M72" s="160"/>
      <c r="N72" s="125"/>
    </row>
    <row r="73" spans="1:14" ht="17.25" hidden="1" customHeight="1">
      <c r="A73" s="1697" t="s">
        <v>116</v>
      </c>
      <c r="B73" s="1945" t="str">
        <f>IF(auswahl8&gt;0,INDEX(Standardwerte!$AF$5:$AF$13,9),"")</f>
        <v/>
      </c>
      <c r="C73" s="1946"/>
      <c r="D73" s="417" t="str">
        <f>IF(auswahl8&gt;0,INDEX(Standardwerte!$BA$5:$BA$13,9),"")</f>
        <v/>
      </c>
      <c r="E73" s="412"/>
      <c r="F73" s="413"/>
      <c r="G73" s="152" t="s">
        <v>310</v>
      </c>
      <c r="H73" s="152" t="s">
        <v>311</v>
      </c>
      <c r="I73" s="947">
        <f>IF(OR(minergiep,minergiea),IF(Neubau=2,"0.6 1/h",IF(Neubau=3,"1.5 1/h","0.6 (bzw. 1.5)")),)</f>
        <v>0</v>
      </c>
      <c r="J73" s="1882"/>
      <c r="K73" s="1883"/>
      <c r="M73" s="160" t="b">
        <v>0</v>
      </c>
    </row>
    <row r="74" spans="1:14" ht="17.25" hidden="1" customHeight="1">
      <c r="A74" s="1697"/>
      <c r="B74" s="796" t="s">
        <v>40</v>
      </c>
      <c r="C74" s="711"/>
      <c r="D74" s="529"/>
      <c r="E74" s="529"/>
      <c r="F74" s="948" t="b">
        <f>AND(Zonen&gt;0,OR(Lüftung1=2,Lüftung1=6,AND(Lüftung1=3,WRGtyp1&gt;1)))</f>
        <v>0</v>
      </c>
      <c r="G74" s="948"/>
      <c r="H74" s="948"/>
      <c r="I74" s="948"/>
      <c r="J74" s="711"/>
      <c r="K74" s="949" t="b">
        <f>OR(F74,G74,H74,I74)</f>
        <v>0</v>
      </c>
    </row>
    <row r="75" spans="1:14" s="27" customFormat="1" ht="13.2" hidden="1">
      <c r="A75" s="1699"/>
      <c r="B75" s="796" t="s">
        <v>23</v>
      </c>
      <c r="C75" s="711"/>
      <c r="D75" s="529"/>
      <c r="E75" s="529"/>
      <c r="F75" s="948" t="b">
        <f>AND(Zonen&gt;0,OR(Lüftung1=3))</f>
        <v>0</v>
      </c>
      <c r="G75" s="948"/>
      <c r="H75" s="948"/>
      <c r="I75" s="948"/>
      <c r="J75" s="711"/>
      <c r="K75" s="949" t="b">
        <f>OR(F75,G75,H75,I75)</f>
        <v>0</v>
      </c>
      <c r="L75" s="950"/>
      <c r="M75" s="950"/>
      <c r="N75" s="530"/>
    </row>
    <row r="76" spans="1:14" s="27" customFormat="1" ht="13.2" hidden="1">
      <c r="A76" s="1699"/>
      <c r="B76" s="796" t="s">
        <v>108</v>
      </c>
      <c r="C76" s="711"/>
      <c r="D76" s="529"/>
      <c r="E76" s="529"/>
      <c r="F76" s="948" t="b">
        <f>IF(OR(Standardwerte!J118=3,Standardwerte!J118=4),TRUE,FALSE)</f>
        <v>0</v>
      </c>
      <c r="G76" s="948" t="b">
        <f>IF(OR(Standardwerte!K118=3,Standardwerte!K118=4),TRUE,FALSE)</f>
        <v>0</v>
      </c>
      <c r="H76" s="948" t="b">
        <f>IF(OR(Standardwerte!L118=3,Standardwerte!L118=4),TRUE,FALSE)</f>
        <v>0</v>
      </c>
      <c r="I76" s="948" t="b">
        <f>IF(OR(Standardwerte!M118=3,Standardwerte!M118=4),TRUE,FALSE)</f>
        <v>0</v>
      </c>
      <c r="J76" s="711"/>
      <c r="K76" s="949"/>
      <c r="L76" s="950"/>
      <c r="M76" s="950"/>
      <c r="N76" s="530"/>
    </row>
    <row r="77" spans="1:14" s="27" customFormat="1" ht="13.2" hidden="1">
      <c r="A77" s="1699"/>
      <c r="B77" s="1950" t="s">
        <v>370</v>
      </c>
      <c r="C77" s="1951"/>
      <c r="D77" s="1951"/>
      <c r="E77" s="1951"/>
      <c r="F77" s="951" t="b">
        <f>IF(OR(Standardwerte!J118=2,Standardwerte!J118=4),TRUE,FALSE)</f>
        <v>0</v>
      </c>
      <c r="G77" s="951" t="b">
        <f>IF(OR(Standardwerte!K118=2,Standardwerte!K118=4),TRUE,FALSE)</f>
        <v>0</v>
      </c>
      <c r="H77" s="951" t="b">
        <f>IF(OR(Standardwerte!L118=2,Standardwerte!L118=4),TRUE,FALSE)</f>
        <v>0</v>
      </c>
      <c r="I77" s="951" t="b">
        <f>IF(OR(Standardwerte!M118=2,Standardwerte!M118=4),TRUE,FALSE)</f>
        <v>0</v>
      </c>
      <c r="J77" s="156"/>
      <c r="K77" s="639"/>
      <c r="L77" s="950"/>
      <c r="M77" s="950"/>
      <c r="N77" s="530"/>
    </row>
    <row r="78" spans="1:14" s="27" customFormat="1" ht="13.2" hidden="1">
      <c r="A78" s="1699"/>
      <c r="B78" s="796" t="s">
        <v>117</v>
      </c>
      <c r="C78" s="529"/>
      <c r="D78" s="529"/>
      <c r="E78" s="529"/>
      <c r="F78" s="948" t="b">
        <f>IF(OR(Standardwerte!J118=2,Standardwerte!J118=3,Standardwerte!J118=4),TRUE,FALSE)</f>
        <v>0</v>
      </c>
      <c r="G78" s="948" t="b">
        <f>IF(OR(Standardwerte!K118=2,Standardwerte!K118=3,Standardwerte!K118=4)*2,TRUE,FALSE)</f>
        <v>0</v>
      </c>
      <c r="H78" s="948" t="b">
        <f>IF(OR(Standardwerte!L118=2,Standardwerte!L118=3,Standardwerte!L118=4),TRUE,FALSE)</f>
        <v>0</v>
      </c>
      <c r="I78" s="948" t="b">
        <f>IF(OR(Standardwerte!M118=2,Standardwerte!M118=3,Standardwerte!M118=4),TRUE,FALSE)</f>
        <v>0</v>
      </c>
      <c r="J78" s="711"/>
      <c r="K78" s="949"/>
      <c r="L78" s="950"/>
      <c r="M78" s="950"/>
      <c r="N78" s="530"/>
    </row>
    <row r="79" spans="1:14" s="27" customFormat="1" ht="13.2" hidden="1">
      <c r="A79" s="1699"/>
      <c r="B79" s="796" t="s">
        <v>140</v>
      </c>
      <c r="C79" s="529"/>
      <c r="D79" s="952"/>
      <c r="E79" s="435" t="s">
        <v>525</v>
      </c>
      <c r="F79" s="953">
        <f>IF(F19&gt;0,(F42+F43)/F19,)</f>
        <v>0</v>
      </c>
      <c r="G79" s="954">
        <f>IF(G19&gt;0,(G42+G43)/G19,)</f>
        <v>0</v>
      </c>
      <c r="H79" s="954">
        <f>IF(H19&gt;0,(H42+H43)/H19,)</f>
        <v>0</v>
      </c>
      <c r="I79" s="954">
        <f>IF(I19&gt;0,(I42+I43)/I19,)</f>
        <v>0</v>
      </c>
      <c r="J79" s="436"/>
      <c r="K79" s="437">
        <f>IF(EBF&gt;0,(E_Qk11*_EBF1+E_Qk22*_EBF2+E_Qk33*_EBF3+E_Qk44*_EBF4)/EBF,0)</f>
        <v>0</v>
      </c>
      <c r="L79" s="950"/>
      <c r="M79" s="950"/>
      <c r="N79" s="530"/>
    </row>
    <row r="80" spans="1:14" s="27" customFormat="1" ht="13.2" hidden="1">
      <c r="A80" s="1699"/>
      <c r="B80" s="1947" t="str">
        <f>"- Eingabe (Berechnung beilegen)"</f>
        <v>- Eingabe (Berechnung beilegen)</v>
      </c>
      <c r="C80" s="1948"/>
      <c r="D80" s="224" t="s">
        <v>159</v>
      </c>
      <c r="E80" s="407" t="s">
        <v>525</v>
      </c>
      <c r="F80" s="955">
        <f>IF(AND(F19&gt;0,F88=FALSE),F41/F19,)</f>
        <v>0</v>
      </c>
      <c r="G80" s="933">
        <f>IF(AND(G19&gt;0,G88=FALSE),G41/G19,)</f>
        <v>0</v>
      </c>
      <c r="H80" s="933">
        <f>IF(AND(H19&gt;0,H88=FALSE),H41/H19,)</f>
        <v>0</v>
      </c>
      <c r="I80" s="933">
        <f>IF(AND(I19&gt;0,I88=FALSE),I41/I19,)</f>
        <v>0</v>
      </c>
      <c r="J80" s="211"/>
      <c r="K80" s="373" t="str">
        <f>IF(J83=0,"Strombedarf Lüftung  fehlt","")</f>
        <v/>
      </c>
      <c r="L80" s="950"/>
      <c r="M80" s="950"/>
      <c r="N80" s="530"/>
    </row>
    <row r="81" spans="1:14" s="27" customFormat="1" ht="13.2" hidden="1">
      <c r="A81" s="1699"/>
      <c r="B81" s="839" t="s">
        <v>827</v>
      </c>
      <c r="C81" s="841"/>
      <c r="D81" s="440"/>
      <c r="E81" s="219" t="s">
        <v>820</v>
      </c>
      <c r="F81" s="449">
        <f>IF(Kategorie1=1,0,IF(Kategorie1 &lt; 4,8736,IF(OR(Kategorie1=4,Kategorie1=5),INDEX(Standardwerte!$T$35:$X$43,Lüftung1,Kategorie1)/INDEX(Standardwerte!$Y$35:$AC$43,Lüftung1,Kategorie1)*8760,0)))</f>
        <v>0</v>
      </c>
      <c r="G81" s="449">
        <f>IF(Kategorie2=1,0,IF(Kategorie2 &lt; 4,8736,IF(OR(Kategorie2=4,Kategorie2=5),INDEX(Standardwerte!$T$35:$X$43,Lüftung2,Kategorie2)/INDEX(Standardwerte!$Y$35:$AC$43,Lüftung2,Kategorie2)*8760,0)))</f>
        <v>0</v>
      </c>
      <c r="H81" s="449">
        <f>IF(Kategorie3=1,0,IF(Kategorie3 &lt; 4,8736,IF(OR(Kategorie3=4,Kategorie3=5),INDEX(Standardwerte!$T$35:$X$43,Lüftung3,Kategorie3)/INDEX(Standardwerte!$Y$35:$AC$43,Lüftung3,Kategorie3)*8760,0)))</f>
        <v>0</v>
      </c>
      <c r="I81" s="449">
        <f>IF(Kategorie4=1,0,IF(Kategorie4 &lt; 4,8736,IF(OR(Kategorie4=4,Kategorie4=5),INDEX(Standardwerte!$T$35:$X$43,Lüftung4,Kategorie4)/INDEX(Standardwerte!$Y$35:$AC$43,Lüftung4,Kategorie4)*8760,0)))</f>
        <v>0</v>
      </c>
      <c r="J81" s="913"/>
      <c r="K81" s="914"/>
      <c r="L81" s="950"/>
      <c r="M81" s="950"/>
      <c r="N81" s="530"/>
    </row>
    <row r="82" spans="1:14" s="27" customFormat="1" ht="13.2" hidden="1">
      <c r="A82" s="1699"/>
      <c r="B82" s="915" t="s">
        <v>826</v>
      </c>
      <c r="C82" s="912"/>
      <c r="D82" s="212" t="s">
        <v>828</v>
      </c>
      <c r="E82" s="212" t="s">
        <v>525</v>
      </c>
      <c r="F82" s="918">
        <f>IF(EBFo1&gt;0,IF(F88,F81/1000*INDEX(Standardwerte!$T$24:$X$32,Lüftung1,Kategorie1)*VSup1*IF(Standardwerte!AB49,0.5,1),)/EBFo1,0)</f>
        <v>0</v>
      </c>
      <c r="G82" s="918">
        <f>IF(EBFo2&gt;0,IF(G88,G81/1000*INDEX(Standardwerte!$T$24:$X$32,Lüftung2,Kategorie2)*VSup2*IF(Standardwerte!AB50,0.5,1),)/EBFo2,0)</f>
        <v>0</v>
      </c>
      <c r="H82" s="918">
        <f>IF(EBFo3&gt;0,IF(H88,H81/1000*INDEX(Standardwerte!$T$24:$X$32,Lüftung3,Kategorie3)*VSup3*IF(Standardwerte!AB51,0.5,1),)/EBFo3,0)</f>
        <v>0</v>
      </c>
      <c r="I82" s="918">
        <f>IF(EBFo4&gt;0,IF(I88,I81/1000*INDEX(Standardwerte!$T$24:$X$32,Lüftung4,Kategorie4)*VSup4*IF(Standardwerte!AB52,0.5,1),)/EBFo4,0)</f>
        <v>0</v>
      </c>
      <c r="J82" s="913"/>
      <c r="K82" s="914"/>
      <c r="L82" s="950"/>
      <c r="M82" s="950"/>
      <c r="N82" s="530"/>
    </row>
    <row r="83" spans="1:14" s="27" customFormat="1" ht="13.2" hidden="1">
      <c r="A83" s="1699"/>
      <c r="B83" s="22" t="s">
        <v>496</v>
      </c>
      <c r="C83" s="844"/>
      <c r="D83" s="221" t="s">
        <v>159</v>
      </c>
      <c r="E83" s="212" t="s">
        <v>525</v>
      </c>
      <c r="F83" s="918">
        <f>IF(AND(MUKEN,Verifica!G43=0),0,IF(OR(F80&gt;0,_Qel1&gt;0),IF(F80&gt;0,F80,_Qel1),))</f>
        <v>0</v>
      </c>
      <c r="G83" s="918">
        <f>IF(AND(MUKEN,Verifica!H43=0),0,IF(OR(G80&gt;0,_Qel2&gt;0),IF(G80&gt;0,G80,_Qel2),))</f>
        <v>0</v>
      </c>
      <c r="H83" s="918">
        <f>IF(AND(MUKEN,Verifica!I43=0),0,IF(OR(H80&gt;0,_Qel3&gt;0),IF(H80&gt;0,H80,_Qel3),))</f>
        <v>0</v>
      </c>
      <c r="I83" s="449">
        <f>IF(AND(MUKEN,Verifica!J43=0),0,IF(OR(I80&gt;0,_Qel4&gt;0),IF(I80&gt;0,I80,_Qel4),))</f>
        <v>0</v>
      </c>
      <c r="J83" s="201">
        <f>IF(OR(AND(Zonen&gt;0,_Qe1=0,Kategorie1&lt;13),AND(Zonen&gt;1,_Qe2=0,Kategorie2&lt;13),AND(Zonen&gt;2,_Qe3=0,Kategorie3&lt;13),AND(Zonen&gt;3,_Qe4=0,Kategorie4&lt;13)),0,1)</f>
        <v>1</v>
      </c>
      <c r="K83" s="208">
        <f>IF(MUKEN,IF(EBF_MUKEN&gt;0,(_Qe1*_EBF1+_Qe2*_EBF2+_Qe3*_EBF3+_Qe4*_EBF4)/EBF_MUKEN,),IF(EBF&gt;0,(_Qe1*_EBF1+_Qe2*_EBF2+_Qe3*_EBF3+_Qe4*_EBF4)/EBF,))</f>
        <v>0</v>
      </c>
      <c r="L83" s="950"/>
      <c r="M83" s="950"/>
      <c r="N83" s="530"/>
    </row>
    <row r="84" spans="1:14" s="27" customFormat="1" ht="13.2" hidden="1">
      <c r="A84" s="1699"/>
      <c r="B84" s="483" t="str">
        <f>IF(minergiep,"","Strombedarf Klima")</f>
        <v>Strombedarf Klima</v>
      </c>
      <c r="C84" s="816"/>
      <c r="D84" s="407"/>
      <c r="E84" s="484" t="str">
        <f>IF(minergiep,,"kWh/m2")</f>
        <v>kWh/m2</v>
      </c>
      <c r="F84" s="485">
        <f>IF(AND(MUKEN,Verifica!G43=0),0,IF(E_Qk11&gt;0,E_Qk11,0))</f>
        <v>0</v>
      </c>
      <c r="G84" s="485">
        <f>IF(AND(MUKEN,Verifica!H43=0),0,IF(E_Qk22&gt;0,E_Qk22,0))</f>
        <v>0</v>
      </c>
      <c r="H84" s="485">
        <f>IF(AND(MUKEN,Verifica!I43=0),0,IF(E_Qk33&gt;0,E_Qk33,0))</f>
        <v>0</v>
      </c>
      <c r="I84" s="485">
        <f>IF(AND(MUKEN,Verifica!J43=0),0,IF(E_Qk44&gt;0,E_Qk44,0))</f>
        <v>0</v>
      </c>
      <c r="J84" s="486"/>
      <c r="K84" s="487">
        <f>IF(MUKEN,IF(EBF_MUKEN&gt;0,(E_Qk1*_EBF1+E_Qk2*_EBF2+E_Qk3*_EBF3+E_Qk4*_EBF4)/EBF_MUKEN,0),IF(EBF&gt;0,(E_Qk1*_EBF1+E_Qk2*_EBF2+E_Qk3*_EBF3+E_Qk4*_EBF4)/EBF,0))</f>
        <v>0</v>
      </c>
      <c r="L84" s="950"/>
      <c r="M84" s="950"/>
      <c r="N84" s="530"/>
    </row>
    <row r="85" spans="1:14" s="27" customFormat="1" ht="13.2" hidden="1">
      <c r="A85" s="1699"/>
      <c r="B85" s="796" t="s">
        <v>41</v>
      </c>
      <c r="C85" s="711"/>
      <c r="D85" s="529"/>
      <c r="E85" s="529"/>
      <c r="F85" s="948" t="b">
        <f>AND(Zonen&gt;0,Lüftung1=5)</f>
        <v>0</v>
      </c>
      <c r="G85" s="948"/>
      <c r="H85" s="948"/>
      <c r="I85" s="948"/>
      <c r="J85" s="711"/>
      <c r="K85" s="949" t="b">
        <f>OR(F85,G85,H85,I85)</f>
        <v>0</v>
      </c>
      <c r="L85" s="950"/>
      <c r="M85" s="950"/>
      <c r="N85" s="530"/>
    </row>
    <row r="86" spans="1:14" s="27" customFormat="1" ht="13.2" hidden="1">
      <c r="A86" s="1699"/>
      <c r="B86" s="796" t="s">
        <v>464</v>
      </c>
      <c r="C86" s="711"/>
      <c r="D86" s="529"/>
      <c r="E86" s="956"/>
      <c r="F86" s="948" t="b">
        <f>IF(Standardlüftung1=3,IF(AND(F40&gt;0,F40/(1-_WRG1)&lt;F37),FALSE,TRUE),TRUE)</f>
        <v>1</v>
      </c>
      <c r="G86" s="948" t="b">
        <f>IF(Standardlüftung2=3,IF(AND(G40&gt;0,G40/(1-_WRG2)&lt;G37),FALSE,TRUE),TRUE)</f>
        <v>1</v>
      </c>
      <c r="H86" s="948" t="b">
        <f>IF(Standardlüftung3=3,IF(AND(H40&gt;0,H40/(1-_WRG3)&lt;H37),FALSE,TRUE),TRUE)</f>
        <v>1</v>
      </c>
      <c r="I86" s="948" t="b">
        <f>IF(Standardlüftung4=3,IF(AND(I40&gt;0,I40/(1-_WRG4)&lt;I37),FALSE,TRUE),TRUE)</f>
        <v>1</v>
      </c>
      <c r="J86" s="711"/>
      <c r="K86" s="949"/>
      <c r="L86" s="950"/>
      <c r="M86" s="950"/>
      <c r="N86" s="530"/>
    </row>
    <row r="87" spans="1:14" s="27" customFormat="1" ht="13.2" hidden="1">
      <c r="A87" s="1699"/>
      <c r="B87" s="957" t="s">
        <v>465</v>
      </c>
      <c r="C87" s="156"/>
      <c r="D87" s="958"/>
      <c r="E87" s="959"/>
      <c r="F87" s="951" t="b">
        <f>IF(Standardlüftung1=3,IF(AND(F41&gt;0,F41/_EBF1&lt;_Qel1),FALSE,TRUE),TRUE)</f>
        <v>1</v>
      </c>
      <c r="G87" s="951" t="b">
        <f>IF(Standardlüftung2=3,IF(AND(G41&gt;0,G41/_EBF2&lt;_Qel2),FALSE,TRUE),TRUE)</f>
        <v>1</v>
      </c>
      <c r="H87" s="951" t="b">
        <f>IF(Standardlüftung3=3,IF(AND(H41&gt;0,H41/_EBF3&lt;_Qel3),FALSE,TRUE),TRUE)</f>
        <v>1</v>
      </c>
      <c r="I87" s="951" t="b">
        <f>IF(Standardlüftung4=3,IF(AND(I41&gt;0,I41/_EBF4&lt;_Qel4),FALSE,TRUE),TRUE)</f>
        <v>1</v>
      </c>
      <c r="J87" s="156"/>
      <c r="K87" s="639"/>
      <c r="L87" s="950"/>
      <c r="M87" s="950"/>
      <c r="N87" s="530"/>
    </row>
    <row r="88" spans="1:14" s="27" customFormat="1" ht="13.2" hidden="1">
      <c r="A88" s="1699"/>
      <c r="B88" s="534" t="s">
        <v>153</v>
      </c>
      <c r="C88" s="529"/>
      <c r="D88" s="529"/>
      <c r="E88" s="529"/>
      <c r="F88" s="948" t="b">
        <f>IF(Standardlüftung1=3,TRUE,FALSE)</f>
        <v>0</v>
      </c>
      <c r="G88" s="948" t="b">
        <f>IF(Standardlüftung2=3,TRUE,FALSE)</f>
        <v>0</v>
      </c>
      <c r="H88" s="948" t="b">
        <f>IF(Standardlüftung3=3,TRUE,FALSE)</f>
        <v>0</v>
      </c>
      <c r="I88" s="948" t="b">
        <f>IF(Standardlüftung4=3,TRUE,FALSE)</f>
        <v>0</v>
      </c>
      <c r="J88" s="711"/>
      <c r="K88" s="949"/>
      <c r="L88" s="950"/>
      <c r="M88" s="950"/>
      <c r="N88" s="530"/>
    </row>
    <row r="89" spans="1:14" s="27" customFormat="1" ht="13.2" hidden="1">
      <c r="A89" s="1699"/>
      <c r="B89" s="1945" t="s">
        <v>190</v>
      </c>
      <c r="C89" s="1946"/>
      <c r="D89" s="407" t="s">
        <v>712</v>
      </c>
      <c r="E89" s="407" t="s">
        <v>191</v>
      </c>
      <c r="F89" s="932">
        <f>IF(Einheiten=2,F46*3.6,F46)</f>
        <v>0</v>
      </c>
      <c r="G89" s="932">
        <f>IF(Einheiten=2,G46*3.6,G46)</f>
        <v>0</v>
      </c>
      <c r="H89" s="932">
        <f>IF(Einheiten=2,H46*3.6,H46)</f>
        <v>0</v>
      </c>
      <c r="I89" s="932">
        <f>IF(Einheiten=2,I46*3.6,I46)</f>
        <v>0</v>
      </c>
      <c r="J89" s="438">
        <f>IF(OR(AND(Zonen&gt;0,_qh1=0,Kategorie1&lt;13),AND(Zonen&gt;1,_qh2=0,Kategorie2&lt;13),AND(Zonen&gt;2,_qh3=0,Kategorie3&lt;13),AND(Zonen&gt;3,_qh4=0,Kategorie4&lt;13)),0,1)</f>
        <v>1</v>
      </c>
      <c r="K89" s="439">
        <f>IF(EBF=0,0,(F89*_EBF1+G89*_EBF2+H89*_EBF3+I89*_EBF4)/EBF)</f>
        <v>0</v>
      </c>
      <c r="L89" s="950"/>
      <c r="M89" s="950"/>
      <c r="N89" s="530"/>
    </row>
    <row r="90" spans="1:14" s="27" customFormat="1" ht="13.2" hidden="1">
      <c r="A90" s="1699"/>
      <c r="B90" s="21" t="str">
        <f>Uebersetzung!D37</f>
        <v>Fabb. risc. con ricambio d'aria standard</v>
      </c>
      <c r="C90" s="840"/>
      <c r="D90" s="212" t="str">
        <f>"Qh"</f>
        <v>Qh</v>
      </c>
      <c r="E90" s="212" t="s">
        <v>191</v>
      </c>
      <c r="F90" s="931">
        <f>IF(Einheiten=1,F24,F24*3.6)</f>
        <v>0</v>
      </c>
      <c r="G90" s="931">
        <f>IF(Einheiten=1,G24,G24*3.6)</f>
        <v>0</v>
      </c>
      <c r="H90" s="931">
        <f>IF(Einheiten=1,H24,H24*3.6)</f>
        <v>0</v>
      </c>
      <c r="I90" s="931">
        <f>IF(Einheiten=1,I24,I24*3.6)</f>
        <v>0</v>
      </c>
      <c r="J90" s="366">
        <f>IF(OR(AND(Zonen&gt;0,_qhs1=0,,Kategorie1&lt;13),AND(Zonen&gt;1,_qhs2=0,Kategorie2&lt;13),AND(Zonen&gt;2,_qhs3=0,Kategorie3&lt;13),AND(Zonen&gt;3,_qhs4=0,Kategorie4&lt;13)),0,1)</f>
        <v>1</v>
      </c>
      <c r="K90" s="467">
        <f>IF(Primaeranforderung="",IF(EBF&gt;0,(_qhs1*_EBF1+_qhs2*_EBF2+_qhs3*_EBF3+_qhs4*_EBF4)/EBF,0),IF(Verifica!I57="","",IF(minergiep,IF(Primaeranforderung&gt;0,IF((IF(EBF=0,0,(_qhs1*_EBF1+_qhs2*_EBF2+_qhs3*_EBF3+_qhs4*_EBF4)/EBF))&gt;0,IF((qhs_vollständig*IF(EBF=0,0,(_qhs1*_EBF1+_qhs2*_EBF2+_qhs3*_EBF3+_qhs4*_EBF4)/EBF)/3.6)&gt;Primaeranforderung,Uebersetzung!D75,IF(EBF=0,0,(_qhs1*_EBF1+_qhs2*_EBF2+_qhs3*_EBF3+_qhs4*_EBF4)/EBF)),),IF(EBF=0,0,(_qhs1*_EBF1+_qhs2*_EBF2+_qhs3*_EBF3+_qhs4*_EBF4)/EBF)),IF(Primaeranforderung&gt;0,IF((IF(EBF=0,0,(_qhs1*_EBF1+_qhs2*_EBF2+_qhs3*_EBF3+_qhs4*_EBF4)/EBF))&gt;0,IF(Verifica!I57&gt;Primaeranforderung,Uebersetzung!D74,IF(EBF=0,0,Verifica!I57*3.6)),),IF(EBF=0,0,Verifica!I57*3.6)))))</f>
        <v>0</v>
      </c>
      <c r="L90" s="950"/>
      <c r="M90" s="950"/>
      <c r="N90" s="530"/>
    </row>
    <row r="91" spans="1:14" s="27" customFormat="1" ht="13.2" hidden="1">
      <c r="A91" s="1699"/>
      <c r="B91" s="21" t="s">
        <v>36</v>
      </c>
      <c r="C91" s="812"/>
      <c r="D91" s="212" t="s">
        <v>723</v>
      </c>
      <c r="E91" s="212" t="s">
        <v>321</v>
      </c>
      <c r="F91" s="931">
        <f>F19</f>
        <v>0</v>
      </c>
      <c r="G91" s="931">
        <f>G19</f>
        <v>0</v>
      </c>
      <c r="H91" s="931">
        <f>H19</f>
        <v>0</v>
      </c>
      <c r="I91" s="931">
        <f>I19</f>
        <v>0</v>
      </c>
      <c r="J91" s="365"/>
      <c r="K91" s="402">
        <f>IF(OR(F19&lt;F91,G19&lt;G91,H19&lt;H91,I19&lt;I91),"EBFo muss &lt;= EBF sein",EBFo1+EBFo2+EBFo3+EBFo4)</f>
        <v>0</v>
      </c>
      <c r="L91" s="950"/>
      <c r="M91" s="950"/>
      <c r="N91" s="530"/>
    </row>
    <row r="92" spans="1:14" s="27" customFormat="1" ht="13.2" hidden="1">
      <c r="A92" s="1699"/>
      <c r="B92" s="21" t="s">
        <v>176</v>
      </c>
      <c r="C92" s="812"/>
      <c r="D92" s="212" t="s">
        <v>533</v>
      </c>
      <c r="E92" s="212" t="str">
        <f>"-"</f>
        <v>-</v>
      </c>
      <c r="F92" s="216">
        <f>F23</f>
        <v>0</v>
      </c>
      <c r="G92" s="226">
        <f>G23</f>
        <v>0</v>
      </c>
      <c r="H92" s="226">
        <f>H23</f>
        <v>0</v>
      </c>
      <c r="I92" s="226">
        <f>I23</f>
        <v>0</v>
      </c>
      <c r="J92" s="203"/>
      <c r="K92" s="206">
        <f>IF(EBF=0,0,(AEBF1*_EBF1+AEBF2*_EBF2+AEBF3*_EBF3+AEBF4*_EBF4)/EBF)</f>
        <v>0</v>
      </c>
      <c r="L92" s="950"/>
      <c r="M92" s="950"/>
      <c r="N92" s="530"/>
    </row>
    <row r="93" spans="1:14" s="27" customFormat="1" ht="13.2" hidden="1">
      <c r="A93" s="1699"/>
      <c r="B93" s="23" t="s">
        <v>344</v>
      </c>
      <c r="C93" s="813"/>
      <c r="D93" s="222" t="s">
        <v>345</v>
      </c>
      <c r="E93" s="223" t="s">
        <v>51</v>
      </c>
      <c r="F93" s="213">
        <f>Standardwerte!N60</f>
        <v>0</v>
      </c>
      <c r="G93" s="929">
        <f>Standardwerte!N61</f>
        <v>0</v>
      </c>
      <c r="H93" s="929">
        <f>Standardwerte!N62</f>
        <v>0</v>
      </c>
      <c r="I93" s="929">
        <f>Standardwerte!N63</f>
        <v>0</v>
      </c>
      <c r="J93" s="210"/>
      <c r="K93" s="207">
        <f>IF(EBF=0,0,(_WRG1*_EBF1+_WRG2*_EBF2+_WRG3*_EBF3+_WRG4*_EBF4)/EBF)</f>
        <v>0</v>
      </c>
      <c r="L93" s="950"/>
      <c r="M93" s="950"/>
      <c r="N93" s="530"/>
    </row>
    <row r="94" spans="1:14" s="27" customFormat="1" ht="13.2" hidden="1">
      <c r="A94" s="1699"/>
      <c r="B94" s="1742" t="s">
        <v>3163</v>
      </c>
      <c r="C94" s="1739"/>
      <c r="D94" s="1739"/>
      <c r="E94" s="1739"/>
      <c r="F94" s="1740" t="b">
        <f>IF(AND(MUKEN,OR(Standardlüftung1=1,Standardlüftung1=2)),TRUE,FALSE)</f>
        <v>0</v>
      </c>
      <c r="G94" s="1740" t="b">
        <f>IF(AND(Zonen&gt;1,MUKEN,OR(Standardlüftung2=1,Standardlüftung2=2)),TRUE,FALSE)</f>
        <v>0</v>
      </c>
      <c r="H94" s="1740" t="b">
        <f>IF(AND(Zonen&gt;2,MUKEN,OR(Standardlüftung3=1,Standardlüftung3=2)),TRUE,FALSE)</f>
        <v>0</v>
      </c>
      <c r="I94" s="1740" t="b">
        <f>IF(AND(Zonen&gt;3,MUKEN,OR(Standardlüftung4=1,Standardlüftung4=2)),TRUE,FALSE)</f>
        <v>0</v>
      </c>
      <c r="J94" s="1740" t="b">
        <f>IF(AND(Zonen&gt;1,MUKEN,OR(Standardlüftung2=1,Standardlüftung2=2)),TRUE,FALSE)</f>
        <v>0</v>
      </c>
      <c r="K94" s="1741"/>
      <c r="L94" s="950"/>
      <c r="M94" s="950"/>
      <c r="N94" s="530"/>
    </row>
    <row r="95" spans="1:14" s="27" customFormat="1" ht="13.2" hidden="1">
      <c r="A95" s="1699"/>
      <c r="B95" s="530"/>
      <c r="C95" s="530"/>
      <c r="D95" s="530"/>
      <c r="E95" s="530"/>
      <c r="F95" s="960"/>
      <c r="G95" s="960"/>
      <c r="H95" s="960"/>
      <c r="I95" s="960"/>
      <c r="J95" s="530"/>
      <c r="K95" s="530"/>
      <c r="L95" s="950"/>
      <c r="M95" s="950"/>
      <c r="N95" s="530"/>
    </row>
    <row r="96" spans="1:14" s="27" customFormat="1" ht="13.2">
      <c r="A96" s="1701"/>
      <c r="F96" s="33"/>
      <c r="G96" s="33"/>
      <c r="H96" s="33"/>
      <c r="I96" s="33"/>
      <c r="L96" s="327"/>
      <c r="M96" s="327"/>
    </row>
    <row r="97" spans="1:13" s="27" customFormat="1" ht="13.2">
      <c r="A97" s="1701"/>
      <c r="F97" s="33"/>
      <c r="G97" s="33"/>
      <c r="H97" s="33"/>
      <c r="I97" s="33"/>
      <c r="L97" s="327"/>
      <c r="M97" s="327"/>
    </row>
    <row r="98" spans="1:13" s="27" customFormat="1" ht="13.2">
      <c r="A98" s="1701"/>
      <c r="F98" s="33"/>
      <c r="G98" s="33"/>
      <c r="H98" s="33"/>
      <c r="I98" s="33"/>
      <c r="L98" s="327"/>
      <c r="M98" s="327"/>
    </row>
    <row r="99" spans="1:13" s="27" customFormat="1" ht="13.2">
      <c r="A99" s="1701"/>
      <c r="F99" s="33"/>
      <c r="G99" s="33"/>
      <c r="H99" s="33"/>
      <c r="I99" s="33"/>
      <c r="L99" s="327"/>
      <c r="M99" s="327"/>
    </row>
    <row r="100" spans="1:13" s="27" customFormat="1" ht="13.2">
      <c r="A100" s="1701"/>
      <c r="F100" s="33"/>
      <c r="G100" s="33"/>
      <c r="H100" s="33"/>
      <c r="I100" s="33"/>
      <c r="L100" s="327"/>
      <c r="M100" s="327"/>
    </row>
    <row r="101" spans="1:13" s="629" customFormat="1" ht="13.2">
      <c r="A101" s="1702"/>
      <c r="F101" s="635"/>
      <c r="G101" s="635"/>
      <c r="H101" s="635"/>
      <c r="I101" s="635"/>
      <c r="L101" s="636"/>
      <c r="M101" s="636"/>
    </row>
    <row r="102" spans="1:13" s="629" customFormat="1" ht="13.2">
      <c r="A102" s="1702"/>
      <c r="F102" s="635"/>
      <c r="G102" s="635"/>
      <c r="H102" s="635"/>
      <c r="I102" s="635"/>
      <c r="L102" s="636"/>
      <c r="M102" s="636"/>
    </row>
    <row r="103" spans="1:13" s="629" customFormat="1" ht="13.2">
      <c r="A103" s="1702"/>
      <c r="F103" s="635"/>
      <c r="G103" s="635"/>
      <c r="H103" s="635"/>
      <c r="I103" s="635"/>
      <c r="L103" s="636"/>
      <c r="M103" s="636"/>
    </row>
    <row r="104" spans="1:13" s="629" customFormat="1" ht="13.2">
      <c r="A104" s="1702"/>
      <c r="F104" s="635"/>
      <c r="G104" s="635"/>
      <c r="H104" s="635"/>
      <c r="I104" s="635"/>
      <c r="L104" s="636"/>
      <c r="M104" s="636"/>
    </row>
    <row r="105" spans="1:13" s="629" customFormat="1" ht="13.2">
      <c r="A105" s="1702"/>
      <c r="F105" s="635"/>
      <c r="G105" s="635"/>
      <c r="H105" s="635"/>
      <c r="I105" s="635"/>
      <c r="L105" s="636"/>
      <c r="M105" s="636"/>
    </row>
    <row r="106" spans="1:13" s="629" customFormat="1" ht="13.2">
      <c r="A106" s="1702"/>
      <c r="F106" s="635"/>
      <c r="G106" s="635"/>
      <c r="H106" s="635"/>
      <c r="I106" s="635"/>
      <c r="L106" s="636"/>
      <c r="M106" s="636"/>
    </row>
    <row r="107" spans="1:13" s="629" customFormat="1" ht="13.2">
      <c r="A107" s="1702"/>
      <c r="F107" s="635"/>
      <c r="G107" s="635"/>
      <c r="H107" s="635"/>
      <c r="I107" s="635"/>
      <c r="L107" s="636"/>
      <c r="M107" s="636"/>
    </row>
    <row r="108" spans="1:13" s="629" customFormat="1" ht="13.2">
      <c r="A108" s="1702"/>
      <c r="F108" s="635"/>
      <c r="G108" s="635"/>
      <c r="H108" s="635"/>
      <c r="I108" s="635"/>
      <c r="L108" s="636"/>
      <c r="M108" s="636"/>
    </row>
    <row r="109" spans="1:13" s="629" customFormat="1" ht="13.2">
      <c r="A109" s="1702"/>
      <c r="F109" s="635"/>
      <c r="G109" s="635"/>
      <c r="H109" s="635"/>
      <c r="I109" s="635"/>
      <c r="L109" s="636"/>
      <c r="M109" s="636"/>
    </row>
    <row r="110" spans="1:13" s="629" customFormat="1" ht="13.2">
      <c r="A110" s="1702"/>
      <c r="F110" s="635"/>
      <c r="G110" s="635"/>
      <c r="H110" s="635"/>
      <c r="I110" s="635"/>
      <c r="L110" s="636"/>
      <c r="M110" s="636"/>
    </row>
    <row r="111" spans="1:13" s="629" customFormat="1" ht="13.2">
      <c r="A111" s="1702"/>
      <c r="F111" s="635"/>
      <c r="G111" s="635"/>
      <c r="H111" s="635"/>
      <c r="I111" s="635"/>
      <c r="L111" s="636"/>
      <c r="M111" s="636"/>
    </row>
    <row r="112" spans="1:13" s="629" customFormat="1" ht="13.2">
      <c r="A112" s="1702"/>
      <c r="F112" s="635"/>
      <c r="G112" s="635"/>
      <c r="H112" s="635"/>
      <c r="I112" s="635"/>
      <c r="L112" s="636"/>
      <c r="M112" s="636"/>
    </row>
    <row r="113" spans="1:13" s="629" customFormat="1" ht="13.2">
      <c r="A113" s="1702"/>
      <c r="F113" s="635"/>
      <c r="G113" s="635"/>
      <c r="H113" s="635"/>
      <c r="I113" s="635"/>
      <c r="L113" s="636"/>
      <c r="M113" s="636"/>
    </row>
    <row r="114" spans="1:13" s="629" customFormat="1" ht="13.2">
      <c r="A114" s="1702"/>
      <c r="F114" s="635"/>
      <c r="G114" s="635"/>
      <c r="H114" s="635"/>
      <c r="I114" s="635"/>
      <c r="L114" s="636"/>
      <c r="M114" s="636"/>
    </row>
    <row r="115" spans="1:13" s="629" customFormat="1" ht="13.2">
      <c r="A115" s="1702"/>
      <c r="F115" s="635"/>
      <c r="G115" s="635"/>
      <c r="H115" s="635"/>
      <c r="I115" s="635"/>
      <c r="L115" s="636"/>
      <c r="M115" s="636"/>
    </row>
    <row r="116" spans="1:13" s="629" customFormat="1" ht="13.2">
      <c r="A116" s="1702"/>
      <c r="F116" s="635"/>
      <c r="G116" s="635"/>
      <c r="H116" s="635"/>
      <c r="I116" s="635"/>
      <c r="L116" s="636"/>
      <c r="M116" s="636"/>
    </row>
    <row r="117" spans="1:13" s="629" customFormat="1" ht="13.2">
      <c r="A117" s="1702"/>
      <c r="F117" s="635"/>
      <c r="G117" s="635"/>
      <c r="H117" s="635"/>
      <c r="I117" s="635"/>
      <c r="L117" s="636"/>
      <c r="M117" s="636"/>
    </row>
    <row r="118" spans="1:13" s="629" customFormat="1" ht="13.2">
      <c r="A118" s="1702"/>
      <c r="F118" s="635"/>
      <c r="G118" s="635"/>
      <c r="H118" s="635"/>
      <c r="I118" s="635"/>
      <c r="L118" s="636"/>
      <c r="M118" s="636"/>
    </row>
    <row r="119" spans="1:13" s="629" customFormat="1" ht="13.2">
      <c r="A119" s="1702"/>
      <c r="F119" s="635"/>
      <c r="G119" s="635"/>
      <c r="H119" s="635"/>
      <c r="I119" s="635"/>
      <c r="L119" s="636"/>
      <c r="M119" s="636"/>
    </row>
    <row r="120" spans="1:13" s="629" customFormat="1" ht="13.2">
      <c r="A120" s="1702"/>
      <c r="F120" s="635"/>
      <c r="G120" s="635"/>
      <c r="H120" s="635"/>
      <c r="I120" s="635"/>
      <c r="L120" s="636"/>
      <c r="M120" s="636"/>
    </row>
    <row r="121" spans="1:13" s="629" customFormat="1" ht="13.2">
      <c r="A121" s="1702"/>
      <c r="F121" s="635"/>
      <c r="G121" s="635"/>
      <c r="H121" s="635"/>
      <c r="I121" s="635"/>
      <c r="L121" s="636"/>
      <c r="M121" s="636"/>
    </row>
    <row r="122" spans="1:13" s="629" customFormat="1" ht="13.2">
      <c r="A122" s="1702"/>
      <c r="F122" s="635"/>
      <c r="G122" s="635"/>
      <c r="H122" s="635"/>
      <c r="I122" s="635"/>
      <c r="L122" s="636"/>
      <c r="M122" s="636"/>
    </row>
    <row r="123" spans="1:13" s="629" customFormat="1" ht="13.2">
      <c r="A123" s="1702"/>
      <c r="F123" s="635"/>
      <c r="G123" s="635"/>
      <c r="H123" s="635"/>
      <c r="I123" s="635"/>
      <c r="L123" s="636"/>
      <c r="M123" s="636"/>
    </row>
    <row r="124" spans="1:13" s="629" customFormat="1" ht="13.2">
      <c r="A124" s="1702"/>
      <c r="F124" s="635"/>
      <c r="G124" s="635"/>
      <c r="H124" s="635"/>
      <c r="I124" s="635"/>
      <c r="L124" s="636"/>
      <c r="M124" s="636"/>
    </row>
    <row r="125" spans="1:13" s="629" customFormat="1" ht="13.2">
      <c r="A125" s="1702"/>
      <c r="F125" s="635"/>
      <c r="G125" s="635"/>
      <c r="H125" s="635"/>
      <c r="I125" s="635"/>
      <c r="L125" s="636"/>
      <c r="M125" s="636"/>
    </row>
    <row r="126" spans="1:13" s="629" customFormat="1" ht="13.2">
      <c r="A126" s="1702"/>
      <c r="F126" s="635"/>
      <c r="G126" s="635"/>
      <c r="H126" s="635"/>
      <c r="I126" s="635"/>
      <c r="L126" s="636"/>
      <c r="M126" s="636"/>
    </row>
    <row r="127" spans="1:13" s="629" customFormat="1" ht="13.2">
      <c r="A127" s="1702"/>
      <c r="F127" s="635"/>
      <c r="G127" s="635"/>
      <c r="H127" s="635"/>
      <c r="I127" s="635"/>
      <c r="L127" s="636"/>
      <c r="M127" s="636"/>
    </row>
    <row r="128" spans="1:13" s="629" customFormat="1" ht="13.2">
      <c r="A128" s="1702"/>
      <c r="F128" s="635"/>
      <c r="G128" s="635"/>
      <c r="H128" s="635"/>
      <c r="I128" s="635"/>
      <c r="L128" s="636"/>
      <c r="M128" s="636"/>
    </row>
    <row r="129" spans="1:13" s="629" customFormat="1" ht="13.2">
      <c r="A129" s="1702"/>
      <c r="F129" s="635"/>
      <c r="G129" s="635"/>
      <c r="H129" s="635"/>
      <c r="I129" s="635"/>
      <c r="L129" s="636"/>
      <c r="M129" s="636"/>
    </row>
    <row r="130" spans="1:13" s="629" customFormat="1" ht="13.2">
      <c r="A130" s="1702"/>
      <c r="F130" s="635"/>
      <c r="G130" s="635"/>
      <c r="H130" s="635"/>
      <c r="I130" s="635"/>
      <c r="L130" s="636"/>
      <c r="M130" s="636"/>
    </row>
    <row r="131" spans="1:13" s="629" customFormat="1" ht="13.2">
      <c r="A131" s="1702"/>
      <c r="F131" s="635"/>
      <c r="G131" s="635"/>
      <c r="H131" s="635"/>
      <c r="I131" s="635"/>
      <c r="L131" s="636"/>
      <c r="M131" s="636"/>
    </row>
    <row r="132" spans="1:13" s="629" customFormat="1" ht="13.2">
      <c r="A132" s="1702"/>
      <c r="F132" s="635"/>
      <c r="G132" s="635"/>
      <c r="H132" s="635"/>
      <c r="I132" s="635"/>
      <c r="L132" s="636"/>
      <c r="M132" s="636"/>
    </row>
    <row r="133" spans="1:13" s="629" customFormat="1" ht="13.2">
      <c r="A133" s="1702"/>
      <c r="F133" s="635"/>
      <c r="G133" s="635"/>
      <c r="H133" s="635"/>
      <c r="I133" s="635"/>
      <c r="L133" s="636"/>
      <c r="M133" s="636"/>
    </row>
    <row r="134" spans="1:13" s="629" customFormat="1" ht="13.2">
      <c r="A134" s="1702"/>
      <c r="F134" s="635"/>
      <c r="G134" s="635"/>
      <c r="H134" s="635"/>
      <c r="I134" s="635"/>
      <c r="L134" s="636"/>
      <c r="M134" s="636"/>
    </row>
    <row r="135" spans="1:13" s="629" customFormat="1" ht="13.2">
      <c r="A135" s="1702"/>
      <c r="F135" s="635"/>
      <c r="G135" s="635"/>
      <c r="H135" s="635"/>
      <c r="I135" s="635"/>
      <c r="L135" s="636"/>
      <c r="M135" s="636"/>
    </row>
    <row r="136" spans="1:13" s="629" customFormat="1" ht="13.2">
      <c r="A136" s="1702"/>
      <c r="F136" s="635"/>
      <c r="G136" s="635"/>
      <c r="H136" s="635"/>
      <c r="I136" s="635"/>
      <c r="L136" s="636"/>
      <c r="M136" s="636"/>
    </row>
    <row r="137" spans="1:13" s="629" customFormat="1" ht="13.2">
      <c r="A137" s="1702"/>
      <c r="F137" s="635"/>
      <c r="G137" s="635"/>
      <c r="H137" s="635"/>
      <c r="I137" s="635"/>
      <c r="L137" s="636"/>
      <c r="M137" s="636"/>
    </row>
    <row r="138" spans="1:13" s="629" customFormat="1" ht="13.2">
      <c r="A138" s="1702"/>
      <c r="F138" s="635"/>
      <c r="G138" s="635"/>
      <c r="H138" s="635"/>
      <c r="I138" s="635"/>
      <c r="L138" s="636"/>
      <c r="M138" s="636"/>
    </row>
    <row r="139" spans="1:13" s="629" customFormat="1" ht="13.2">
      <c r="A139" s="1702"/>
      <c r="F139" s="635"/>
      <c r="G139" s="635"/>
      <c r="H139" s="635"/>
      <c r="I139" s="635"/>
      <c r="L139" s="636"/>
      <c r="M139" s="636"/>
    </row>
    <row r="140" spans="1:13" s="629" customFormat="1" ht="13.2">
      <c r="A140" s="1702"/>
      <c r="F140" s="635"/>
      <c r="G140" s="635"/>
      <c r="H140" s="635"/>
      <c r="I140" s="635"/>
      <c r="L140" s="636"/>
      <c r="M140" s="636"/>
    </row>
    <row r="141" spans="1:13" s="629" customFormat="1" ht="13.2">
      <c r="A141" s="1702"/>
      <c r="F141" s="635"/>
      <c r="G141" s="635"/>
      <c r="H141" s="635"/>
      <c r="I141" s="635"/>
      <c r="L141" s="636"/>
      <c r="M141" s="636"/>
    </row>
    <row r="142" spans="1:13" s="629" customFormat="1" ht="13.2">
      <c r="A142" s="1702"/>
      <c r="F142" s="635"/>
      <c r="G142" s="635"/>
      <c r="H142" s="635"/>
      <c r="I142" s="635"/>
      <c r="L142" s="636"/>
      <c r="M142" s="636"/>
    </row>
    <row r="143" spans="1:13" s="629" customFormat="1" ht="13.2">
      <c r="A143" s="1702"/>
      <c r="F143" s="635"/>
      <c r="G143" s="635"/>
      <c r="H143" s="635"/>
      <c r="I143" s="635"/>
      <c r="L143" s="636"/>
      <c r="M143" s="636"/>
    </row>
    <row r="144" spans="1:13" s="629" customFormat="1" ht="13.2">
      <c r="A144" s="1702"/>
      <c r="F144" s="635"/>
      <c r="G144" s="635"/>
      <c r="H144" s="635"/>
      <c r="I144" s="635"/>
      <c r="L144" s="636"/>
      <c r="M144" s="636"/>
    </row>
    <row r="145" spans="1:13" s="629" customFormat="1" ht="13.2">
      <c r="A145" s="1702"/>
      <c r="F145" s="635"/>
      <c r="G145" s="635"/>
      <c r="H145" s="635"/>
      <c r="I145" s="635"/>
      <c r="L145" s="636"/>
      <c r="M145" s="636"/>
    </row>
    <row r="146" spans="1:13" s="629" customFormat="1" ht="13.2">
      <c r="A146" s="1702"/>
      <c r="F146" s="635"/>
      <c r="G146" s="635"/>
      <c r="H146" s="635"/>
      <c r="I146" s="635"/>
      <c r="L146" s="636"/>
      <c r="M146" s="636"/>
    </row>
    <row r="147" spans="1:13" s="629" customFormat="1" ht="13.2">
      <c r="A147" s="1702"/>
      <c r="F147" s="635"/>
      <c r="G147" s="635"/>
      <c r="H147" s="635"/>
      <c r="I147" s="635"/>
      <c r="L147" s="636"/>
      <c r="M147" s="636"/>
    </row>
    <row r="148" spans="1:13" s="629" customFormat="1" ht="13.2">
      <c r="A148" s="1702"/>
      <c r="F148" s="635"/>
      <c r="G148" s="635"/>
      <c r="H148" s="635"/>
      <c r="I148" s="635"/>
      <c r="L148" s="636"/>
      <c r="M148" s="636"/>
    </row>
    <row r="149" spans="1:13" s="629" customFormat="1" ht="13.2">
      <c r="A149" s="1702"/>
      <c r="F149" s="635"/>
      <c r="G149" s="635"/>
      <c r="H149" s="635"/>
      <c r="I149" s="635"/>
      <c r="L149" s="636"/>
      <c r="M149" s="636"/>
    </row>
    <row r="150" spans="1:13" s="629" customFormat="1" ht="13.2">
      <c r="A150" s="1702"/>
      <c r="F150" s="635"/>
      <c r="G150" s="635"/>
      <c r="H150" s="635"/>
      <c r="I150" s="635"/>
      <c r="L150" s="636"/>
      <c r="M150" s="636"/>
    </row>
    <row r="151" spans="1:13" s="629" customFormat="1" ht="13.2">
      <c r="A151" s="1702"/>
      <c r="F151" s="635"/>
      <c r="G151" s="635"/>
      <c r="H151" s="635"/>
      <c r="I151" s="635"/>
      <c r="L151" s="636"/>
      <c r="M151" s="636"/>
    </row>
    <row r="152" spans="1:13" s="629" customFormat="1" ht="13.2">
      <c r="A152" s="1702"/>
      <c r="F152" s="635"/>
      <c r="G152" s="635"/>
      <c r="H152" s="635"/>
      <c r="I152" s="635"/>
      <c r="L152" s="636"/>
      <c r="M152" s="636"/>
    </row>
    <row r="153" spans="1:13" s="629" customFormat="1" ht="13.2">
      <c r="A153" s="1702"/>
      <c r="F153" s="635"/>
      <c r="G153" s="635"/>
      <c r="H153" s="635"/>
      <c r="I153" s="635"/>
      <c r="L153" s="636"/>
      <c r="M153" s="636"/>
    </row>
    <row r="154" spans="1:13" s="629" customFormat="1" ht="13.2">
      <c r="A154" s="1702"/>
      <c r="F154" s="635"/>
      <c r="G154" s="635"/>
      <c r="H154" s="635"/>
      <c r="I154" s="635"/>
      <c r="L154" s="636"/>
      <c r="M154" s="636"/>
    </row>
    <row r="155" spans="1:13" s="629" customFormat="1" ht="13.2">
      <c r="A155" s="1702"/>
      <c r="F155" s="635"/>
      <c r="G155" s="635"/>
      <c r="H155" s="635"/>
      <c r="I155" s="635"/>
      <c r="L155" s="636"/>
      <c r="M155" s="636"/>
    </row>
    <row r="156" spans="1:13" customFormat="1" ht="13.2">
      <c r="A156" s="1703"/>
      <c r="F156" s="1"/>
      <c r="G156" s="1"/>
      <c r="H156" s="1"/>
      <c r="I156" s="1"/>
      <c r="L156" s="328"/>
      <c r="M156" s="328"/>
    </row>
    <row r="157" spans="1:13" customFormat="1" ht="13.2">
      <c r="A157" s="1703"/>
      <c r="F157" s="1"/>
      <c r="G157" s="1"/>
      <c r="H157" s="1"/>
      <c r="I157" s="1"/>
      <c r="L157" s="328"/>
      <c r="M157" s="328"/>
    </row>
    <row r="158" spans="1:13" customFormat="1" ht="13.2">
      <c r="A158" s="1703"/>
      <c r="F158" s="1"/>
      <c r="G158" s="1"/>
      <c r="H158" s="1"/>
      <c r="I158" s="1"/>
      <c r="L158" s="328"/>
      <c r="M158" s="328"/>
    </row>
    <row r="159" spans="1:13" customFormat="1" ht="13.2">
      <c r="A159" s="1703"/>
      <c r="F159" s="1"/>
      <c r="G159" s="1"/>
      <c r="H159" s="1"/>
      <c r="I159" s="1"/>
      <c r="L159" s="328"/>
      <c r="M159" s="328"/>
    </row>
    <row r="160" spans="1:13" customFormat="1" ht="13.2">
      <c r="A160" s="1703"/>
      <c r="F160" s="1"/>
      <c r="G160" s="1"/>
      <c r="H160" s="1"/>
      <c r="I160" s="1"/>
      <c r="L160" s="328"/>
      <c r="M160" s="328"/>
    </row>
    <row r="161" spans="1:13" customFormat="1" ht="13.2">
      <c r="A161" s="1703"/>
      <c r="F161" s="1"/>
      <c r="G161" s="1"/>
      <c r="H161" s="1"/>
      <c r="I161" s="1"/>
      <c r="L161" s="328"/>
      <c r="M161" s="328"/>
    </row>
    <row r="162" spans="1:13" customFormat="1" ht="13.2">
      <c r="A162" s="1703"/>
      <c r="F162" s="1"/>
      <c r="G162" s="1"/>
      <c r="H162" s="1"/>
      <c r="I162" s="1"/>
      <c r="L162" s="328"/>
      <c r="M162" s="328"/>
    </row>
    <row r="163" spans="1:13" customFormat="1" ht="13.2">
      <c r="A163" s="1703"/>
      <c r="F163" s="1"/>
      <c r="G163" s="1"/>
      <c r="H163" s="1"/>
      <c r="I163" s="1"/>
      <c r="L163" s="328"/>
      <c r="M163" s="328"/>
    </row>
    <row r="164" spans="1:13" customFormat="1" ht="13.2">
      <c r="A164" s="1703"/>
      <c r="F164" s="1"/>
      <c r="G164" s="1"/>
      <c r="H164" s="1"/>
      <c r="I164" s="1"/>
      <c r="L164" s="328"/>
      <c r="M164" s="328"/>
    </row>
    <row r="165" spans="1:13" customFormat="1" ht="13.2">
      <c r="A165" s="1703"/>
      <c r="F165" s="1"/>
      <c r="G165" s="1"/>
      <c r="H165" s="1"/>
      <c r="I165" s="1"/>
      <c r="L165" s="328"/>
      <c r="M165" s="328"/>
    </row>
    <row r="166" spans="1:13" customFormat="1" ht="13.2">
      <c r="A166" s="1703"/>
      <c r="F166" s="1"/>
      <c r="G166" s="1"/>
      <c r="H166" s="1"/>
      <c r="I166" s="1"/>
      <c r="L166" s="328"/>
      <c r="M166" s="328"/>
    </row>
    <row r="167" spans="1:13" customFormat="1" ht="13.2">
      <c r="A167" s="1703"/>
      <c r="F167" s="1"/>
      <c r="G167" s="1"/>
      <c r="H167" s="1"/>
      <c r="I167" s="1"/>
      <c r="L167" s="328"/>
      <c r="M167" s="328"/>
    </row>
    <row r="168" spans="1:13" customFormat="1" ht="13.2">
      <c r="A168" s="1703"/>
      <c r="F168" s="1"/>
      <c r="G168" s="1"/>
      <c r="H168" s="1"/>
      <c r="I168" s="1"/>
      <c r="L168" s="328"/>
      <c r="M168" s="328"/>
    </row>
    <row r="169" spans="1:13" customFormat="1" ht="13.2">
      <c r="A169" s="1703"/>
      <c r="F169" s="1"/>
      <c r="G169" s="1"/>
      <c r="H169" s="1"/>
      <c r="I169" s="1"/>
      <c r="L169" s="328"/>
      <c r="M169" s="328"/>
    </row>
    <row r="170" spans="1:13" customFormat="1" ht="13.2">
      <c r="A170" s="1703"/>
      <c r="F170" s="1"/>
      <c r="G170" s="1"/>
      <c r="H170" s="1"/>
      <c r="I170" s="1"/>
      <c r="L170" s="328"/>
      <c r="M170" s="328"/>
    </row>
    <row r="171" spans="1:13" customFormat="1" ht="13.2">
      <c r="A171" s="1703"/>
      <c r="F171" s="1"/>
      <c r="G171" s="1"/>
      <c r="H171" s="1"/>
      <c r="I171" s="1"/>
      <c r="L171" s="328"/>
      <c r="M171" s="328"/>
    </row>
    <row r="172" spans="1:13" customFormat="1" ht="13.2">
      <c r="A172" s="1703"/>
      <c r="F172" s="1"/>
      <c r="G172" s="1"/>
      <c r="H172" s="1"/>
      <c r="I172" s="1"/>
      <c r="L172" s="328"/>
      <c r="M172" s="328"/>
    </row>
    <row r="173" spans="1:13" customFormat="1" ht="13.2">
      <c r="A173" s="1703"/>
      <c r="F173" s="1"/>
      <c r="G173" s="1"/>
      <c r="H173" s="1"/>
      <c r="I173" s="1"/>
      <c r="L173" s="328"/>
      <c r="M173" s="328"/>
    </row>
    <row r="174" spans="1:13" customFormat="1" ht="13.2">
      <c r="A174" s="1703"/>
      <c r="F174" s="1"/>
      <c r="G174" s="1"/>
      <c r="H174" s="1"/>
      <c r="I174" s="1"/>
      <c r="L174" s="328"/>
      <c r="M174" s="328"/>
    </row>
    <row r="175" spans="1:13" customFormat="1" ht="13.2">
      <c r="A175" s="1703"/>
      <c r="F175" s="1"/>
      <c r="G175" s="1"/>
      <c r="H175" s="1"/>
      <c r="I175" s="1"/>
      <c r="L175" s="328"/>
      <c r="M175" s="328"/>
    </row>
    <row r="176" spans="1:13" customFormat="1" ht="13.2">
      <c r="A176" s="1703"/>
      <c r="F176" s="1"/>
      <c r="G176" s="1"/>
      <c r="H176" s="1"/>
      <c r="I176" s="1"/>
      <c r="L176" s="328"/>
      <c r="M176" s="328"/>
    </row>
    <row r="177" spans="1:13" customFormat="1" ht="13.2">
      <c r="A177" s="1703"/>
      <c r="F177" s="1"/>
      <c r="G177" s="1"/>
      <c r="H177" s="1"/>
      <c r="I177" s="1"/>
      <c r="L177" s="328"/>
      <c r="M177" s="328"/>
    </row>
    <row r="178" spans="1:13" customFormat="1" ht="13.2">
      <c r="A178" s="1703"/>
      <c r="F178" s="1"/>
      <c r="G178" s="1"/>
      <c r="H178" s="1"/>
      <c r="I178" s="1"/>
      <c r="L178" s="328"/>
      <c r="M178" s="328"/>
    </row>
    <row r="179" spans="1:13" customFormat="1" ht="13.2">
      <c r="A179" s="1703"/>
      <c r="F179" s="1"/>
      <c r="G179" s="1"/>
      <c r="H179" s="1"/>
      <c r="I179" s="1"/>
      <c r="L179" s="328"/>
      <c r="M179" s="328"/>
    </row>
    <row r="180" spans="1:13" customFormat="1" ht="13.2">
      <c r="A180" s="1703"/>
      <c r="F180" s="1"/>
      <c r="G180" s="1"/>
      <c r="H180" s="1"/>
      <c r="I180" s="1"/>
      <c r="L180" s="328"/>
      <c r="M180" s="328"/>
    </row>
    <row r="181" spans="1:13" customFormat="1" ht="13.2">
      <c r="A181" s="1703"/>
      <c r="F181" s="1"/>
      <c r="G181" s="1"/>
      <c r="H181" s="1"/>
      <c r="I181" s="1"/>
      <c r="L181" s="328"/>
      <c r="M181" s="328"/>
    </row>
    <row r="182" spans="1:13" customFormat="1" ht="13.2">
      <c r="A182" s="1703"/>
      <c r="F182" s="1"/>
      <c r="G182" s="1"/>
      <c r="H182" s="1"/>
      <c r="I182" s="1"/>
      <c r="L182" s="328"/>
      <c r="M182" s="328"/>
    </row>
    <row r="183" spans="1:13" customFormat="1" ht="13.2">
      <c r="A183" s="1703"/>
      <c r="F183" s="1"/>
      <c r="G183" s="1"/>
      <c r="H183" s="1"/>
      <c r="I183" s="1"/>
      <c r="L183" s="328"/>
      <c r="M183" s="328"/>
    </row>
    <row r="184" spans="1:13" customFormat="1" ht="13.2">
      <c r="A184" s="1703"/>
      <c r="F184" s="1"/>
      <c r="G184" s="1"/>
      <c r="H184" s="1"/>
      <c r="I184" s="1"/>
      <c r="L184" s="328"/>
      <c r="M184" s="328"/>
    </row>
    <row r="185" spans="1:13" customFormat="1" ht="13.2">
      <c r="A185" s="1703"/>
      <c r="F185" s="1"/>
      <c r="G185" s="1"/>
      <c r="H185" s="1"/>
      <c r="I185" s="1"/>
      <c r="L185" s="328"/>
      <c r="M185" s="328"/>
    </row>
    <row r="186" spans="1:13" customFormat="1" ht="13.2">
      <c r="A186" s="1703"/>
      <c r="F186" s="1"/>
      <c r="G186" s="1"/>
      <c r="H186" s="1"/>
      <c r="I186" s="1"/>
      <c r="L186" s="328"/>
      <c r="M186" s="328"/>
    </row>
    <row r="187" spans="1:13" customFormat="1" ht="13.2">
      <c r="A187" s="1703"/>
      <c r="F187" s="1"/>
      <c r="G187" s="1"/>
      <c r="H187" s="1"/>
      <c r="I187" s="1"/>
      <c r="L187" s="328"/>
      <c r="M187" s="328"/>
    </row>
    <row r="188" spans="1:13" customFormat="1" ht="13.2">
      <c r="A188" s="1703"/>
      <c r="F188" s="1"/>
      <c r="G188" s="1"/>
      <c r="H188" s="1"/>
      <c r="I188" s="1"/>
      <c r="L188" s="328"/>
      <c r="M188" s="328"/>
    </row>
    <row r="189" spans="1:13" customFormat="1" ht="13.2">
      <c r="A189" s="1703"/>
      <c r="F189" s="1"/>
      <c r="G189" s="1"/>
      <c r="H189" s="1"/>
      <c r="I189" s="1"/>
      <c r="L189" s="328"/>
      <c r="M189" s="328"/>
    </row>
    <row r="190" spans="1:13" customFormat="1" ht="13.2">
      <c r="A190" s="1703"/>
      <c r="F190" s="1"/>
      <c r="G190" s="1"/>
      <c r="H190" s="1"/>
      <c r="I190" s="1"/>
      <c r="L190" s="328"/>
      <c r="M190" s="328"/>
    </row>
    <row r="191" spans="1:13" customFormat="1" ht="13.2">
      <c r="A191" s="1703"/>
      <c r="F191" s="1"/>
      <c r="G191" s="1"/>
      <c r="H191" s="1"/>
      <c r="I191" s="1"/>
      <c r="L191" s="328"/>
      <c r="M191" s="328"/>
    </row>
    <row r="192" spans="1:13" customFormat="1" ht="13.2">
      <c r="A192" s="1703"/>
      <c r="F192" s="1"/>
      <c r="G192" s="1"/>
      <c r="H192" s="1"/>
      <c r="I192" s="1"/>
      <c r="L192" s="328"/>
      <c r="M192" s="328"/>
    </row>
    <row r="193" spans="1:13" customFormat="1" ht="13.2">
      <c r="A193" s="1703"/>
      <c r="F193" s="1"/>
      <c r="G193" s="1"/>
      <c r="H193" s="1"/>
      <c r="I193" s="1"/>
      <c r="L193" s="328"/>
      <c r="M193" s="328"/>
    </row>
    <row r="194" spans="1:13" customFormat="1" ht="13.2">
      <c r="A194" s="1703"/>
      <c r="F194" s="1"/>
      <c r="G194" s="1"/>
      <c r="H194" s="1"/>
      <c r="I194" s="1"/>
      <c r="L194" s="328"/>
      <c r="M194" s="328"/>
    </row>
    <row r="195" spans="1:13" customFormat="1" ht="13.2">
      <c r="A195" s="1703"/>
      <c r="F195" s="1"/>
      <c r="G195" s="1"/>
      <c r="H195" s="1"/>
      <c r="I195" s="1"/>
      <c r="L195" s="328"/>
      <c r="M195" s="328"/>
    </row>
    <row r="196" spans="1:13" customFormat="1" ht="13.2">
      <c r="A196" s="1703"/>
      <c r="F196" s="1"/>
      <c r="G196" s="1"/>
      <c r="H196" s="1"/>
      <c r="I196" s="1"/>
      <c r="L196" s="328"/>
      <c r="M196" s="328"/>
    </row>
    <row r="197" spans="1:13" customFormat="1" ht="13.2">
      <c r="A197" s="1703"/>
      <c r="F197" s="1"/>
      <c r="G197" s="1"/>
      <c r="H197" s="1"/>
      <c r="I197" s="1"/>
      <c r="L197" s="328"/>
      <c r="M197" s="328"/>
    </row>
    <row r="198" spans="1:13" customFormat="1" ht="13.2">
      <c r="A198" s="1703"/>
      <c r="F198" s="1"/>
      <c r="G198" s="1"/>
      <c r="H198" s="1"/>
      <c r="I198" s="1"/>
      <c r="L198" s="328"/>
      <c r="M198" s="328"/>
    </row>
    <row r="199" spans="1:13" customFormat="1" ht="13.2">
      <c r="A199" s="1703"/>
      <c r="F199" s="1"/>
      <c r="G199" s="1"/>
      <c r="H199" s="1"/>
      <c r="I199" s="1"/>
      <c r="L199" s="328"/>
      <c r="M199" s="328"/>
    </row>
    <row r="200" spans="1:13" customFormat="1" ht="13.2">
      <c r="A200" s="1703"/>
      <c r="F200" s="1"/>
      <c r="G200" s="1"/>
      <c r="H200" s="1"/>
      <c r="I200" s="1"/>
      <c r="L200" s="328"/>
      <c r="M200" s="328"/>
    </row>
    <row r="201" spans="1:13" customFormat="1" ht="13.2">
      <c r="A201" s="1703"/>
      <c r="F201" s="1"/>
      <c r="G201" s="1"/>
      <c r="H201" s="1"/>
      <c r="I201" s="1"/>
      <c r="L201" s="328"/>
      <c r="M201" s="328"/>
    </row>
    <row r="202" spans="1:13" customFormat="1" ht="13.2">
      <c r="A202" s="1703"/>
      <c r="F202" s="1"/>
      <c r="G202" s="1"/>
      <c r="H202" s="1"/>
      <c r="I202" s="1"/>
      <c r="L202" s="328"/>
      <c r="M202" s="328"/>
    </row>
    <row r="203" spans="1:13" customFormat="1" ht="13.2">
      <c r="A203" s="1703"/>
      <c r="F203" s="1"/>
      <c r="G203" s="1"/>
      <c r="H203" s="1"/>
      <c r="I203" s="1"/>
      <c r="L203" s="328"/>
      <c r="M203" s="328"/>
    </row>
    <row r="204" spans="1:13" customFormat="1" ht="13.2">
      <c r="A204" s="1703"/>
      <c r="F204" s="1"/>
      <c r="G204" s="1"/>
      <c r="H204" s="1"/>
      <c r="I204" s="1"/>
      <c r="L204" s="328"/>
      <c r="M204" s="328"/>
    </row>
    <row r="205" spans="1:13" customFormat="1" ht="13.2">
      <c r="A205" s="1703"/>
      <c r="F205" s="1"/>
      <c r="G205" s="1"/>
      <c r="H205" s="1"/>
      <c r="I205" s="1"/>
      <c r="L205" s="328"/>
      <c r="M205" s="328"/>
    </row>
    <row r="206" spans="1:13" customFormat="1" ht="13.2">
      <c r="A206" s="1703"/>
      <c r="F206" s="1"/>
      <c r="G206" s="1"/>
      <c r="H206" s="1"/>
      <c r="I206" s="1"/>
      <c r="L206" s="328"/>
      <c r="M206" s="328"/>
    </row>
    <row r="207" spans="1:13" customFormat="1" ht="13.2">
      <c r="A207" s="1703"/>
      <c r="F207" s="1"/>
      <c r="G207" s="1"/>
      <c r="H207" s="1"/>
      <c r="I207" s="1"/>
      <c r="L207" s="328"/>
      <c r="M207" s="328"/>
    </row>
    <row r="208" spans="1:13" customFormat="1" ht="13.2">
      <c r="A208" s="1703"/>
      <c r="F208" s="1"/>
      <c r="G208" s="1"/>
      <c r="H208" s="1"/>
      <c r="I208" s="1"/>
      <c r="L208" s="328"/>
      <c r="M208" s="328"/>
    </row>
    <row r="209" spans="1:13" customFormat="1" ht="13.2">
      <c r="A209" s="1703"/>
      <c r="F209" s="1"/>
      <c r="G209" s="1"/>
      <c r="H209" s="1"/>
      <c r="I209" s="1"/>
      <c r="L209" s="328"/>
      <c r="M209" s="328"/>
    </row>
    <row r="210" spans="1:13" customFormat="1" ht="13.2">
      <c r="A210" s="1703"/>
      <c r="F210" s="1"/>
      <c r="G210" s="1"/>
      <c r="H210" s="1"/>
      <c r="I210" s="1"/>
      <c r="L210" s="328"/>
      <c r="M210" s="328"/>
    </row>
    <row r="211" spans="1:13" customFormat="1" ht="13.2">
      <c r="A211" s="1703"/>
      <c r="F211" s="1"/>
      <c r="G211" s="1"/>
      <c r="H211" s="1"/>
      <c r="I211" s="1"/>
      <c r="L211" s="328"/>
      <c r="M211" s="328"/>
    </row>
    <row r="212" spans="1:13" customFormat="1" ht="13.2">
      <c r="A212" s="1703"/>
      <c r="F212" s="1"/>
      <c r="G212" s="1"/>
      <c r="H212" s="1"/>
      <c r="I212" s="1"/>
      <c r="L212" s="328"/>
      <c r="M212" s="328"/>
    </row>
    <row r="213" spans="1:13" customFormat="1" ht="13.2">
      <c r="A213" s="1703"/>
      <c r="F213" s="1"/>
      <c r="G213" s="1"/>
      <c r="H213" s="1"/>
      <c r="I213" s="1"/>
      <c r="L213" s="328"/>
      <c r="M213" s="328"/>
    </row>
    <row r="214" spans="1:13" customFormat="1" ht="13.2">
      <c r="A214" s="1703"/>
      <c r="F214" s="1"/>
      <c r="G214" s="1"/>
      <c r="H214" s="1"/>
      <c r="I214" s="1"/>
      <c r="L214" s="328"/>
      <c r="M214" s="328"/>
    </row>
    <row r="215" spans="1:13" customFormat="1" ht="13.2">
      <c r="A215" s="1703"/>
      <c r="F215" s="1"/>
      <c r="G215" s="1"/>
      <c r="H215" s="1"/>
      <c r="I215" s="1"/>
      <c r="L215" s="328"/>
      <c r="M215" s="328"/>
    </row>
    <row r="216" spans="1:13" customFormat="1" ht="13.2">
      <c r="A216" s="1703"/>
      <c r="F216" s="1"/>
      <c r="G216" s="1"/>
      <c r="H216" s="1"/>
      <c r="I216" s="1"/>
      <c r="L216" s="328"/>
      <c r="M216" s="328"/>
    </row>
    <row r="217" spans="1:13" customFormat="1" ht="13.2">
      <c r="A217" s="1703"/>
      <c r="F217" s="1"/>
      <c r="G217" s="1"/>
      <c r="H217" s="1"/>
      <c r="I217" s="1"/>
      <c r="L217" s="328"/>
      <c r="M217" s="328"/>
    </row>
    <row r="218" spans="1:13" customFormat="1" ht="13.2">
      <c r="A218" s="1703"/>
      <c r="F218" s="1"/>
      <c r="G218" s="1"/>
      <c r="H218" s="1"/>
      <c r="I218" s="1"/>
      <c r="L218" s="328"/>
      <c r="M218" s="328"/>
    </row>
    <row r="219" spans="1:13" customFormat="1" ht="13.2">
      <c r="A219" s="1703"/>
      <c r="F219" s="1"/>
      <c r="G219" s="1"/>
      <c r="H219" s="1"/>
      <c r="I219" s="1"/>
      <c r="L219" s="328"/>
      <c r="M219" s="328"/>
    </row>
    <row r="220" spans="1:13" customFormat="1" ht="13.2">
      <c r="A220" s="1703"/>
      <c r="F220" s="1"/>
      <c r="G220" s="1"/>
      <c r="H220" s="1"/>
      <c r="I220" s="1"/>
      <c r="L220" s="328"/>
      <c r="M220" s="328"/>
    </row>
    <row r="221" spans="1:13" customFormat="1" ht="13.2">
      <c r="A221" s="1703"/>
      <c r="F221" s="1"/>
      <c r="G221" s="1"/>
      <c r="H221" s="1"/>
      <c r="I221" s="1"/>
      <c r="L221" s="328"/>
      <c r="M221" s="328"/>
    </row>
    <row r="222" spans="1:13" customFormat="1" ht="13.2">
      <c r="A222" s="1703"/>
      <c r="F222" s="1"/>
      <c r="G222" s="1"/>
      <c r="H222" s="1"/>
      <c r="I222" s="1"/>
      <c r="L222" s="328"/>
      <c r="M222" s="328"/>
    </row>
    <row r="223" spans="1:13" customFormat="1" ht="13.2">
      <c r="A223" s="1703"/>
      <c r="F223" s="1"/>
      <c r="G223" s="1"/>
      <c r="H223" s="1"/>
      <c r="I223" s="1"/>
      <c r="L223" s="328"/>
      <c r="M223" s="328"/>
    </row>
    <row r="224" spans="1:13" customFormat="1" ht="13.2">
      <c r="A224" s="1703"/>
      <c r="F224" s="1"/>
      <c r="G224" s="1"/>
      <c r="H224" s="1"/>
      <c r="I224" s="1"/>
      <c r="L224" s="328"/>
      <c r="M224" s="328"/>
    </row>
    <row r="225" spans="1:13" customFormat="1" ht="13.2">
      <c r="A225" s="1703"/>
      <c r="F225" s="1"/>
      <c r="G225" s="1"/>
      <c r="H225" s="1"/>
      <c r="I225" s="1"/>
      <c r="L225" s="328"/>
      <c r="M225" s="328"/>
    </row>
    <row r="226" spans="1:13" customFormat="1" ht="13.2">
      <c r="A226" s="1703"/>
      <c r="F226" s="1"/>
      <c r="G226" s="1"/>
      <c r="H226" s="1"/>
      <c r="I226" s="1"/>
      <c r="L226" s="328"/>
      <c r="M226" s="328"/>
    </row>
    <row r="227" spans="1:13" customFormat="1" ht="13.2">
      <c r="A227" s="1703"/>
      <c r="F227" s="1"/>
      <c r="G227" s="1"/>
      <c r="H227" s="1"/>
      <c r="I227" s="1"/>
      <c r="L227" s="328"/>
      <c r="M227" s="328"/>
    </row>
    <row r="228" spans="1:13" customFormat="1" ht="13.2">
      <c r="A228" s="1703"/>
      <c r="F228" s="1"/>
      <c r="G228" s="1"/>
      <c r="H228" s="1"/>
      <c r="I228" s="1"/>
      <c r="L228" s="328"/>
      <c r="M228" s="328"/>
    </row>
    <row r="229" spans="1:13" customFormat="1" ht="13.2">
      <c r="A229" s="1703"/>
      <c r="F229" s="1"/>
      <c r="G229" s="1"/>
      <c r="H229" s="1"/>
      <c r="I229" s="1"/>
      <c r="L229" s="328"/>
      <c r="M229" s="328"/>
    </row>
    <row r="230" spans="1:13" customFormat="1" ht="13.2">
      <c r="A230" s="1703"/>
      <c r="F230" s="1"/>
      <c r="G230" s="1"/>
      <c r="H230" s="1"/>
      <c r="I230" s="1"/>
      <c r="L230" s="328"/>
      <c r="M230" s="328"/>
    </row>
    <row r="231" spans="1:13" customFormat="1" ht="13.2">
      <c r="A231" s="1703"/>
      <c r="F231" s="1"/>
      <c r="G231" s="1"/>
      <c r="H231" s="1"/>
      <c r="I231" s="1"/>
      <c r="L231" s="328"/>
      <c r="M231" s="328"/>
    </row>
    <row r="232" spans="1:13" customFormat="1" ht="13.2">
      <c r="A232" s="1703"/>
      <c r="F232" s="1"/>
      <c r="G232" s="1"/>
      <c r="H232" s="1"/>
      <c r="I232" s="1"/>
      <c r="L232" s="328"/>
      <c r="M232" s="328"/>
    </row>
    <row r="233" spans="1:13" customFormat="1" ht="13.2">
      <c r="A233" s="1703"/>
      <c r="F233" s="1"/>
      <c r="G233" s="1"/>
      <c r="H233" s="1"/>
      <c r="I233" s="1"/>
      <c r="L233" s="328"/>
      <c r="M233" s="328"/>
    </row>
    <row r="234" spans="1:13" customFormat="1" ht="13.2">
      <c r="A234" s="1703"/>
      <c r="F234" s="1"/>
      <c r="G234" s="1"/>
      <c r="H234" s="1"/>
      <c r="I234" s="1"/>
      <c r="L234" s="328"/>
      <c r="M234" s="328"/>
    </row>
    <row r="235" spans="1:13" customFormat="1" ht="13.2">
      <c r="A235" s="1703"/>
      <c r="F235" s="1"/>
      <c r="G235" s="1"/>
      <c r="H235" s="1"/>
      <c r="I235" s="1"/>
      <c r="L235" s="328"/>
      <c r="M235" s="328"/>
    </row>
    <row r="236" spans="1:13" customFormat="1" ht="13.2">
      <c r="A236" s="1703"/>
      <c r="F236" s="1"/>
      <c r="G236" s="1"/>
      <c r="H236" s="1"/>
      <c r="I236" s="1"/>
      <c r="L236" s="328"/>
      <c r="M236" s="328"/>
    </row>
    <row r="237" spans="1:13" customFormat="1" ht="13.2">
      <c r="A237" s="1703"/>
      <c r="F237" s="1"/>
      <c r="G237" s="1"/>
      <c r="H237" s="1"/>
      <c r="I237" s="1"/>
      <c r="L237" s="328"/>
      <c r="M237" s="328"/>
    </row>
    <row r="238" spans="1:13" customFormat="1" ht="13.2">
      <c r="A238" s="1703"/>
      <c r="F238" s="1"/>
      <c r="G238" s="1"/>
      <c r="H238" s="1"/>
      <c r="I238" s="1"/>
      <c r="L238" s="328"/>
      <c r="M238" s="328"/>
    </row>
    <row r="239" spans="1:13" customFormat="1" ht="13.2">
      <c r="A239" s="1703"/>
      <c r="F239" s="1"/>
      <c r="G239" s="1"/>
      <c r="H239" s="1"/>
      <c r="I239" s="1"/>
      <c r="L239" s="328"/>
      <c r="M239" s="328"/>
    </row>
    <row r="240" spans="1:13" customFormat="1" ht="13.2">
      <c r="A240" s="1703"/>
      <c r="F240" s="1"/>
      <c r="G240" s="1"/>
      <c r="H240" s="1"/>
      <c r="I240" s="1"/>
      <c r="L240" s="328"/>
      <c r="M240" s="328"/>
    </row>
    <row r="241" spans="1:13" customFormat="1" ht="13.2">
      <c r="A241" s="1703"/>
      <c r="F241" s="1"/>
      <c r="G241" s="1"/>
      <c r="H241" s="1"/>
      <c r="I241" s="1"/>
      <c r="L241" s="328"/>
      <c r="M241" s="328"/>
    </row>
    <row r="242" spans="1:13" customFormat="1" ht="13.2">
      <c r="A242" s="1703"/>
      <c r="F242" s="1"/>
      <c r="G242" s="1"/>
      <c r="H242" s="1"/>
      <c r="I242" s="1"/>
      <c r="L242" s="328"/>
      <c r="M242" s="328"/>
    </row>
    <row r="243" spans="1:13" customFormat="1" ht="13.2">
      <c r="A243" s="1703"/>
      <c r="F243" s="1"/>
      <c r="G243" s="1"/>
      <c r="H243" s="1"/>
      <c r="I243" s="1"/>
      <c r="L243" s="328"/>
      <c r="M243" s="328"/>
    </row>
    <row r="244" spans="1:13" customFormat="1" ht="13.2">
      <c r="A244" s="1703"/>
      <c r="F244" s="1"/>
      <c r="G244" s="1"/>
      <c r="H244" s="1"/>
      <c r="I244" s="1"/>
      <c r="L244" s="328"/>
      <c r="M244" s="328"/>
    </row>
    <row r="245" spans="1:13" customFormat="1" ht="13.2">
      <c r="A245" s="1703"/>
      <c r="F245" s="1"/>
      <c r="G245" s="1"/>
      <c r="H245" s="1"/>
      <c r="I245" s="1"/>
      <c r="L245" s="328"/>
      <c r="M245" s="328"/>
    </row>
    <row r="246" spans="1:13" customFormat="1" ht="13.2">
      <c r="A246" s="1703"/>
      <c r="F246" s="1"/>
      <c r="G246" s="1"/>
      <c r="H246" s="1"/>
      <c r="I246" s="1"/>
      <c r="L246" s="328"/>
      <c r="M246" s="328"/>
    </row>
    <row r="247" spans="1:13" customFormat="1" ht="13.2">
      <c r="A247" s="1703"/>
      <c r="F247" s="1"/>
      <c r="G247" s="1"/>
      <c r="H247" s="1"/>
      <c r="I247" s="1"/>
      <c r="L247" s="328"/>
      <c r="M247" s="328"/>
    </row>
    <row r="248" spans="1:13" customFormat="1" ht="13.2">
      <c r="A248" s="1703"/>
      <c r="F248" s="1"/>
      <c r="G248" s="1"/>
      <c r="H248" s="1"/>
      <c r="I248" s="1"/>
      <c r="L248" s="328"/>
      <c r="M248" s="328"/>
    </row>
    <row r="249" spans="1:13" customFormat="1" ht="13.2">
      <c r="A249" s="1703"/>
      <c r="F249" s="1"/>
      <c r="G249" s="1"/>
      <c r="H249" s="1"/>
      <c r="I249" s="1"/>
      <c r="L249" s="328"/>
      <c r="M249" s="328"/>
    </row>
    <row r="250" spans="1:13" customFormat="1" ht="13.2">
      <c r="A250" s="1703"/>
      <c r="F250" s="1"/>
      <c r="G250" s="1"/>
      <c r="H250" s="1"/>
      <c r="I250" s="1"/>
      <c r="L250" s="328"/>
      <c r="M250" s="328"/>
    </row>
    <row r="251" spans="1:13" customFormat="1" ht="13.2">
      <c r="A251" s="1703"/>
      <c r="F251" s="1"/>
      <c r="G251" s="1"/>
      <c r="H251" s="1"/>
      <c r="I251" s="1"/>
      <c r="L251" s="328"/>
      <c r="M251" s="328"/>
    </row>
    <row r="252" spans="1:13" customFormat="1" ht="13.2">
      <c r="A252" s="1703"/>
      <c r="F252" s="1"/>
      <c r="G252" s="1"/>
      <c r="H252" s="1"/>
      <c r="I252" s="1"/>
      <c r="L252" s="328"/>
      <c r="M252" s="328"/>
    </row>
    <row r="253" spans="1:13" customFormat="1" ht="13.2">
      <c r="A253" s="1703"/>
      <c r="F253" s="1"/>
      <c r="G253" s="1"/>
      <c r="H253" s="1"/>
      <c r="I253" s="1"/>
      <c r="L253" s="328"/>
      <c r="M253" s="328"/>
    </row>
    <row r="254" spans="1:13" customFormat="1" ht="13.2">
      <c r="A254" s="1703"/>
      <c r="F254" s="1"/>
      <c r="G254" s="1"/>
      <c r="H254" s="1"/>
      <c r="I254" s="1"/>
      <c r="L254" s="328"/>
      <c r="M254" s="328"/>
    </row>
    <row r="255" spans="1:13" customFormat="1" ht="13.2">
      <c r="A255" s="1703"/>
      <c r="F255" s="1"/>
      <c r="G255" s="1"/>
      <c r="H255" s="1"/>
      <c r="I255" s="1"/>
      <c r="L255" s="328"/>
      <c r="M255" s="328"/>
    </row>
    <row r="256" spans="1:13" customFormat="1" ht="13.2">
      <c r="A256" s="1703"/>
      <c r="F256" s="1"/>
      <c r="G256" s="1"/>
      <c r="H256" s="1"/>
      <c r="I256" s="1"/>
      <c r="L256" s="328"/>
      <c r="M256" s="328"/>
    </row>
    <row r="257" spans="1:13" customFormat="1" ht="13.2">
      <c r="A257" s="1703"/>
      <c r="F257" s="1"/>
      <c r="G257" s="1"/>
      <c r="H257" s="1"/>
      <c r="I257" s="1"/>
      <c r="L257" s="328"/>
      <c r="M257" s="328"/>
    </row>
    <row r="258" spans="1:13" customFormat="1" ht="13.2">
      <c r="A258" s="1703"/>
      <c r="F258" s="1"/>
      <c r="G258" s="1"/>
      <c r="H258" s="1"/>
      <c r="I258" s="1"/>
      <c r="L258" s="328"/>
      <c r="M258" s="328"/>
    </row>
    <row r="259" spans="1:13" customFormat="1" ht="13.2">
      <c r="A259" s="1703"/>
      <c r="F259" s="1"/>
      <c r="G259" s="1"/>
      <c r="H259" s="1"/>
      <c r="I259" s="1"/>
      <c r="L259" s="328"/>
      <c r="M259" s="328"/>
    </row>
    <row r="260" spans="1:13" customFormat="1" ht="13.2">
      <c r="A260" s="1703"/>
      <c r="F260" s="1"/>
      <c r="G260" s="1"/>
      <c r="H260" s="1"/>
      <c r="I260" s="1"/>
      <c r="L260" s="328"/>
      <c r="M260" s="328"/>
    </row>
    <row r="261" spans="1:13" customFormat="1" ht="13.2">
      <c r="A261" s="1703"/>
      <c r="F261" s="1"/>
      <c r="G261" s="1"/>
      <c r="H261" s="1"/>
      <c r="I261" s="1"/>
      <c r="L261" s="328"/>
      <c r="M261" s="328"/>
    </row>
    <row r="262" spans="1:13" customFormat="1" ht="13.2">
      <c r="A262" s="1703"/>
      <c r="F262" s="1"/>
      <c r="G262" s="1"/>
      <c r="H262" s="1"/>
      <c r="I262" s="1"/>
      <c r="L262" s="328"/>
      <c r="M262" s="328"/>
    </row>
    <row r="263" spans="1:13" customFormat="1" ht="13.2">
      <c r="A263" s="1703"/>
      <c r="F263" s="1"/>
      <c r="G263" s="1"/>
      <c r="H263" s="1"/>
      <c r="I263" s="1"/>
      <c r="L263" s="328"/>
      <c r="M263" s="328"/>
    </row>
    <row r="264" spans="1:13" customFormat="1" ht="13.2">
      <c r="A264" s="1703"/>
      <c r="F264" s="1"/>
      <c r="G264" s="1"/>
      <c r="H264" s="1"/>
      <c r="I264" s="1"/>
      <c r="L264" s="328"/>
      <c r="M264" s="328"/>
    </row>
    <row r="265" spans="1:13" customFormat="1" ht="13.2">
      <c r="A265" s="1703"/>
      <c r="F265" s="1"/>
      <c r="G265" s="1"/>
      <c r="H265" s="1"/>
      <c r="I265" s="1"/>
      <c r="L265" s="328"/>
      <c r="M265" s="328"/>
    </row>
    <row r="266" spans="1:13" customFormat="1" ht="13.2">
      <c r="A266" s="1703"/>
      <c r="F266" s="1"/>
      <c r="G266" s="1"/>
      <c r="H266" s="1"/>
      <c r="I266" s="1"/>
      <c r="L266" s="328"/>
      <c r="M266" s="328"/>
    </row>
    <row r="267" spans="1:13" customFormat="1" ht="13.2">
      <c r="A267" s="1703"/>
      <c r="F267" s="1"/>
      <c r="G267" s="1"/>
      <c r="H267" s="1"/>
      <c r="I267" s="1"/>
      <c r="L267" s="328"/>
      <c r="M267" s="328"/>
    </row>
    <row r="268" spans="1:13" customFormat="1" ht="13.2">
      <c r="A268" s="1703"/>
      <c r="F268" s="1"/>
      <c r="G268" s="1"/>
      <c r="H268" s="1"/>
      <c r="I268" s="1"/>
      <c r="L268" s="328"/>
      <c r="M268" s="328"/>
    </row>
    <row r="269" spans="1:13" customFormat="1" ht="13.2">
      <c r="A269" s="1703"/>
      <c r="F269" s="1"/>
      <c r="G269" s="1"/>
      <c r="H269" s="1"/>
      <c r="I269" s="1"/>
      <c r="L269" s="328"/>
      <c r="M269" s="328"/>
    </row>
    <row r="270" spans="1:13" customFormat="1" ht="13.2">
      <c r="A270" s="1703"/>
      <c r="F270" s="1"/>
      <c r="G270" s="1"/>
      <c r="H270" s="1"/>
      <c r="I270" s="1"/>
      <c r="L270" s="328"/>
      <c r="M270" s="328"/>
    </row>
    <row r="271" spans="1:13" customFormat="1" ht="13.2">
      <c r="A271" s="1703"/>
      <c r="F271" s="1"/>
      <c r="G271" s="1"/>
      <c r="H271" s="1"/>
      <c r="I271" s="1"/>
      <c r="L271" s="328"/>
      <c r="M271" s="328"/>
    </row>
    <row r="272" spans="1:13" customFormat="1" ht="13.2">
      <c r="A272" s="1703"/>
      <c r="F272" s="1"/>
      <c r="G272" s="1"/>
      <c r="H272" s="1"/>
      <c r="I272" s="1"/>
      <c r="L272" s="328"/>
      <c r="M272" s="328"/>
    </row>
    <row r="273" spans="1:13" customFormat="1" ht="13.2">
      <c r="A273" s="1703"/>
      <c r="F273" s="1"/>
      <c r="G273" s="1"/>
      <c r="H273" s="1"/>
      <c r="I273" s="1"/>
      <c r="L273" s="328"/>
      <c r="M273" s="328"/>
    </row>
    <row r="274" spans="1:13" customFormat="1" ht="13.2">
      <c r="A274" s="1703"/>
      <c r="F274" s="1"/>
      <c r="G274" s="1"/>
      <c r="H274" s="1"/>
      <c r="I274" s="1"/>
      <c r="L274" s="328"/>
      <c r="M274" s="328"/>
    </row>
    <row r="275" spans="1:13" customFormat="1" ht="13.2">
      <c r="A275" s="1703"/>
      <c r="F275" s="1"/>
      <c r="G275" s="1"/>
      <c r="H275" s="1"/>
      <c r="I275" s="1"/>
      <c r="L275" s="328"/>
      <c r="M275" s="328"/>
    </row>
    <row r="276" spans="1:13" customFormat="1" ht="13.2">
      <c r="A276" s="1703"/>
      <c r="F276" s="1"/>
      <c r="G276" s="1"/>
      <c r="H276" s="1"/>
      <c r="I276" s="1"/>
      <c r="L276" s="328"/>
      <c r="M276" s="328"/>
    </row>
    <row r="277" spans="1:13" customFormat="1" ht="13.2">
      <c r="A277" s="1703"/>
      <c r="F277" s="1"/>
      <c r="G277" s="1"/>
      <c r="H277" s="1"/>
      <c r="I277" s="1"/>
      <c r="L277" s="328"/>
      <c r="M277" s="328"/>
    </row>
    <row r="278" spans="1:13" customFormat="1" ht="13.2">
      <c r="A278" s="1703"/>
      <c r="F278" s="1"/>
      <c r="G278" s="1"/>
      <c r="H278" s="1"/>
      <c r="I278" s="1"/>
      <c r="L278" s="328"/>
      <c r="M278" s="328"/>
    </row>
    <row r="279" spans="1:13" customFormat="1" ht="13.2">
      <c r="A279" s="1703"/>
      <c r="F279" s="1"/>
      <c r="G279" s="1"/>
      <c r="H279" s="1"/>
      <c r="I279" s="1"/>
      <c r="L279" s="328"/>
      <c r="M279" s="328"/>
    </row>
    <row r="280" spans="1:13" customFormat="1" ht="13.2">
      <c r="A280" s="1703"/>
      <c r="F280" s="1"/>
      <c r="G280" s="1"/>
      <c r="H280" s="1"/>
      <c r="I280" s="1"/>
      <c r="L280" s="328"/>
      <c r="M280" s="328"/>
    </row>
    <row r="281" spans="1:13" customFormat="1" ht="13.2">
      <c r="A281" s="1703"/>
      <c r="F281" s="1"/>
      <c r="G281" s="1"/>
      <c r="H281" s="1"/>
      <c r="I281" s="1"/>
      <c r="L281" s="328"/>
      <c r="M281" s="328"/>
    </row>
    <row r="282" spans="1:13" customFormat="1" ht="13.2">
      <c r="A282" s="1703"/>
      <c r="F282" s="1"/>
      <c r="G282" s="1"/>
      <c r="H282" s="1"/>
      <c r="I282" s="1"/>
      <c r="L282" s="328"/>
      <c r="M282" s="328"/>
    </row>
    <row r="283" spans="1:13" customFormat="1" ht="13.2">
      <c r="A283" s="1703"/>
      <c r="F283" s="1"/>
      <c r="G283" s="1"/>
      <c r="H283" s="1"/>
      <c r="I283" s="1"/>
      <c r="L283" s="328"/>
      <c r="M283" s="328"/>
    </row>
    <row r="284" spans="1:13" customFormat="1" ht="13.2">
      <c r="A284" s="1703"/>
      <c r="F284" s="1"/>
      <c r="G284" s="1"/>
      <c r="H284" s="1"/>
      <c r="I284" s="1"/>
      <c r="L284" s="328"/>
      <c r="M284" s="328"/>
    </row>
    <row r="285" spans="1:13" customFormat="1" ht="13.2">
      <c r="A285" s="1703"/>
      <c r="F285" s="1"/>
      <c r="G285" s="1"/>
      <c r="H285" s="1"/>
      <c r="I285" s="1"/>
      <c r="L285" s="328"/>
      <c r="M285" s="328"/>
    </row>
    <row r="286" spans="1:13" customFormat="1" ht="13.2">
      <c r="A286" s="1703"/>
      <c r="F286" s="1"/>
      <c r="G286" s="1"/>
      <c r="H286" s="1"/>
      <c r="I286" s="1"/>
      <c r="L286" s="328"/>
      <c r="M286" s="328"/>
    </row>
    <row r="287" spans="1:13" customFormat="1" ht="13.2">
      <c r="A287" s="1703"/>
      <c r="F287" s="1"/>
      <c r="G287" s="1"/>
      <c r="H287" s="1"/>
      <c r="I287" s="1"/>
      <c r="L287" s="328"/>
      <c r="M287" s="328"/>
    </row>
    <row r="288" spans="1:13" customFormat="1" ht="13.2">
      <c r="A288" s="1703"/>
      <c r="F288" s="1"/>
      <c r="G288" s="1"/>
      <c r="H288" s="1"/>
      <c r="I288" s="1"/>
      <c r="L288" s="328"/>
      <c r="M288" s="328"/>
    </row>
    <row r="289" spans="1:13" customFormat="1" ht="13.2">
      <c r="A289" s="1703"/>
      <c r="F289" s="1"/>
      <c r="G289" s="1"/>
      <c r="H289" s="1"/>
      <c r="I289" s="1"/>
      <c r="L289" s="328"/>
      <c r="M289" s="328"/>
    </row>
    <row r="290" spans="1:13" customFormat="1" ht="13.2">
      <c r="A290" s="1703"/>
      <c r="F290" s="1"/>
      <c r="G290" s="1"/>
      <c r="H290" s="1"/>
      <c r="I290" s="1"/>
      <c r="L290" s="328"/>
      <c r="M290" s="328"/>
    </row>
    <row r="291" spans="1:13" customFormat="1" ht="13.2">
      <c r="A291" s="1703"/>
      <c r="F291" s="1"/>
      <c r="G291" s="1"/>
      <c r="H291" s="1"/>
      <c r="I291" s="1"/>
      <c r="L291" s="328"/>
      <c r="M291" s="328"/>
    </row>
    <row r="292" spans="1:13" customFormat="1" ht="13.2">
      <c r="A292" s="1703"/>
      <c r="F292" s="1"/>
      <c r="G292" s="1"/>
      <c r="H292" s="1"/>
      <c r="I292" s="1"/>
      <c r="L292" s="328"/>
      <c r="M292" s="328"/>
    </row>
    <row r="293" spans="1:13" customFormat="1" ht="13.2">
      <c r="A293" s="1703"/>
      <c r="F293" s="1"/>
      <c r="G293" s="1"/>
      <c r="H293" s="1"/>
      <c r="I293" s="1"/>
      <c r="L293" s="328"/>
      <c r="M293" s="328"/>
    </row>
    <row r="294" spans="1:13" customFormat="1" ht="13.2">
      <c r="A294" s="1703"/>
      <c r="F294" s="1"/>
      <c r="G294" s="1"/>
      <c r="H294" s="1"/>
      <c r="I294" s="1"/>
      <c r="L294" s="328"/>
      <c r="M294" s="328"/>
    </row>
    <row r="295" spans="1:13" customFormat="1" ht="13.2">
      <c r="A295" s="1703"/>
      <c r="F295" s="1"/>
      <c r="G295" s="1"/>
      <c r="H295" s="1"/>
      <c r="I295" s="1"/>
      <c r="L295" s="328"/>
      <c r="M295" s="328"/>
    </row>
    <row r="296" spans="1:13" customFormat="1" ht="13.2">
      <c r="A296" s="1703"/>
      <c r="F296" s="1"/>
      <c r="G296" s="1"/>
      <c r="H296" s="1"/>
      <c r="I296" s="1"/>
      <c r="L296" s="328"/>
      <c r="M296" s="328"/>
    </row>
    <row r="297" spans="1:13" customFormat="1" ht="13.2">
      <c r="A297" s="1703"/>
      <c r="F297" s="1"/>
      <c r="G297" s="1"/>
      <c r="H297" s="1"/>
      <c r="I297" s="1"/>
      <c r="L297" s="328"/>
      <c r="M297" s="328"/>
    </row>
    <row r="298" spans="1:13" customFormat="1" ht="13.2">
      <c r="A298" s="1703"/>
      <c r="F298" s="1"/>
      <c r="G298" s="1"/>
      <c r="H298" s="1"/>
      <c r="I298" s="1"/>
      <c r="L298" s="328"/>
      <c r="M298" s="328"/>
    </row>
    <row r="299" spans="1:13" customFormat="1" ht="13.2">
      <c r="A299" s="1703"/>
      <c r="F299" s="1"/>
      <c r="G299" s="1"/>
      <c r="H299" s="1"/>
      <c r="I299" s="1"/>
      <c r="L299" s="328"/>
      <c r="M299" s="328"/>
    </row>
    <row r="300" spans="1:13" customFormat="1" ht="13.2">
      <c r="A300" s="1703"/>
      <c r="F300" s="1"/>
      <c r="G300" s="1"/>
      <c r="H300" s="1"/>
      <c r="I300" s="1"/>
      <c r="L300" s="328"/>
      <c r="M300" s="328"/>
    </row>
    <row r="301" spans="1:13" customFormat="1" ht="13.2">
      <c r="A301" s="1703"/>
      <c r="F301" s="1"/>
      <c r="G301" s="1"/>
      <c r="H301" s="1"/>
      <c r="I301" s="1"/>
      <c r="L301" s="328"/>
      <c r="M301" s="328"/>
    </row>
    <row r="302" spans="1:13" customFormat="1" ht="13.2">
      <c r="A302" s="1703"/>
      <c r="F302" s="1"/>
      <c r="G302" s="1"/>
      <c r="H302" s="1"/>
      <c r="I302" s="1"/>
      <c r="L302" s="328"/>
      <c r="M302" s="328"/>
    </row>
    <row r="303" spans="1:13" customFormat="1" ht="13.2">
      <c r="A303" s="1703"/>
      <c r="F303" s="1"/>
      <c r="G303" s="1"/>
      <c r="H303" s="1"/>
      <c r="I303" s="1"/>
      <c r="L303" s="328"/>
      <c r="M303" s="328"/>
    </row>
    <row r="304" spans="1:13" customFormat="1" ht="13.2">
      <c r="A304" s="1703"/>
      <c r="F304" s="1"/>
      <c r="G304" s="1"/>
      <c r="H304" s="1"/>
      <c r="I304" s="1"/>
      <c r="L304" s="328"/>
      <c r="M304" s="328"/>
    </row>
    <row r="305" spans="1:13" customFormat="1" ht="13.2">
      <c r="A305" s="1703"/>
      <c r="F305" s="1"/>
      <c r="G305" s="1"/>
      <c r="H305" s="1"/>
      <c r="I305" s="1"/>
      <c r="L305" s="328"/>
      <c r="M305" s="328"/>
    </row>
    <row r="306" spans="1:13" customFormat="1" ht="13.2">
      <c r="A306" s="1703"/>
      <c r="F306" s="1"/>
      <c r="G306" s="1"/>
      <c r="H306" s="1"/>
      <c r="I306" s="1"/>
      <c r="L306" s="328"/>
      <c r="M306" s="328"/>
    </row>
    <row r="307" spans="1:13" customFormat="1" ht="13.2">
      <c r="A307" s="1703"/>
      <c r="F307" s="1"/>
      <c r="G307" s="1"/>
      <c r="H307" s="1"/>
      <c r="I307" s="1"/>
      <c r="L307" s="328"/>
      <c r="M307" s="328"/>
    </row>
    <row r="308" spans="1:13" customFormat="1" ht="13.2">
      <c r="A308" s="1703"/>
      <c r="F308" s="1"/>
      <c r="G308" s="1"/>
      <c r="H308" s="1"/>
      <c r="I308" s="1"/>
      <c r="L308" s="328"/>
      <c r="M308" s="328"/>
    </row>
    <row r="309" spans="1:13" customFormat="1" ht="13.2">
      <c r="A309" s="1703"/>
      <c r="F309" s="1"/>
      <c r="G309" s="1"/>
      <c r="H309" s="1"/>
      <c r="I309" s="1"/>
      <c r="L309" s="328"/>
      <c r="M309" s="328"/>
    </row>
    <row r="310" spans="1:13" customFormat="1" ht="13.2">
      <c r="A310" s="1703"/>
      <c r="F310" s="1"/>
      <c r="G310" s="1"/>
      <c r="H310" s="1"/>
      <c r="I310" s="1"/>
      <c r="L310" s="328"/>
      <c r="M310" s="328"/>
    </row>
    <row r="311" spans="1:13" customFormat="1" ht="13.2">
      <c r="A311" s="1703"/>
      <c r="F311" s="1"/>
      <c r="G311" s="1"/>
      <c r="H311" s="1"/>
      <c r="I311" s="1"/>
      <c r="L311" s="328"/>
      <c r="M311" s="328"/>
    </row>
    <row r="312" spans="1:13" customFormat="1" ht="13.2">
      <c r="A312" s="1703"/>
      <c r="F312" s="1"/>
      <c r="G312" s="1"/>
      <c r="H312" s="1"/>
      <c r="I312" s="1"/>
      <c r="L312" s="328"/>
      <c r="M312" s="328"/>
    </row>
    <row r="313" spans="1:13" customFormat="1" ht="13.2">
      <c r="A313" s="1703"/>
      <c r="F313" s="1"/>
      <c r="G313" s="1"/>
      <c r="H313" s="1"/>
      <c r="I313" s="1"/>
      <c r="L313" s="328"/>
      <c r="M313" s="328"/>
    </row>
    <row r="314" spans="1:13" customFormat="1" ht="13.2">
      <c r="A314" s="1703"/>
      <c r="F314" s="1"/>
      <c r="G314" s="1"/>
      <c r="H314" s="1"/>
      <c r="I314" s="1"/>
      <c r="L314" s="328"/>
      <c r="M314" s="328"/>
    </row>
    <row r="315" spans="1:13" customFormat="1" ht="13.2">
      <c r="A315" s="1703"/>
      <c r="F315" s="1"/>
      <c r="G315" s="1"/>
      <c r="H315" s="1"/>
      <c r="I315" s="1"/>
      <c r="L315" s="328"/>
      <c r="M315" s="328"/>
    </row>
    <row r="316" spans="1:13" customFormat="1" ht="13.2">
      <c r="A316" s="1703"/>
      <c r="F316" s="1"/>
      <c r="G316" s="1"/>
      <c r="H316" s="1"/>
      <c r="I316" s="1"/>
      <c r="L316" s="328"/>
      <c r="M316" s="328"/>
    </row>
    <row r="317" spans="1:13" customFormat="1" ht="13.2">
      <c r="A317" s="1703"/>
      <c r="F317" s="1"/>
      <c r="G317" s="1"/>
      <c r="H317" s="1"/>
      <c r="I317" s="1"/>
      <c r="L317" s="328"/>
      <c r="M317" s="328"/>
    </row>
    <row r="318" spans="1:13" customFormat="1" ht="13.2">
      <c r="A318" s="1703"/>
      <c r="F318" s="1"/>
      <c r="G318" s="1"/>
      <c r="H318" s="1"/>
      <c r="I318" s="1"/>
      <c r="L318" s="328"/>
      <c r="M318" s="328"/>
    </row>
    <row r="319" spans="1:13" customFormat="1" ht="13.2">
      <c r="A319" s="1703"/>
      <c r="F319" s="1"/>
      <c r="G319" s="1"/>
      <c r="H319" s="1"/>
      <c r="I319" s="1"/>
      <c r="L319" s="328"/>
      <c r="M319" s="328"/>
    </row>
    <row r="320" spans="1:13" customFormat="1" ht="13.2">
      <c r="A320" s="1703"/>
      <c r="F320" s="1"/>
      <c r="G320" s="1"/>
      <c r="H320" s="1"/>
      <c r="I320" s="1"/>
      <c r="L320" s="328"/>
      <c r="M320" s="328"/>
    </row>
    <row r="321" spans="1:13" customFormat="1" ht="13.2">
      <c r="A321" s="1703"/>
      <c r="F321" s="1"/>
      <c r="G321" s="1"/>
      <c r="H321" s="1"/>
      <c r="I321" s="1"/>
      <c r="L321" s="328"/>
      <c r="M321" s="328"/>
    </row>
    <row r="322" spans="1:13" customFormat="1" ht="13.2">
      <c r="A322" s="1703"/>
      <c r="F322" s="1"/>
      <c r="G322" s="1"/>
      <c r="H322" s="1"/>
      <c r="I322" s="1"/>
      <c r="L322" s="328"/>
      <c r="M322" s="328"/>
    </row>
    <row r="323" spans="1:13" customFormat="1" ht="13.2">
      <c r="A323" s="1703"/>
      <c r="F323" s="1"/>
      <c r="G323" s="1"/>
      <c r="H323" s="1"/>
      <c r="I323" s="1"/>
      <c r="L323" s="328"/>
      <c r="M323" s="328"/>
    </row>
    <row r="324" spans="1:13" customFormat="1" ht="13.2">
      <c r="A324" s="1703"/>
      <c r="F324" s="1"/>
      <c r="G324" s="1"/>
      <c r="H324" s="1"/>
      <c r="I324" s="1"/>
      <c r="L324" s="328"/>
      <c r="M324" s="328"/>
    </row>
    <row r="325" spans="1:13" customFormat="1" ht="13.2">
      <c r="A325" s="1703"/>
      <c r="F325" s="1"/>
      <c r="G325" s="1"/>
      <c r="H325" s="1"/>
      <c r="I325" s="1"/>
      <c r="L325" s="328"/>
      <c r="M325" s="328"/>
    </row>
    <row r="326" spans="1:13" customFormat="1" ht="13.2">
      <c r="A326" s="1703"/>
      <c r="F326" s="1"/>
      <c r="G326" s="1"/>
      <c r="H326" s="1"/>
      <c r="I326" s="1"/>
      <c r="L326" s="328"/>
      <c r="M326" s="328"/>
    </row>
    <row r="327" spans="1:13" customFormat="1" ht="13.2">
      <c r="A327" s="1703"/>
      <c r="F327" s="1"/>
      <c r="G327" s="1"/>
      <c r="H327" s="1"/>
      <c r="I327" s="1"/>
      <c r="L327" s="328"/>
      <c r="M327" s="328"/>
    </row>
    <row r="328" spans="1:13" customFormat="1" ht="13.2">
      <c r="A328" s="1703"/>
      <c r="F328" s="1"/>
      <c r="G328" s="1"/>
      <c r="H328" s="1"/>
      <c r="I328" s="1"/>
      <c r="L328" s="328"/>
      <c r="M328" s="328"/>
    </row>
    <row r="329" spans="1:13" customFormat="1" ht="13.2">
      <c r="A329" s="1703"/>
      <c r="F329" s="1"/>
      <c r="G329" s="1"/>
      <c r="H329" s="1"/>
      <c r="I329" s="1"/>
      <c r="L329" s="328"/>
      <c r="M329" s="328"/>
    </row>
    <row r="330" spans="1:13" customFormat="1" ht="13.2">
      <c r="A330" s="1703"/>
      <c r="F330" s="1"/>
      <c r="G330" s="1"/>
      <c r="H330" s="1"/>
      <c r="I330" s="1"/>
      <c r="L330" s="328"/>
      <c r="M330" s="328"/>
    </row>
    <row r="331" spans="1:13" customFormat="1" ht="13.2">
      <c r="A331" s="1703"/>
      <c r="F331" s="1"/>
      <c r="G331" s="1"/>
      <c r="H331" s="1"/>
      <c r="I331" s="1"/>
      <c r="L331" s="328"/>
      <c r="M331" s="328"/>
    </row>
    <row r="332" spans="1:13" customFormat="1" ht="13.2">
      <c r="A332" s="1703"/>
      <c r="F332" s="1"/>
      <c r="G332" s="1"/>
      <c r="H332" s="1"/>
      <c r="I332" s="1"/>
      <c r="L332" s="328"/>
      <c r="M332" s="328"/>
    </row>
    <row r="333" spans="1:13" customFormat="1" ht="13.2">
      <c r="A333" s="1703"/>
      <c r="F333" s="1"/>
      <c r="G333" s="1"/>
      <c r="H333" s="1"/>
      <c r="I333" s="1"/>
      <c r="L333" s="328"/>
      <c r="M333" s="328"/>
    </row>
    <row r="334" spans="1:13" customFormat="1" ht="13.2">
      <c r="A334" s="1703"/>
      <c r="F334" s="1"/>
      <c r="G334" s="1"/>
      <c r="H334" s="1"/>
      <c r="I334" s="1"/>
      <c r="L334" s="328"/>
      <c r="M334" s="328"/>
    </row>
    <row r="335" spans="1:13" customFormat="1" ht="13.2">
      <c r="A335" s="1703"/>
      <c r="F335" s="1"/>
      <c r="G335" s="1"/>
      <c r="H335" s="1"/>
      <c r="I335" s="1"/>
      <c r="L335" s="328"/>
      <c r="M335" s="328"/>
    </row>
    <row r="336" spans="1:13" customFormat="1" ht="13.2">
      <c r="A336" s="1703"/>
      <c r="F336" s="1"/>
      <c r="G336" s="1"/>
      <c r="H336" s="1"/>
      <c r="I336" s="1"/>
      <c r="L336" s="328"/>
      <c r="M336" s="328"/>
    </row>
    <row r="337" spans="1:13" customFormat="1" ht="13.2">
      <c r="A337" s="1703"/>
      <c r="F337" s="1"/>
      <c r="G337" s="1"/>
      <c r="H337" s="1"/>
      <c r="I337" s="1"/>
      <c r="L337" s="328"/>
      <c r="M337" s="328"/>
    </row>
    <row r="338" spans="1:13" customFormat="1" ht="13.2">
      <c r="A338" s="1703"/>
      <c r="F338" s="1"/>
      <c r="G338" s="1"/>
      <c r="H338" s="1"/>
      <c r="I338" s="1"/>
      <c r="L338" s="328"/>
      <c r="M338" s="328"/>
    </row>
    <row r="339" spans="1:13" customFormat="1" ht="13.2">
      <c r="A339" s="1703"/>
      <c r="F339" s="1"/>
      <c r="G339" s="1"/>
      <c r="H339" s="1"/>
      <c r="I339" s="1"/>
      <c r="L339" s="328"/>
      <c r="M339" s="328"/>
    </row>
    <row r="340" spans="1:13" customFormat="1" ht="13.2">
      <c r="A340" s="1703"/>
      <c r="F340" s="1"/>
      <c r="G340" s="1"/>
      <c r="H340" s="1"/>
      <c r="I340" s="1"/>
      <c r="L340" s="328"/>
      <c r="M340" s="328"/>
    </row>
    <row r="341" spans="1:13" customFormat="1" ht="13.2">
      <c r="A341" s="1703"/>
      <c r="F341" s="1"/>
      <c r="G341" s="1"/>
      <c r="H341" s="1"/>
      <c r="I341" s="1"/>
      <c r="L341" s="328"/>
      <c r="M341" s="328"/>
    </row>
    <row r="342" spans="1:13" customFormat="1" ht="13.2">
      <c r="A342" s="1703"/>
      <c r="F342" s="1"/>
      <c r="G342" s="1"/>
      <c r="H342" s="1"/>
      <c r="I342" s="1"/>
      <c r="L342" s="328"/>
      <c r="M342" s="328"/>
    </row>
    <row r="343" spans="1:13" customFormat="1" ht="13.2">
      <c r="A343" s="1703"/>
      <c r="F343" s="1"/>
      <c r="G343" s="1"/>
      <c r="H343" s="1"/>
      <c r="I343" s="1"/>
      <c r="L343" s="328"/>
      <c r="M343" s="328"/>
    </row>
    <row r="344" spans="1:13" customFormat="1" ht="13.2">
      <c r="A344" s="1703"/>
      <c r="F344" s="1"/>
      <c r="G344" s="1"/>
      <c r="H344" s="1"/>
      <c r="I344" s="1"/>
      <c r="L344" s="328"/>
      <c r="M344" s="328"/>
    </row>
    <row r="345" spans="1:13" customFormat="1" ht="13.2">
      <c r="A345" s="1703"/>
      <c r="F345" s="1"/>
      <c r="G345" s="1"/>
      <c r="H345" s="1"/>
      <c r="I345" s="1"/>
      <c r="L345" s="328"/>
      <c r="M345" s="328"/>
    </row>
    <row r="346" spans="1:13" customFormat="1" ht="13.2">
      <c r="A346" s="1703"/>
      <c r="F346" s="1"/>
      <c r="G346" s="1"/>
      <c r="H346" s="1"/>
      <c r="I346" s="1"/>
      <c r="L346" s="328"/>
      <c r="M346" s="328"/>
    </row>
    <row r="347" spans="1:13" customFormat="1" ht="13.2">
      <c r="A347" s="1703"/>
      <c r="F347" s="1"/>
      <c r="G347" s="1"/>
      <c r="H347" s="1"/>
      <c r="I347" s="1"/>
      <c r="L347" s="328"/>
      <c r="M347" s="328"/>
    </row>
    <row r="348" spans="1:13" customFormat="1" ht="13.2">
      <c r="A348" s="1703"/>
      <c r="F348" s="1"/>
      <c r="G348" s="1"/>
      <c r="H348" s="1"/>
      <c r="I348" s="1"/>
      <c r="L348" s="328"/>
      <c r="M348" s="328"/>
    </row>
    <row r="349" spans="1:13" customFormat="1" ht="13.2">
      <c r="A349" s="1703"/>
      <c r="F349" s="1"/>
      <c r="G349" s="1"/>
      <c r="H349" s="1"/>
      <c r="I349" s="1"/>
      <c r="L349" s="328"/>
      <c r="M349" s="328"/>
    </row>
    <row r="350" spans="1:13" customFormat="1" ht="13.2">
      <c r="A350" s="1703"/>
      <c r="F350" s="1"/>
      <c r="G350" s="1"/>
      <c r="H350" s="1"/>
      <c r="I350" s="1"/>
      <c r="L350" s="328"/>
      <c r="M350" s="328"/>
    </row>
    <row r="351" spans="1:13" customFormat="1" ht="13.2">
      <c r="A351" s="1703"/>
      <c r="F351" s="1"/>
      <c r="G351" s="1"/>
      <c r="H351" s="1"/>
      <c r="I351" s="1"/>
      <c r="L351" s="328"/>
      <c r="M351" s="328"/>
    </row>
    <row r="352" spans="1:13" customFormat="1" ht="13.2">
      <c r="A352" s="1703"/>
      <c r="F352" s="1"/>
      <c r="G352" s="1"/>
      <c r="H352" s="1"/>
      <c r="I352" s="1"/>
      <c r="L352" s="328"/>
      <c r="M352" s="328"/>
    </row>
    <row r="353" spans="1:13" customFormat="1" ht="13.2">
      <c r="A353" s="1703"/>
      <c r="F353" s="1"/>
      <c r="G353" s="1"/>
      <c r="H353" s="1"/>
      <c r="I353" s="1"/>
      <c r="L353" s="328"/>
      <c r="M353" s="328"/>
    </row>
    <row r="354" spans="1:13" customFormat="1" ht="13.2">
      <c r="A354" s="1703"/>
      <c r="F354" s="1"/>
      <c r="G354" s="1"/>
      <c r="H354" s="1"/>
      <c r="I354" s="1"/>
      <c r="L354" s="328"/>
      <c r="M354" s="328"/>
    </row>
    <row r="355" spans="1:13" customFormat="1" ht="13.2">
      <c r="A355" s="1703"/>
      <c r="F355" s="1"/>
      <c r="G355" s="1"/>
      <c r="H355" s="1"/>
      <c r="I355" s="1"/>
      <c r="L355" s="328"/>
      <c r="M355" s="328"/>
    </row>
    <row r="356" spans="1:13" customFormat="1" ht="13.2">
      <c r="A356" s="1703"/>
      <c r="F356" s="1"/>
      <c r="G356" s="1"/>
      <c r="H356" s="1"/>
      <c r="I356" s="1"/>
      <c r="L356" s="328"/>
      <c r="M356" s="328"/>
    </row>
    <row r="357" spans="1:13" customFormat="1" ht="13.2">
      <c r="A357" s="1703"/>
      <c r="F357" s="1"/>
      <c r="G357" s="1"/>
      <c r="H357" s="1"/>
      <c r="I357" s="1"/>
      <c r="L357" s="328"/>
      <c r="M357" s="328"/>
    </row>
    <row r="358" spans="1:13" customFormat="1" ht="13.2">
      <c r="A358" s="1703"/>
      <c r="F358" s="1"/>
      <c r="G358" s="1"/>
      <c r="H358" s="1"/>
      <c r="I358" s="1"/>
      <c r="L358" s="328"/>
      <c r="M358" s="328"/>
    </row>
    <row r="359" spans="1:13" customFormat="1" ht="13.2">
      <c r="A359" s="1703"/>
      <c r="F359" s="1"/>
      <c r="G359" s="1"/>
      <c r="H359" s="1"/>
      <c r="I359" s="1"/>
      <c r="L359" s="328"/>
      <c r="M359" s="328"/>
    </row>
    <row r="360" spans="1:13" customFormat="1" ht="13.2">
      <c r="A360" s="1703"/>
      <c r="F360" s="1"/>
      <c r="G360" s="1"/>
      <c r="H360" s="1"/>
      <c r="I360" s="1"/>
      <c r="L360" s="328"/>
      <c r="M360" s="328"/>
    </row>
    <row r="361" spans="1:13" customFormat="1" ht="13.2">
      <c r="A361" s="1703"/>
      <c r="F361" s="1"/>
      <c r="G361" s="1"/>
      <c r="H361" s="1"/>
      <c r="I361" s="1"/>
      <c r="L361" s="328"/>
      <c r="M361" s="328"/>
    </row>
    <row r="362" spans="1:13" customFormat="1" ht="13.2">
      <c r="A362" s="1703"/>
      <c r="F362" s="1"/>
      <c r="G362" s="1"/>
      <c r="H362" s="1"/>
      <c r="I362" s="1"/>
      <c r="L362" s="328"/>
      <c r="M362" s="328"/>
    </row>
    <row r="363" spans="1:13" customFormat="1" ht="13.2">
      <c r="A363" s="1703"/>
      <c r="F363" s="1"/>
      <c r="G363" s="1"/>
      <c r="H363" s="1"/>
      <c r="I363" s="1"/>
      <c r="L363" s="328"/>
      <c r="M363" s="328"/>
    </row>
    <row r="364" spans="1:13" customFormat="1" ht="13.2">
      <c r="A364" s="1703"/>
      <c r="F364" s="1"/>
      <c r="G364" s="1"/>
      <c r="H364" s="1"/>
      <c r="I364" s="1"/>
      <c r="L364" s="328"/>
      <c r="M364" s="328"/>
    </row>
    <row r="365" spans="1:13" customFormat="1" ht="13.2">
      <c r="A365" s="1703"/>
      <c r="F365" s="1"/>
      <c r="G365" s="1"/>
      <c r="H365" s="1"/>
      <c r="I365" s="1"/>
      <c r="L365" s="328"/>
      <c r="M365" s="328"/>
    </row>
    <row r="366" spans="1:13" customFormat="1" ht="13.2">
      <c r="A366" s="1703"/>
      <c r="F366" s="1"/>
      <c r="G366" s="1"/>
      <c r="H366" s="1"/>
      <c r="I366" s="1"/>
      <c r="L366" s="328"/>
      <c r="M366" s="328"/>
    </row>
    <row r="367" spans="1:13" customFormat="1" ht="13.2">
      <c r="A367" s="1703"/>
      <c r="F367" s="1"/>
      <c r="G367" s="1"/>
      <c r="H367" s="1"/>
      <c r="I367" s="1"/>
      <c r="L367" s="328"/>
      <c r="M367" s="328"/>
    </row>
    <row r="368" spans="1:13" customFormat="1" ht="13.2">
      <c r="A368" s="1703"/>
      <c r="F368" s="1"/>
      <c r="G368" s="1"/>
      <c r="H368" s="1"/>
      <c r="I368" s="1"/>
      <c r="L368" s="328"/>
      <c r="M368" s="328"/>
    </row>
    <row r="369" spans="1:13" customFormat="1" ht="13.2">
      <c r="A369" s="1703"/>
      <c r="F369" s="1"/>
      <c r="G369" s="1"/>
      <c r="H369" s="1"/>
      <c r="I369" s="1"/>
      <c r="L369" s="328"/>
      <c r="M369" s="328"/>
    </row>
    <row r="370" spans="1:13" customFormat="1" ht="13.2">
      <c r="A370" s="1703"/>
      <c r="F370" s="1"/>
      <c r="G370" s="1"/>
      <c r="H370" s="1"/>
      <c r="I370" s="1"/>
      <c r="L370" s="328"/>
      <c r="M370" s="328"/>
    </row>
    <row r="371" spans="1:13" customFormat="1" ht="13.2">
      <c r="A371" s="1703"/>
      <c r="F371" s="1"/>
      <c r="G371" s="1"/>
      <c r="H371" s="1"/>
      <c r="I371" s="1"/>
      <c r="L371" s="328"/>
      <c r="M371" s="328"/>
    </row>
    <row r="372" spans="1:13" customFormat="1" ht="13.2">
      <c r="A372" s="1703"/>
      <c r="F372" s="1"/>
      <c r="G372" s="1"/>
      <c r="H372" s="1"/>
      <c r="I372" s="1"/>
      <c r="L372" s="328"/>
      <c r="M372" s="328"/>
    </row>
    <row r="373" spans="1:13" customFormat="1" ht="13.2">
      <c r="A373" s="1703"/>
      <c r="F373" s="1"/>
      <c r="G373" s="1"/>
      <c r="H373" s="1"/>
      <c r="I373" s="1"/>
      <c r="L373" s="328"/>
      <c r="M373" s="328"/>
    </row>
    <row r="374" spans="1:13" customFormat="1" ht="13.2">
      <c r="A374" s="1703"/>
      <c r="F374" s="1"/>
      <c r="G374" s="1"/>
      <c r="H374" s="1"/>
      <c r="I374" s="1"/>
      <c r="L374" s="328"/>
      <c r="M374" s="328"/>
    </row>
    <row r="375" spans="1:13" customFormat="1" ht="13.2">
      <c r="A375" s="1703"/>
      <c r="F375" s="1"/>
      <c r="G375" s="1"/>
      <c r="H375" s="1"/>
      <c r="I375" s="1"/>
      <c r="L375" s="328"/>
      <c r="M375" s="328"/>
    </row>
    <row r="376" spans="1:13" customFormat="1" ht="13.2">
      <c r="A376" s="1703"/>
      <c r="F376" s="1"/>
      <c r="G376" s="1"/>
      <c r="H376" s="1"/>
      <c r="I376" s="1"/>
      <c r="L376" s="328"/>
      <c r="M376" s="328"/>
    </row>
    <row r="377" spans="1:13" customFormat="1" ht="13.2">
      <c r="A377" s="1703"/>
      <c r="F377" s="1"/>
      <c r="G377" s="1"/>
      <c r="H377" s="1"/>
      <c r="I377" s="1"/>
      <c r="L377" s="328"/>
      <c r="M377" s="328"/>
    </row>
    <row r="378" spans="1:13" customFormat="1" ht="13.2">
      <c r="A378" s="1703"/>
      <c r="F378" s="1"/>
      <c r="G378" s="1"/>
      <c r="H378" s="1"/>
      <c r="I378" s="1"/>
      <c r="L378" s="328"/>
      <c r="M378" s="328"/>
    </row>
    <row r="379" spans="1:13" customFormat="1" ht="13.2">
      <c r="A379" s="1703"/>
      <c r="F379" s="1"/>
      <c r="G379" s="1"/>
      <c r="H379" s="1"/>
      <c r="I379" s="1"/>
      <c r="L379" s="328"/>
      <c r="M379" s="328"/>
    </row>
    <row r="380" spans="1:13" customFormat="1" ht="13.2">
      <c r="A380" s="1703"/>
      <c r="F380" s="1"/>
      <c r="G380" s="1"/>
      <c r="H380" s="1"/>
      <c r="I380" s="1"/>
      <c r="L380" s="328"/>
      <c r="M380" s="328"/>
    </row>
    <row r="381" spans="1:13" customFormat="1" ht="13.2">
      <c r="A381" s="1703"/>
      <c r="F381" s="1"/>
      <c r="G381" s="1"/>
      <c r="H381" s="1"/>
      <c r="I381" s="1"/>
      <c r="L381" s="328"/>
      <c r="M381" s="328"/>
    </row>
    <row r="382" spans="1:13" customFormat="1" ht="13.2">
      <c r="A382" s="1703"/>
      <c r="F382" s="1"/>
      <c r="G382" s="1"/>
      <c r="H382" s="1"/>
      <c r="I382" s="1"/>
      <c r="L382" s="328"/>
      <c r="M382" s="328"/>
    </row>
    <row r="383" spans="1:13" customFormat="1" ht="13.2">
      <c r="A383" s="1703"/>
      <c r="F383" s="1"/>
      <c r="G383" s="1"/>
      <c r="H383" s="1"/>
      <c r="I383" s="1"/>
      <c r="L383" s="328"/>
      <c r="M383" s="328"/>
    </row>
    <row r="384" spans="1:13" customFormat="1" ht="13.2">
      <c r="A384" s="1703"/>
      <c r="F384" s="1"/>
      <c r="G384" s="1"/>
      <c r="H384" s="1"/>
      <c r="I384" s="1"/>
      <c r="L384" s="328"/>
      <c r="M384" s="328"/>
    </row>
    <row r="385" spans="1:13" customFormat="1" ht="13.2">
      <c r="A385" s="1703"/>
      <c r="F385" s="1"/>
      <c r="G385" s="1"/>
      <c r="H385" s="1"/>
      <c r="I385" s="1"/>
      <c r="L385" s="328"/>
      <c r="M385" s="328"/>
    </row>
    <row r="386" spans="1:13" customFormat="1" ht="13.2">
      <c r="A386" s="1703"/>
      <c r="F386" s="1"/>
      <c r="G386" s="1"/>
      <c r="H386" s="1"/>
      <c r="I386" s="1"/>
      <c r="L386" s="328"/>
      <c r="M386" s="328"/>
    </row>
    <row r="387" spans="1:13" customFormat="1" ht="13.2">
      <c r="A387" s="1703"/>
      <c r="F387" s="1"/>
      <c r="G387" s="1"/>
      <c r="H387" s="1"/>
      <c r="I387" s="1"/>
      <c r="L387" s="328"/>
      <c r="M387" s="328"/>
    </row>
    <row r="388" spans="1:13" customFormat="1" ht="13.2">
      <c r="A388" s="1703"/>
      <c r="F388" s="1"/>
      <c r="G388" s="1"/>
      <c r="H388" s="1"/>
      <c r="I388" s="1"/>
      <c r="L388" s="328"/>
      <c r="M388" s="328"/>
    </row>
    <row r="389" spans="1:13" customFormat="1" ht="13.2">
      <c r="A389" s="1703"/>
      <c r="F389" s="1"/>
      <c r="G389" s="1"/>
      <c r="H389" s="1"/>
      <c r="I389" s="1"/>
      <c r="L389" s="328"/>
      <c r="M389" s="328"/>
    </row>
    <row r="390" spans="1:13" customFormat="1" ht="13.2">
      <c r="A390" s="1703"/>
      <c r="F390" s="1"/>
      <c r="G390" s="1"/>
      <c r="H390" s="1"/>
      <c r="I390" s="1"/>
      <c r="L390" s="328"/>
      <c r="M390" s="328"/>
    </row>
    <row r="391" spans="1:13" customFormat="1" ht="13.2">
      <c r="A391" s="1703"/>
      <c r="F391" s="1"/>
      <c r="G391" s="1"/>
      <c r="H391" s="1"/>
      <c r="I391" s="1"/>
      <c r="L391" s="328"/>
      <c r="M391" s="328"/>
    </row>
    <row r="392" spans="1:13" customFormat="1" ht="13.2">
      <c r="A392" s="1703"/>
      <c r="F392" s="1"/>
      <c r="G392" s="1"/>
      <c r="H392" s="1"/>
      <c r="I392" s="1"/>
      <c r="L392" s="328"/>
      <c r="M392" s="328"/>
    </row>
    <row r="393" spans="1:13" customFormat="1" ht="13.2">
      <c r="A393" s="1703"/>
      <c r="F393" s="1"/>
      <c r="G393" s="1"/>
      <c r="H393" s="1"/>
      <c r="I393" s="1"/>
      <c r="L393" s="328"/>
      <c r="M393" s="328"/>
    </row>
    <row r="394" spans="1:13" customFormat="1" ht="13.2">
      <c r="A394" s="1703"/>
      <c r="F394" s="1"/>
      <c r="G394" s="1"/>
      <c r="H394" s="1"/>
      <c r="I394" s="1"/>
      <c r="L394" s="328"/>
      <c r="M394" s="328"/>
    </row>
    <row r="395" spans="1:13" customFormat="1" ht="13.2">
      <c r="A395" s="1703"/>
      <c r="F395" s="1"/>
      <c r="G395" s="1"/>
      <c r="H395" s="1"/>
      <c r="I395" s="1"/>
      <c r="L395" s="328"/>
      <c r="M395" s="328"/>
    </row>
    <row r="396" spans="1:13" customFormat="1" ht="13.2">
      <c r="A396" s="1703"/>
      <c r="F396" s="1"/>
      <c r="G396" s="1"/>
      <c r="H396" s="1"/>
      <c r="I396" s="1"/>
      <c r="L396" s="328"/>
      <c r="M396" s="328"/>
    </row>
    <row r="397" spans="1:13" customFormat="1" ht="13.2">
      <c r="A397" s="1703"/>
      <c r="F397" s="1"/>
      <c r="G397" s="1"/>
      <c r="H397" s="1"/>
      <c r="I397" s="1"/>
      <c r="L397" s="328"/>
      <c r="M397" s="328"/>
    </row>
    <row r="398" spans="1:13" customFormat="1" ht="13.2">
      <c r="A398" s="1703"/>
      <c r="F398" s="1"/>
      <c r="G398" s="1"/>
      <c r="H398" s="1"/>
      <c r="I398" s="1"/>
      <c r="L398" s="328"/>
      <c r="M398" s="328"/>
    </row>
    <row r="399" spans="1:13" customFormat="1" ht="13.2">
      <c r="A399" s="1703"/>
      <c r="F399" s="1"/>
      <c r="G399" s="1"/>
      <c r="H399" s="1"/>
      <c r="I399" s="1"/>
      <c r="L399" s="328"/>
      <c r="M399" s="328"/>
    </row>
    <row r="400" spans="1:13" customFormat="1" ht="13.2">
      <c r="A400" s="1703"/>
      <c r="F400" s="1"/>
      <c r="G400" s="1"/>
      <c r="H400" s="1"/>
      <c r="I400" s="1"/>
      <c r="L400" s="328"/>
      <c r="M400" s="328"/>
    </row>
    <row r="401" spans="1:13" customFormat="1" ht="13.2">
      <c r="A401" s="1703"/>
      <c r="F401" s="1"/>
      <c r="G401" s="1"/>
      <c r="H401" s="1"/>
      <c r="I401" s="1"/>
      <c r="L401" s="328"/>
      <c r="M401" s="328"/>
    </row>
    <row r="402" spans="1:13" customFormat="1" ht="13.2">
      <c r="A402" s="1703"/>
      <c r="F402" s="1"/>
      <c r="G402" s="1"/>
      <c r="H402" s="1"/>
      <c r="I402" s="1"/>
      <c r="L402" s="328"/>
      <c r="M402" s="328"/>
    </row>
    <row r="403" spans="1:13" customFormat="1" ht="13.2">
      <c r="A403" s="1703"/>
      <c r="F403" s="1"/>
      <c r="G403" s="1"/>
      <c r="H403" s="1"/>
      <c r="I403" s="1"/>
      <c r="L403" s="328"/>
      <c r="M403" s="328"/>
    </row>
    <row r="404" spans="1:13" customFormat="1" ht="13.2">
      <c r="A404" s="1703"/>
      <c r="F404" s="1"/>
      <c r="G404" s="1"/>
      <c r="H404" s="1"/>
      <c r="I404" s="1"/>
      <c r="L404" s="328"/>
      <c r="M404" s="328"/>
    </row>
    <row r="405" spans="1:13" customFormat="1" ht="13.2">
      <c r="A405" s="1703"/>
      <c r="F405" s="1"/>
      <c r="G405" s="1"/>
      <c r="H405" s="1"/>
      <c r="I405" s="1"/>
      <c r="L405" s="328"/>
      <c r="M405" s="328"/>
    </row>
    <row r="406" spans="1:13" customFormat="1" ht="13.2">
      <c r="A406" s="1703"/>
      <c r="F406" s="1"/>
      <c r="G406" s="1"/>
      <c r="H406" s="1"/>
      <c r="I406" s="1"/>
      <c r="L406" s="328"/>
      <c r="M406" s="328"/>
    </row>
    <row r="407" spans="1:13" customFormat="1" ht="13.2">
      <c r="A407" s="1703"/>
      <c r="F407" s="1"/>
      <c r="G407" s="1"/>
      <c r="H407" s="1"/>
      <c r="I407" s="1"/>
      <c r="L407" s="328"/>
      <c r="M407" s="328"/>
    </row>
    <row r="408" spans="1:13" customFormat="1" ht="13.2">
      <c r="A408" s="1703"/>
      <c r="F408" s="1"/>
      <c r="G408" s="1"/>
      <c r="H408" s="1"/>
      <c r="I408" s="1"/>
      <c r="L408" s="328"/>
      <c r="M408" s="328"/>
    </row>
    <row r="409" spans="1:13" customFormat="1" ht="13.2">
      <c r="A409" s="1703"/>
      <c r="F409" s="1"/>
      <c r="G409" s="1"/>
      <c r="H409" s="1"/>
      <c r="I409" s="1"/>
      <c r="L409" s="328"/>
      <c r="M409" s="328"/>
    </row>
    <row r="410" spans="1:13" customFormat="1" ht="13.2">
      <c r="A410" s="1703"/>
      <c r="F410" s="1"/>
      <c r="G410" s="1"/>
      <c r="H410" s="1"/>
      <c r="I410" s="1"/>
      <c r="L410" s="328"/>
      <c r="M410" s="328"/>
    </row>
    <row r="411" spans="1:13" customFormat="1" ht="13.2">
      <c r="A411" s="1703"/>
      <c r="F411" s="1"/>
      <c r="G411" s="1"/>
      <c r="H411" s="1"/>
      <c r="I411" s="1"/>
      <c r="L411" s="328"/>
      <c r="M411" s="328"/>
    </row>
    <row r="412" spans="1:13" customFormat="1" ht="13.2">
      <c r="A412" s="1703"/>
      <c r="F412" s="1"/>
      <c r="G412" s="1"/>
      <c r="H412" s="1"/>
      <c r="I412" s="1"/>
      <c r="L412" s="328"/>
      <c r="M412" s="328"/>
    </row>
    <row r="413" spans="1:13" customFormat="1" ht="13.2">
      <c r="A413" s="1703"/>
      <c r="F413" s="1"/>
      <c r="G413" s="1"/>
      <c r="H413" s="1"/>
      <c r="I413" s="1"/>
      <c r="L413" s="328"/>
      <c r="M413" s="328"/>
    </row>
    <row r="414" spans="1:13" customFormat="1" ht="13.2">
      <c r="A414" s="1703"/>
      <c r="F414" s="1"/>
      <c r="G414" s="1"/>
      <c r="H414" s="1"/>
      <c r="I414" s="1"/>
      <c r="L414" s="328"/>
      <c r="M414" s="328"/>
    </row>
    <row r="415" spans="1:13" customFormat="1" ht="13.2">
      <c r="A415" s="1703"/>
      <c r="F415" s="1"/>
      <c r="G415" s="1"/>
      <c r="H415" s="1"/>
      <c r="I415" s="1"/>
      <c r="L415" s="328"/>
      <c r="M415" s="328"/>
    </row>
    <row r="416" spans="1:13" customFormat="1" ht="13.2">
      <c r="A416" s="1703"/>
      <c r="F416" s="1"/>
      <c r="G416" s="1"/>
      <c r="H416" s="1"/>
      <c r="I416" s="1"/>
      <c r="L416" s="328"/>
      <c r="M416" s="328"/>
    </row>
    <row r="417" spans="1:13" customFormat="1" ht="13.2">
      <c r="A417" s="1703"/>
      <c r="F417" s="1"/>
      <c r="G417" s="1"/>
      <c r="H417" s="1"/>
      <c r="I417" s="1"/>
      <c r="L417" s="328"/>
      <c r="M417" s="328"/>
    </row>
    <row r="418" spans="1:13" customFormat="1" ht="13.2">
      <c r="A418" s="1703"/>
      <c r="F418" s="1"/>
      <c r="G418" s="1"/>
      <c r="H418" s="1"/>
      <c r="I418" s="1"/>
      <c r="L418" s="328"/>
      <c r="M418" s="328"/>
    </row>
    <row r="419" spans="1:13" customFormat="1" ht="13.2">
      <c r="A419" s="1703"/>
      <c r="F419" s="1"/>
      <c r="G419" s="1"/>
      <c r="H419" s="1"/>
      <c r="I419" s="1"/>
      <c r="L419" s="328"/>
      <c r="M419" s="328"/>
    </row>
    <row r="420" spans="1:13" customFormat="1" ht="13.2">
      <c r="A420" s="1703"/>
      <c r="F420" s="1"/>
      <c r="G420" s="1"/>
      <c r="H420" s="1"/>
      <c r="I420" s="1"/>
      <c r="L420" s="328"/>
      <c r="M420" s="328"/>
    </row>
    <row r="421" spans="1:13" customFormat="1" ht="13.2">
      <c r="A421" s="1703"/>
      <c r="F421" s="1"/>
      <c r="G421" s="1"/>
      <c r="H421" s="1"/>
      <c r="I421" s="1"/>
      <c r="L421" s="328"/>
      <c r="M421" s="328"/>
    </row>
    <row r="422" spans="1:13" customFormat="1" ht="13.2">
      <c r="A422" s="1703"/>
      <c r="F422" s="1"/>
      <c r="G422" s="1"/>
      <c r="H422" s="1"/>
      <c r="I422" s="1"/>
      <c r="L422" s="328"/>
      <c r="M422" s="328"/>
    </row>
    <row r="423" spans="1:13" customFormat="1" ht="13.2">
      <c r="A423" s="1703"/>
      <c r="F423" s="1"/>
      <c r="G423" s="1"/>
      <c r="H423" s="1"/>
      <c r="I423" s="1"/>
      <c r="L423" s="328"/>
      <c r="M423" s="328"/>
    </row>
    <row r="424" spans="1:13" customFormat="1" ht="13.2">
      <c r="A424" s="1703"/>
      <c r="F424" s="1"/>
      <c r="G424" s="1"/>
      <c r="H424" s="1"/>
      <c r="I424" s="1"/>
      <c r="L424" s="328"/>
      <c r="M424" s="328"/>
    </row>
    <row r="425" spans="1:13" customFormat="1" ht="13.2">
      <c r="A425" s="1703"/>
      <c r="F425" s="1"/>
      <c r="G425" s="1"/>
      <c r="H425" s="1"/>
      <c r="I425" s="1"/>
      <c r="L425" s="328"/>
      <c r="M425" s="328"/>
    </row>
    <row r="426" spans="1:13" customFormat="1" ht="13.2">
      <c r="A426" s="1703"/>
      <c r="F426" s="1"/>
      <c r="G426" s="1"/>
      <c r="H426" s="1"/>
      <c r="I426" s="1"/>
      <c r="L426" s="328"/>
      <c r="M426" s="328"/>
    </row>
    <row r="427" spans="1:13" customFormat="1" ht="13.2">
      <c r="A427" s="1703"/>
      <c r="F427" s="1"/>
      <c r="G427" s="1"/>
      <c r="H427" s="1"/>
      <c r="I427" s="1"/>
      <c r="L427" s="328"/>
      <c r="M427" s="328"/>
    </row>
    <row r="428" spans="1:13" customFormat="1" ht="13.2">
      <c r="A428" s="1703"/>
      <c r="F428" s="1"/>
      <c r="G428" s="1"/>
      <c r="H428" s="1"/>
      <c r="I428" s="1"/>
      <c r="L428" s="328"/>
      <c r="M428" s="328"/>
    </row>
    <row r="429" spans="1:13" customFormat="1" ht="13.2">
      <c r="A429" s="1703"/>
      <c r="F429" s="1"/>
      <c r="G429" s="1"/>
      <c r="H429" s="1"/>
      <c r="I429" s="1"/>
      <c r="L429" s="328"/>
      <c r="M429" s="328"/>
    </row>
    <row r="430" spans="1:13" customFormat="1" ht="13.2">
      <c r="A430" s="1703"/>
      <c r="F430" s="1"/>
      <c r="G430" s="1"/>
      <c r="H430" s="1"/>
      <c r="I430" s="1"/>
      <c r="L430" s="328"/>
      <c r="M430" s="328"/>
    </row>
    <row r="431" spans="1:13" customFormat="1" ht="13.2">
      <c r="A431" s="1703"/>
      <c r="F431" s="1"/>
      <c r="G431" s="1"/>
      <c r="H431" s="1"/>
      <c r="I431" s="1"/>
      <c r="L431" s="328"/>
      <c r="M431" s="328"/>
    </row>
    <row r="432" spans="1:13" customFormat="1" ht="13.2">
      <c r="A432" s="1703"/>
      <c r="F432" s="1"/>
      <c r="G432" s="1"/>
      <c r="H432" s="1"/>
      <c r="I432" s="1"/>
      <c r="L432" s="328"/>
      <c r="M432" s="328"/>
    </row>
    <row r="433" spans="1:13" customFormat="1" ht="13.2">
      <c r="A433" s="1703"/>
      <c r="F433" s="1"/>
      <c r="G433" s="1"/>
      <c r="H433" s="1"/>
      <c r="I433" s="1"/>
      <c r="L433" s="328"/>
      <c r="M433" s="328"/>
    </row>
    <row r="434" spans="1:13" customFormat="1" ht="13.2">
      <c r="A434" s="1703"/>
      <c r="F434" s="1"/>
      <c r="G434" s="1"/>
      <c r="H434" s="1"/>
      <c r="I434" s="1"/>
      <c r="L434" s="328"/>
      <c r="M434" s="328"/>
    </row>
    <row r="435" spans="1:13" customFormat="1" ht="13.2">
      <c r="A435" s="1703"/>
      <c r="F435" s="1"/>
      <c r="G435" s="1"/>
      <c r="H435" s="1"/>
      <c r="I435" s="1"/>
      <c r="L435" s="328"/>
      <c r="M435" s="328"/>
    </row>
    <row r="436" spans="1:13" customFormat="1" ht="13.2">
      <c r="A436" s="1703"/>
      <c r="F436" s="1"/>
      <c r="G436" s="1"/>
      <c r="H436" s="1"/>
      <c r="I436" s="1"/>
      <c r="L436" s="328"/>
      <c r="M436" s="328"/>
    </row>
    <row r="437" spans="1:13" customFormat="1" ht="13.2">
      <c r="A437" s="1703"/>
      <c r="F437" s="1"/>
      <c r="G437" s="1"/>
      <c r="H437" s="1"/>
      <c r="I437" s="1"/>
      <c r="L437" s="328"/>
      <c r="M437" s="328"/>
    </row>
    <row r="438" spans="1:13" customFormat="1" ht="13.2">
      <c r="A438" s="1703"/>
      <c r="F438" s="1"/>
      <c r="G438" s="1"/>
      <c r="H438" s="1"/>
      <c r="I438" s="1"/>
      <c r="L438" s="328"/>
      <c r="M438" s="328"/>
    </row>
    <row r="439" spans="1:13" customFormat="1" ht="13.2">
      <c r="A439" s="1703"/>
      <c r="F439" s="1"/>
      <c r="G439" s="1"/>
      <c r="H439" s="1"/>
      <c r="I439" s="1"/>
      <c r="L439" s="328"/>
      <c r="M439" s="328"/>
    </row>
    <row r="440" spans="1:13" customFormat="1" ht="13.2">
      <c r="A440" s="1703"/>
      <c r="F440" s="1"/>
      <c r="G440" s="1"/>
      <c r="H440" s="1"/>
      <c r="I440" s="1"/>
      <c r="L440" s="328"/>
      <c r="M440" s="328"/>
    </row>
    <row r="441" spans="1:13" customFormat="1" ht="13.2">
      <c r="A441" s="1703"/>
      <c r="F441" s="1"/>
      <c r="G441" s="1"/>
      <c r="H441" s="1"/>
      <c r="I441" s="1"/>
      <c r="L441" s="328"/>
      <c r="M441" s="328"/>
    </row>
    <row r="442" spans="1:13" customFormat="1" ht="13.2">
      <c r="A442" s="1703"/>
      <c r="F442" s="1"/>
      <c r="G442" s="1"/>
      <c r="H442" s="1"/>
      <c r="I442" s="1"/>
      <c r="L442" s="328"/>
      <c r="M442" s="328"/>
    </row>
    <row r="443" spans="1:13" customFormat="1" ht="13.2">
      <c r="A443" s="1703"/>
      <c r="F443" s="1"/>
      <c r="G443" s="1"/>
      <c r="H443" s="1"/>
      <c r="I443" s="1"/>
      <c r="L443" s="328"/>
      <c r="M443" s="328"/>
    </row>
    <row r="444" spans="1:13" customFormat="1" ht="13.2">
      <c r="A444" s="1703"/>
      <c r="F444" s="1"/>
      <c r="G444" s="1"/>
      <c r="H444" s="1"/>
      <c r="I444" s="1"/>
      <c r="L444" s="328"/>
      <c r="M444" s="328"/>
    </row>
    <row r="445" spans="1:13" customFormat="1" ht="13.2">
      <c r="A445" s="1703"/>
      <c r="F445" s="1"/>
      <c r="G445" s="1"/>
      <c r="H445" s="1"/>
      <c r="I445" s="1"/>
      <c r="L445" s="328"/>
      <c r="M445" s="328"/>
    </row>
    <row r="446" spans="1:13" customFormat="1" ht="13.2">
      <c r="A446" s="1703"/>
      <c r="F446" s="1"/>
      <c r="G446" s="1"/>
      <c r="H446" s="1"/>
      <c r="I446" s="1"/>
      <c r="L446" s="328"/>
      <c r="M446" s="328"/>
    </row>
    <row r="447" spans="1:13" customFormat="1" ht="13.2">
      <c r="A447" s="1703"/>
      <c r="F447" s="1"/>
      <c r="G447" s="1"/>
      <c r="H447" s="1"/>
      <c r="I447" s="1"/>
      <c r="L447" s="328"/>
      <c r="M447" s="328"/>
    </row>
    <row r="448" spans="1:13" customFormat="1" ht="13.2">
      <c r="A448" s="1703"/>
      <c r="F448" s="1"/>
      <c r="G448" s="1"/>
      <c r="H448" s="1"/>
      <c r="I448" s="1"/>
      <c r="L448" s="328"/>
      <c r="M448" s="328"/>
    </row>
    <row r="449" spans="1:13" customFormat="1" ht="13.2">
      <c r="A449" s="1703"/>
      <c r="F449" s="1"/>
      <c r="G449" s="1"/>
      <c r="H449" s="1"/>
      <c r="I449" s="1"/>
      <c r="L449" s="328"/>
      <c r="M449" s="328"/>
    </row>
    <row r="450" spans="1:13" customFormat="1" ht="13.2">
      <c r="A450" s="1703"/>
      <c r="F450" s="1"/>
      <c r="G450" s="1"/>
      <c r="H450" s="1"/>
      <c r="I450" s="1"/>
      <c r="L450" s="328"/>
      <c r="M450" s="328"/>
    </row>
    <row r="451" spans="1:13" customFormat="1" ht="13.2">
      <c r="A451" s="1703"/>
      <c r="F451" s="1"/>
      <c r="G451" s="1"/>
      <c r="H451" s="1"/>
      <c r="I451" s="1"/>
      <c r="L451" s="328"/>
      <c r="M451" s="328"/>
    </row>
    <row r="452" spans="1:13" customFormat="1" ht="13.2">
      <c r="A452" s="1703"/>
      <c r="F452" s="1"/>
      <c r="G452" s="1"/>
      <c r="H452" s="1"/>
      <c r="I452" s="1"/>
      <c r="L452" s="328"/>
      <c r="M452" s="328"/>
    </row>
    <row r="453" spans="1:13" customFormat="1" ht="13.2">
      <c r="A453" s="1703"/>
      <c r="F453" s="1"/>
      <c r="G453" s="1"/>
      <c r="H453" s="1"/>
      <c r="I453" s="1"/>
      <c r="L453" s="328"/>
      <c r="M453" s="328"/>
    </row>
    <row r="454" spans="1:13" customFormat="1" ht="13.2">
      <c r="A454" s="1703"/>
      <c r="F454" s="1"/>
      <c r="G454" s="1"/>
      <c r="H454" s="1"/>
      <c r="I454" s="1"/>
      <c r="L454" s="328"/>
      <c r="M454" s="328"/>
    </row>
    <row r="455" spans="1:13" customFormat="1" ht="13.2">
      <c r="A455" s="1703"/>
      <c r="F455" s="1"/>
      <c r="G455" s="1"/>
      <c r="H455" s="1"/>
      <c r="I455" s="1"/>
      <c r="L455" s="328"/>
      <c r="M455" s="328"/>
    </row>
    <row r="456" spans="1:13" customFormat="1" ht="13.2">
      <c r="A456" s="1703"/>
      <c r="F456" s="1"/>
      <c r="G456" s="1"/>
      <c r="H456" s="1"/>
      <c r="I456" s="1"/>
      <c r="L456" s="328"/>
      <c r="M456" s="328"/>
    </row>
    <row r="457" spans="1:13" customFormat="1" ht="13.2">
      <c r="A457" s="1703"/>
      <c r="F457" s="1"/>
      <c r="G457" s="1"/>
      <c r="H457" s="1"/>
      <c r="I457" s="1"/>
      <c r="L457" s="328"/>
      <c r="M457" s="328"/>
    </row>
    <row r="458" spans="1:13" customFormat="1" ht="13.2">
      <c r="A458" s="1703"/>
      <c r="F458" s="1"/>
      <c r="G458" s="1"/>
      <c r="H458" s="1"/>
      <c r="I458" s="1"/>
      <c r="L458" s="328"/>
      <c r="M458" s="328"/>
    </row>
    <row r="459" spans="1:13" customFormat="1" ht="13.2">
      <c r="A459" s="1703"/>
      <c r="F459" s="1"/>
      <c r="G459" s="1"/>
      <c r="H459" s="1"/>
      <c r="I459" s="1"/>
      <c r="L459" s="328"/>
      <c r="M459" s="328"/>
    </row>
    <row r="460" spans="1:13" customFormat="1" ht="13.2">
      <c r="A460" s="1703"/>
      <c r="F460" s="1"/>
      <c r="G460" s="1"/>
      <c r="H460" s="1"/>
      <c r="I460" s="1"/>
      <c r="L460" s="328"/>
      <c r="M460" s="328"/>
    </row>
    <row r="461" spans="1:13" customFormat="1" ht="13.2">
      <c r="A461" s="1703"/>
      <c r="F461" s="1"/>
      <c r="G461" s="1"/>
      <c r="H461" s="1"/>
      <c r="I461" s="1"/>
      <c r="L461" s="328"/>
      <c r="M461" s="328"/>
    </row>
    <row r="462" spans="1:13" customFormat="1" ht="13.2">
      <c r="A462" s="1703"/>
      <c r="F462" s="1"/>
      <c r="G462" s="1"/>
      <c r="H462" s="1"/>
      <c r="I462" s="1"/>
      <c r="L462" s="328"/>
      <c r="M462" s="328"/>
    </row>
    <row r="463" spans="1:13" customFormat="1" ht="13.2">
      <c r="A463" s="1703"/>
      <c r="F463" s="1"/>
      <c r="G463" s="1"/>
      <c r="H463" s="1"/>
      <c r="I463" s="1"/>
      <c r="L463" s="328"/>
      <c r="M463" s="328"/>
    </row>
    <row r="464" spans="1:13" customFormat="1" ht="13.2">
      <c r="A464" s="1703"/>
      <c r="F464" s="1"/>
      <c r="G464" s="1"/>
      <c r="H464" s="1"/>
      <c r="I464" s="1"/>
      <c r="L464" s="328"/>
      <c r="M464" s="328"/>
    </row>
    <row r="465" spans="1:13" customFormat="1" ht="13.2">
      <c r="A465" s="1703"/>
      <c r="F465" s="1"/>
      <c r="G465" s="1"/>
      <c r="H465" s="1"/>
      <c r="I465" s="1"/>
      <c r="L465" s="328"/>
      <c r="M465" s="328"/>
    </row>
    <row r="466" spans="1:13" customFormat="1" ht="13.2">
      <c r="A466" s="1703"/>
      <c r="F466" s="1"/>
      <c r="G466" s="1"/>
      <c r="H466" s="1"/>
      <c r="I466" s="1"/>
      <c r="L466" s="328"/>
      <c r="M466" s="328"/>
    </row>
    <row r="467" spans="1:13" customFormat="1" ht="13.2">
      <c r="A467" s="1703"/>
      <c r="F467" s="1"/>
      <c r="G467" s="1"/>
      <c r="H467" s="1"/>
      <c r="I467" s="1"/>
      <c r="L467" s="328"/>
      <c r="M467" s="328"/>
    </row>
    <row r="468" spans="1:13" customFormat="1" ht="13.2">
      <c r="A468" s="1703"/>
      <c r="F468" s="1"/>
      <c r="G468" s="1"/>
      <c r="H468" s="1"/>
      <c r="I468" s="1"/>
      <c r="L468" s="328"/>
      <c r="M468" s="328"/>
    </row>
    <row r="469" spans="1:13" customFormat="1" ht="13.2">
      <c r="A469" s="1703"/>
      <c r="F469" s="1"/>
      <c r="G469" s="1"/>
      <c r="H469" s="1"/>
      <c r="I469" s="1"/>
      <c r="L469" s="328"/>
      <c r="M469" s="328"/>
    </row>
    <row r="470" spans="1:13" customFormat="1" ht="13.2">
      <c r="A470" s="1703"/>
      <c r="F470" s="1"/>
      <c r="G470" s="1"/>
      <c r="H470" s="1"/>
      <c r="I470" s="1"/>
      <c r="L470" s="328"/>
      <c r="M470" s="328"/>
    </row>
    <row r="471" spans="1:13" customFormat="1" ht="13.2">
      <c r="A471" s="1703"/>
      <c r="F471" s="1"/>
      <c r="G471" s="1"/>
      <c r="H471" s="1"/>
      <c r="I471" s="1"/>
      <c r="L471" s="328"/>
      <c r="M471" s="328"/>
    </row>
    <row r="472" spans="1:13" customFormat="1" ht="13.2">
      <c r="A472" s="1703"/>
      <c r="F472" s="1"/>
      <c r="G472" s="1"/>
      <c r="H472" s="1"/>
      <c r="I472" s="1"/>
      <c r="L472" s="328"/>
      <c r="M472" s="328"/>
    </row>
    <row r="473" spans="1:13" customFormat="1" ht="13.2">
      <c r="A473" s="1703"/>
      <c r="F473" s="1"/>
      <c r="G473" s="1"/>
      <c r="H473" s="1"/>
      <c r="I473" s="1"/>
      <c r="L473" s="328"/>
      <c r="M473" s="328"/>
    </row>
    <row r="474" spans="1:13" customFormat="1" ht="13.2">
      <c r="A474" s="1703"/>
      <c r="F474" s="1"/>
      <c r="G474" s="1"/>
      <c r="H474" s="1"/>
      <c r="I474" s="1"/>
      <c r="L474" s="328"/>
      <c r="M474" s="328"/>
    </row>
    <row r="475" spans="1:13" customFormat="1" ht="13.2">
      <c r="A475" s="1703"/>
      <c r="F475" s="1"/>
      <c r="G475" s="1"/>
      <c r="H475" s="1"/>
      <c r="I475" s="1"/>
      <c r="L475" s="328"/>
      <c r="M475" s="328"/>
    </row>
    <row r="476" spans="1:13" customFormat="1" ht="13.2">
      <c r="A476" s="1703"/>
      <c r="F476" s="1"/>
      <c r="G476" s="1"/>
      <c r="H476" s="1"/>
      <c r="I476" s="1"/>
      <c r="L476" s="328"/>
      <c r="M476" s="328"/>
    </row>
    <row r="477" spans="1:13" customFormat="1" ht="13.2">
      <c r="A477" s="1703"/>
      <c r="F477" s="1"/>
      <c r="G477" s="1"/>
      <c r="H477" s="1"/>
      <c r="I477" s="1"/>
      <c r="L477" s="328"/>
      <c r="M477" s="328"/>
    </row>
    <row r="478" spans="1:13" customFormat="1" ht="13.2">
      <c r="A478" s="1703"/>
      <c r="F478" s="1"/>
      <c r="G478" s="1"/>
      <c r="H478" s="1"/>
      <c r="I478" s="1"/>
      <c r="L478" s="328"/>
      <c r="M478" s="328"/>
    </row>
    <row r="479" spans="1:13" customFormat="1" ht="13.2">
      <c r="A479" s="1703"/>
      <c r="F479" s="1"/>
      <c r="G479" s="1"/>
      <c r="H479" s="1"/>
      <c r="I479" s="1"/>
      <c r="L479" s="328"/>
      <c r="M479" s="328"/>
    </row>
    <row r="480" spans="1:13" customFormat="1" ht="13.2">
      <c r="A480" s="1703"/>
      <c r="F480" s="1"/>
      <c r="G480" s="1"/>
      <c r="H480" s="1"/>
      <c r="I480" s="1"/>
      <c r="L480" s="328"/>
      <c r="M480" s="328"/>
    </row>
    <row r="481" spans="1:13" customFormat="1" ht="13.2">
      <c r="A481" s="1703"/>
      <c r="F481" s="1"/>
      <c r="G481" s="1"/>
      <c r="H481" s="1"/>
      <c r="I481" s="1"/>
      <c r="L481" s="328"/>
      <c r="M481" s="328"/>
    </row>
    <row r="482" spans="1:13" customFormat="1" ht="13.2">
      <c r="A482" s="1703"/>
      <c r="F482" s="1"/>
      <c r="G482" s="1"/>
      <c r="H482" s="1"/>
      <c r="I482" s="1"/>
      <c r="L482" s="328"/>
      <c r="M482" s="328"/>
    </row>
    <row r="483" spans="1:13" customFormat="1" ht="13.2">
      <c r="A483" s="1703"/>
      <c r="F483" s="1"/>
      <c r="G483" s="1"/>
      <c r="H483" s="1"/>
      <c r="I483" s="1"/>
      <c r="L483" s="328"/>
      <c r="M483" s="328"/>
    </row>
    <row r="484" spans="1:13" customFormat="1" ht="13.2">
      <c r="A484" s="1703"/>
      <c r="F484" s="1"/>
      <c r="G484" s="1"/>
      <c r="H484" s="1"/>
      <c r="I484" s="1"/>
      <c r="L484" s="328"/>
      <c r="M484" s="328"/>
    </row>
    <row r="485" spans="1:13" customFormat="1" ht="13.2">
      <c r="A485" s="1703"/>
      <c r="F485" s="1"/>
      <c r="G485" s="1"/>
      <c r="H485" s="1"/>
      <c r="I485" s="1"/>
      <c r="L485" s="328"/>
      <c r="M485" s="328"/>
    </row>
    <row r="486" spans="1:13" customFormat="1" ht="13.2">
      <c r="A486" s="1703"/>
      <c r="F486" s="1"/>
      <c r="G486" s="1"/>
      <c r="H486" s="1"/>
      <c r="I486" s="1"/>
      <c r="L486" s="328"/>
      <c r="M486" s="328"/>
    </row>
    <row r="487" spans="1:13" customFormat="1" ht="13.2">
      <c r="A487" s="1703"/>
      <c r="F487" s="1"/>
      <c r="G487" s="1"/>
      <c r="H487" s="1"/>
      <c r="I487" s="1"/>
      <c r="L487" s="328"/>
      <c r="M487" s="328"/>
    </row>
    <row r="488" spans="1:13" customFormat="1" ht="13.2">
      <c r="A488" s="1703"/>
      <c r="F488" s="1"/>
      <c r="G488" s="1"/>
      <c r="H488" s="1"/>
      <c r="I488" s="1"/>
      <c r="L488" s="328"/>
      <c r="M488" s="328"/>
    </row>
    <row r="489" spans="1:13" customFormat="1" ht="13.2">
      <c r="A489" s="1703"/>
      <c r="F489" s="1"/>
      <c r="G489" s="1"/>
      <c r="H489" s="1"/>
      <c r="I489" s="1"/>
      <c r="L489" s="328"/>
      <c r="M489" s="328"/>
    </row>
    <row r="490" spans="1:13" customFormat="1" ht="13.2">
      <c r="A490" s="1703"/>
      <c r="F490" s="1"/>
      <c r="G490" s="1"/>
      <c r="H490" s="1"/>
      <c r="I490" s="1"/>
      <c r="L490" s="328"/>
      <c r="M490" s="328"/>
    </row>
    <row r="491" spans="1:13" customFormat="1" ht="13.2">
      <c r="A491" s="1703"/>
      <c r="F491" s="1"/>
      <c r="G491" s="1"/>
      <c r="H491" s="1"/>
      <c r="I491" s="1"/>
      <c r="L491" s="328"/>
      <c r="M491" s="328"/>
    </row>
    <row r="492" spans="1:13" customFormat="1" ht="13.2">
      <c r="A492" s="1703"/>
      <c r="F492" s="1"/>
      <c r="G492" s="1"/>
      <c r="H492" s="1"/>
      <c r="I492" s="1"/>
      <c r="L492" s="328"/>
      <c r="M492" s="328"/>
    </row>
    <row r="493" spans="1:13" customFormat="1" ht="13.2">
      <c r="A493" s="1703"/>
      <c r="F493" s="1"/>
      <c r="G493" s="1"/>
      <c r="H493" s="1"/>
      <c r="I493" s="1"/>
      <c r="L493" s="328"/>
      <c r="M493" s="328"/>
    </row>
    <row r="494" spans="1:13" customFormat="1" ht="13.2">
      <c r="A494" s="1703"/>
      <c r="F494" s="1"/>
      <c r="G494" s="1"/>
      <c r="H494" s="1"/>
      <c r="I494" s="1"/>
      <c r="L494" s="328"/>
      <c r="M494" s="328"/>
    </row>
    <row r="495" spans="1:13" customFormat="1" ht="13.2">
      <c r="A495" s="1703"/>
      <c r="F495" s="1"/>
      <c r="G495" s="1"/>
      <c r="H495" s="1"/>
      <c r="I495" s="1"/>
      <c r="L495" s="328"/>
      <c r="M495" s="328"/>
    </row>
    <row r="496" spans="1:13" customFormat="1" ht="13.2">
      <c r="A496" s="1703"/>
      <c r="F496" s="1"/>
      <c r="G496" s="1"/>
      <c r="H496" s="1"/>
      <c r="I496" s="1"/>
      <c r="L496" s="328"/>
      <c r="M496" s="328"/>
    </row>
    <row r="497" spans="1:13" customFormat="1" ht="13.2">
      <c r="A497" s="1703"/>
      <c r="F497" s="1"/>
      <c r="G497" s="1"/>
      <c r="H497" s="1"/>
      <c r="I497" s="1"/>
      <c r="L497" s="328"/>
      <c r="M497" s="328"/>
    </row>
    <row r="498" spans="1:13" customFormat="1" ht="13.2">
      <c r="A498" s="1703"/>
      <c r="F498" s="1"/>
      <c r="G498" s="1"/>
      <c r="H498" s="1"/>
      <c r="I498" s="1"/>
      <c r="L498" s="328"/>
      <c r="M498" s="328"/>
    </row>
    <row r="499" spans="1:13" customFormat="1" ht="13.2">
      <c r="A499" s="1703"/>
      <c r="F499" s="1"/>
      <c r="G499" s="1"/>
      <c r="H499" s="1"/>
      <c r="I499" s="1"/>
      <c r="L499" s="328"/>
      <c r="M499" s="328"/>
    </row>
    <row r="500" spans="1:13" customFormat="1" ht="13.2">
      <c r="A500" s="1703"/>
      <c r="F500" s="1"/>
      <c r="G500" s="1"/>
      <c r="H500" s="1"/>
      <c r="I500" s="1"/>
      <c r="L500" s="328"/>
      <c r="M500" s="328"/>
    </row>
    <row r="501" spans="1:13" customFormat="1" ht="13.2">
      <c r="A501" s="1703"/>
      <c r="F501" s="1"/>
      <c r="G501" s="1"/>
      <c r="H501" s="1"/>
      <c r="I501" s="1"/>
      <c r="L501" s="328"/>
      <c r="M501" s="328"/>
    </row>
    <row r="502" spans="1:13" customFormat="1" ht="13.2">
      <c r="A502" s="1703"/>
      <c r="F502" s="1"/>
      <c r="G502" s="1"/>
      <c r="H502" s="1"/>
      <c r="I502" s="1"/>
      <c r="L502" s="328"/>
      <c r="M502" s="328"/>
    </row>
    <row r="503" spans="1:13" customFormat="1" ht="13.2">
      <c r="A503" s="1703"/>
      <c r="F503" s="1"/>
      <c r="G503" s="1"/>
      <c r="H503" s="1"/>
      <c r="I503" s="1"/>
      <c r="L503" s="328"/>
      <c r="M503" s="328"/>
    </row>
    <row r="504" spans="1:13" customFormat="1" ht="13.2">
      <c r="A504" s="1703"/>
      <c r="F504" s="1"/>
      <c r="G504" s="1"/>
      <c r="H504" s="1"/>
      <c r="I504" s="1"/>
      <c r="L504" s="328"/>
      <c r="M504" s="328"/>
    </row>
    <row r="505" spans="1:13" customFormat="1" ht="13.2">
      <c r="A505" s="1703"/>
      <c r="F505" s="1"/>
      <c r="G505" s="1"/>
      <c r="H505" s="1"/>
      <c r="I505" s="1"/>
      <c r="L505" s="328"/>
      <c r="M505" s="328"/>
    </row>
    <row r="506" spans="1:13" customFormat="1" ht="13.2">
      <c r="A506" s="1703"/>
      <c r="F506" s="1"/>
      <c r="G506" s="1"/>
      <c r="H506" s="1"/>
      <c r="I506" s="1"/>
      <c r="L506" s="328"/>
      <c r="M506" s="328"/>
    </row>
    <row r="507" spans="1:13" customFormat="1" ht="13.2">
      <c r="A507" s="1703"/>
      <c r="F507" s="1"/>
      <c r="G507" s="1"/>
      <c r="H507" s="1"/>
      <c r="I507" s="1"/>
      <c r="L507" s="328"/>
      <c r="M507" s="328"/>
    </row>
    <row r="508" spans="1:13" customFormat="1" ht="13.2">
      <c r="A508" s="1703"/>
      <c r="F508" s="1"/>
      <c r="G508" s="1"/>
      <c r="H508" s="1"/>
      <c r="I508" s="1"/>
      <c r="L508" s="328"/>
      <c r="M508" s="328"/>
    </row>
    <row r="509" spans="1:13" customFormat="1" ht="13.2">
      <c r="A509" s="1703"/>
      <c r="F509" s="1"/>
      <c r="G509" s="1"/>
      <c r="H509" s="1"/>
      <c r="I509" s="1"/>
      <c r="L509" s="328"/>
      <c r="M509" s="328"/>
    </row>
    <row r="510" spans="1:13" customFormat="1" ht="13.2">
      <c r="A510" s="1703"/>
      <c r="F510" s="1"/>
      <c r="G510" s="1"/>
      <c r="H510" s="1"/>
      <c r="I510" s="1"/>
      <c r="L510" s="328"/>
      <c r="M510" s="328"/>
    </row>
    <row r="511" spans="1:13" customFormat="1" ht="13.2">
      <c r="A511" s="1703"/>
      <c r="F511" s="1"/>
      <c r="G511" s="1"/>
      <c r="H511" s="1"/>
      <c r="I511" s="1"/>
      <c r="L511" s="328"/>
      <c r="M511" s="328"/>
    </row>
    <row r="512" spans="1:13" customFormat="1" ht="13.2">
      <c r="A512" s="1703"/>
      <c r="F512" s="1"/>
      <c r="G512" s="1"/>
      <c r="H512" s="1"/>
      <c r="I512" s="1"/>
      <c r="L512" s="328"/>
      <c r="M512" s="328"/>
    </row>
    <row r="513" spans="1:13" customFormat="1" ht="13.2">
      <c r="A513" s="1703"/>
      <c r="F513" s="1"/>
      <c r="G513" s="1"/>
      <c r="H513" s="1"/>
      <c r="I513" s="1"/>
      <c r="L513" s="328"/>
      <c r="M513" s="328"/>
    </row>
    <row r="514" spans="1:13" customFormat="1" ht="13.2">
      <c r="A514" s="1703"/>
      <c r="F514" s="1"/>
      <c r="G514" s="1"/>
      <c r="H514" s="1"/>
      <c r="I514" s="1"/>
      <c r="L514" s="328"/>
      <c r="M514" s="328"/>
    </row>
    <row r="515" spans="1:13" customFormat="1" ht="13.2">
      <c r="A515" s="1703"/>
      <c r="F515" s="1"/>
      <c r="G515" s="1"/>
      <c r="H515" s="1"/>
      <c r="I515" s="1"/>
      <c r="L515" s="328"/>
      <c r="M515" s="328"/>
    </row>
    <row r="516" spans="1:13" customFormat="1" ht="13.2">
      <c r="A516" s="1703"/>
      <c r="F516" s="1"/>
      <c r="G516" s="1"/>
      <c r="H516" s="1"/>
      <c r="I516" s="1"/>
      <c r="L516" s="328"/>
      <c r="M516" s="328"/>
    </row>
    <row r="517" spans="1:13" customFormat="1" ht="13.2">
      <c r="A517" s="1703"/>
      <c r="F517" s="1"/>
      <c r="G517" s="1"/>
      <c r="H517" s="1"/>
      <c r="I517" s="1"/>
      <c r="L517" s="328"/>
      <c r="M517" s="328"/>
    </row>
    <row r="518" spans="1:13" customFormat="1" ht="13.2">
      <c r="A518" s="1703"/>
      <c r="F518" s="1"/>
      <c r="G518" s="1"/>
      <c r="H518" s="1"/>
      <c r="I518" s="1"/>
      <c r="L518" s="328"/>
      <c r="M518" s="328"/>
    </row>
    <row r="519" spans="1:13" customFormat="1" ht="13.2">
      <c r="A519" s="1703"/>
      <c r="F519" s="1"/>
      <c r="G519" s="1"/>
      <c r="H519" s="1"/>
      <c r="I519" s="1"/>
      <c r="L519" s="328"/>
      <c r="M519" s="328"/>
    </row>
    <row r="520" spans="1:13" customFormat="1" ht="13.2">
      <c r="A520" s="1703"/>
      <c r="F520" s="1"/>
      <c r="G520" s="1"/>
      <c r="H520" s="1"/>
      <c r="I520" s="1"/>
      <c r="L520" s="328"/>
      <c r="M520" s="328"/>
    </row>
    <row r="521" spans="1:13" customFormat="1" ht="13.2">
      <c r="A521" s="1703"/>
      <c r="F521" s="1"/>
      <c r="G521" s="1"/>
      <c r="H521" s="1"/>
      <c r="I521" s="1"/>
      <c r="L521" s="328"/>
      <c r="M521" s="328"/>
    </row>
    <row r="522" spans="1:13" customFormat="1" ht="13.2">
      <c r="A522" s="1703"/>
      <c r="F522" s="1"/>
      <c r="G522" s="1"/>
      <c r="H522" s="1"/>
      <c r="I522" s="1"/>
      <c r="L522" s="328"/>
      <c r="M522" s="328"/>
    </row>
    <row r="523" spans="1:13" customFormat="1" ht="13.2">
      <c r="A523" s="1703"/>
      <c r="F523" s="1"/>
      <c r="G523" s="1"/>
      <c r="H523" s="1"/>
      <c r="I523" s="1"/>
      <c r="L523" s="328"/>
      <c r="M523" s="328"/>
    </row>
    <row r="524" spans="1:13" customFormat="1" ht="13.2">
      <c r="A524" s="1703"/>
      <c r="F524" s="1"/>
      <c r="G524" s="1"/>
      <c r="H524" s="1"/>
      <c r="I524" s="1"/>
      <c r="L524" s="328"/>
      <c r="M524" s="328"/>
    </row>
    <row r="525" spans="1:13" customFormat="1" ht="13.2">
      <c r="A525" s="1703"/>
      <c r="F525" s="1"/>
      <c r="G525" s="1"/>
      <c r="H525" s="1"/>
      <c r="I525" s="1"/>
      <c r="L525" s="328"/>
      <c r="M525" s="328"/>
    </row>
    <row r="526" spans="1:13" customFormat="1" ht="13.2">
      <c r="A526" s="1703"/>
      <c r="F526" s="1"/>
      <c r="G526" s="1"/>
      <c r="H526" s="1"/>
      <c r="I526" s="1"/>
      <c r="L526" s="328"/>
      <c r="M526" s="328"/>
    </row>
    <row r="527" spans="1:13" customFormat="1" ht="13.2">
      <c r="A527" s="1703"/>
      <c r="F527" s="1"/>
      <c r="G527" s="1"/>
      <c r="H527" s="1"/>
      <c r="I527" s="1"/>
      <c r="L527" s="328"/>
      <c r="M527" s="328"/>
    </row>
    <row r="528" spans="1:13" customFormat="1" ht="13.2">
      <c r="A528" s="1703"/>
      <c r="F528" s="1"/>
      <c r="G528" s="1"/>
      <c r="H528" s="1"/>
      <c r="I528" s="1"/>
      <c r="L528" s="328"/>
      <c r="M528" s="328"/>
    </row>
    <row r="529" spans="1:13" customFormat="1" ht="13.2">
      <c r="A529" s="1703"/>
      <c r="F529" s="1"/>
      <c r="G529" s="1"/>
      <c r="H529" s="1"/>
      <c r="I529" s="1"/>
      <c r="L529" s="328"/>
      <c r="M529" s="328"/>
    </row>
    <row r="530" spans="1:13" customFormat="1" ht="13.2">
      <c r="A530" s="1703"/>
      <c r="F530" s="1"/>
      <c r="G530" s="1"/>
      <c r="H530" s="1"/>
      <c r="I530" s="1"/>
      <c r="L530" s="328"/>
      <c r="M530" s="328"/>
    </row>
    <row r="531" spans="1:13" customFormat="1" ht="13.2">
      <c r="A531" s="1703"/>
      <c r="F531" s="1"/>
      <c r="G531" s="1"/>
      <c r="H531" s="1"/>
      <c r="I531" s="1"/>
      <c r="L531" s="328"/>
      <c r="M531" s="328"/>
    </row>
    <row r="532" spans="1:13" customFormat="1" ht="13.2">
      <c r="A532" s="1703"/>
      <c r="F532" s="1"/>
      <c r="G532" s="1"/>
      <c r="H532" s="1"/>
      <c r="I532" s="1"/>
      <c r="L532" s="328"/>
      <c r="M532" s="328"/>
    </row>
    <row r="533" spans="1:13" customFormat="1" ht="13.2">
      <c r="A533" s="1703"/>
      <c r="F533" s="1"/>
      <c r="G533" s="1"/>
      <c r="H533" s="1"/>
      <c r="I533" s="1"/>
      <c r="L533" s="328"/>
      <c r="M533" s="328"/>
    </row>
    <row r="534" spans="1:13" customFormat="1" ht="13.2">
      <c r="A534" s="1703"/>
      <c r="F534" s="1"/>
      <c r="G534" s="1"/>
      <c r="H534" s="1"/>
      <c r="I534" s="1"/>
      <c r="L534" s="328"/>
      <c r="M534" s="328"/>
    </row>
    <row r="535" spans="1:13" customFormat="1" ht="13.2">
      <c r="A535" s="1703"/>
      <c r="F535" s="1"/>
      <c r="G535" s="1"/>
      <c r="H535" s="1"/>
      <c r="I535" s="1"/>
      <c r="L535" s="328"/>
      <c r="M535" s="328"/>
    </row>
    <row r="536" spans="1:13" customFormat="1" ht="13.2">
      <c r="A536" s="1703"/>
      <c r="F536" s="1"/>
      <c r="G536" s="1"/>
      <c r="H536" s="1"/>
      <c r="I536" s="1"/>
      <c r="L536" s="328"/>
      <c r="M536" s="328"/>
    </row>
    <row r="537" spans="1:13" customFormat="1" ht="13.2">
      <c r="A537" s="1703"/>
      <c r="F537" s="1"/>
      <c r="G537" s="1"/>
      <c r="H537" s="1"/>
      <c r="I537" s="1"/>
      <c r="L537" s="328"/>
      <c r="M537" s="328"/>
    </row>
    <row r="538" spans="1:13" customFormat="1" ht="13.2">
      <c r="A538" s="1703"/>
      <c r="F538" s="1"/>
      <c r="G538" s="1"/>
      <c r="H538" s="1"/>
      <c r="I538" s="1"/>
      <c r="L538" s="328"/>
      <c r="M538" s="328"/>
    </row>
    <row r="539" spans="1:13" customFormat="1" ht="13.2">
      <c r="A539" s="1703"/>
      <c r="F539" s="1"/>
      <c r="G539" s="1"/>
      <c r="H539" s="1"/>
      <c r="I539" s="1"/>
      <c r="L539" s="328"/>
      <c r="M539" s="328"/>
    </row>
    <row r="540" spans="1:13" customFormat="1" ht="13.2">
      <c r="A540" s="1703"/>
      <c r="F540" s="1"/>
      <c r="G540" s="1"/>
      <c r="H540" s="1"/>
      <c r="I540" s="1"/>
      <c r="L540" s="328"/>
      <c r="M540" s="328"/>
    </row>
    <row r="541" spans="1:13" customFormat="1" ht="13.2">
      <c r="A541" s="1703"/>
      <c r="F541" s="1"/>
      <c r="G541" s="1"/>
      <c r="H541" s="1"/>
      <c r="I541" s="1"/>
      <c r="L541" s="328"/>
      <c r="M541" s="328"/>
    </row>
    <row r="542" spans="1:13" customFormat="1" ht="13.2">
      <c r="A542" s="1703"/>
      <c r="F542" s="1"/>
      <c r="G542" s="1"/>
      <c r="H542" s="1"/>
      <c r="I542" s="1"/>
      <c r="L542" s="328"/>
      <c r="M542" s="328"/>
    </row>
    <row r="543" spans="1:13" customFormat="1" ht="13.2">
      <c r="A543" s="1703"/>
      <c r="F543" s="1"/>
      <c r="G543" s="1"/>
      <c r="H543" s="1"/>
      <c r="I543" s="1"/>
      <c r="L543" s="328"/>
      <c r="M543" s="328"/>
    </row>
    <row r="544" spans="1:13" customFormat="1" ht="13.2">
      <c r="A544" s="1703"/>
      <c r="F544" s="1"/>
      <c r="G544" s="1"/>
      <c r="H544" s="1"/>
      <c r="I544" s="1"/>
      <c r="L544" s="328"/>
      <c r="M544" s="328"/>
    </row>
    <row r="545" spans="1:13" customFormat="1" ht="13.2">
      <c r="A545" s="1703"/>
      <c r="F545" s="1"/>
      <c r="G545" s="1"/>
      <c r="H545" s="1"/>
      <c r="I545" s="1"/>
      <c r="L545" s="328"/>
      <c r="M545" s="328"/>
    </row>
    <row r="546" spans="1:13" customFormat="1" ht="13.2">
      <c r="A546" s="1703"/>
      <c r="F546" s="1"/>
      <c r="G546" s="1"/>
      <c r="H546" s="1"/>
      <c r="I546" s="1"/>
      <c r="L546" s="328"/>
      <c r="M546" s="328"/>
    </row>
    <row r="547" spans="1:13" customFormat="1" ht="13.2">
      <c r="A547" s="1703"/>
      <c r="F547" s="1"/>
      <c r="G547" s="1"/>
      <c r="H547" s="1"/>
      <c r="I547" s="1"/>
      <c r="L547" s="328"/>
      <c r="M547" s="328"/>
    </row>
    <row r="548" spans="1:13" customFormat="1" ht="13.2">
      <c r="A548" s="1703"/>
      <c r="F548" s="1"/>
      <c r="G548" s="1"/>
      <c r="H548" s="1"/>
      <c r="I548" s="1"/>
      <c r="L548" s="328"/>
      <c r="M548" s="328"/>
    </row>
    <row r="549" spans="1:13" customFormat="1" ht="13.2">
      <c r="A549" s="1703"/>
      <c r="F549" s="1"/>
      <c r="G549" s="1"/>
      <c r="H549" s="1"/>
      <c r="I549" s="1"/>
      <c r="L549" s="328"/>
      <c r="M549" s="328"/>
    </row>
    <row r="550" spans="1:13" customFormat="1" ht="13.2">
      <c r="A550" s="1703"/>
      <c r="F550" s="1"/>
      <c r="G550" s="1"/>
      <c r="H550" s="1"/>
      <c r="I550" s="1"/>
      <c r="L550" s="328"/>
      <c r="M550" s="328"/>
    </row>
    <row r="551" spans="1:13" customFormat="1" ht="13.2">
      <c r="A551" s="1703"/>
      <c r="F551" s="1"/>
      <c r="G551" s="1"/>
      <c r="H551" s="1"/>
      <c r="I551" s="1"/>
      <c r="L551" s="328"/>
      <c r="M551" s="328"/>
    </row>
    <row r="552" spans="1:13" customFormat="1" ht="13.2">
      <c r="A552" s="1703"/>
      <c r="F552" s="1"/>
      <c r="G552" s="1"/>
      <c r="H552" s="1"/>
      <c r="I552" s="1"/>
      <c r="L552" s="328"/>
      <c r="M552" s="328"/>
    </row>
    <row r="553" spans="1:13" customFormat="1" ht="13.2">
      <c r="A553" s="1703"/>
      <c r="F553" s="1"/>
      <c r="G553" s="1"/>
      <c r="H553" s="1"/>
      <c r="I553" s="1"/>
      <c r="L553" s="328"/>
      <c r="M553" s="328"/>
    </row>
    <row r="554" spans="1:13" customFormat="1" ht="13.2">
      <c r="A554" s="1703"/>
      <c r="F554" s="1"/>
      <c r="G554" s="1"/>
      <c r="H554" s="1"/>
      <c r="I554" s="1"/>
      <c r="L554" s="328"/>
      <c r="M554" s="328"/>
    </row>
    <row r="555" spans="1:13" customFormat="1" ht="13.2">
      <c r="A555" s="1703"/>
      <c r="F555" s="1"/>
      <c r="G555" s="1"/>
      <c r="H555" s="1"/>
      <c r="I555" s="1"/>
      <c r="L555" s="328"/>
      <c r="M555" s="328"/>
    </row>
    <row r="556" spans="1:13" customFormat="1" ht="13.2">
      <c r="A556" s="1703"/>
      <c r="F556" s="1"/>
      <c r="G556" s="1"/>
      <c r="H556" s="1"/>
      <c r="I556" s="1"/>
      <c r="L556" s="328"/>
      <c r="M556" s="328"/>
    </row>
    <row r="557" spans="1:13" customFormat="1" ht="13.2">
      <c r="A557" s="1703"/>
      <c r="F557" s="1"/>
      <c r="G557" s="1"/>
      <c r="H557" s="1"/>
      <c r="I557" s="1"/>
      <c r="L557" s="328"/>
      <c r="M557" s="328"/>
    </row>
    <row r="558" spans="1:13" customFormat="1" ht="13.2">
      <c r="A558" s="1703"/>
      <c r="F558" s="1"/>
      <c r="G558" s="1"/>
      <c r="H558" s="1"/>
      <c r="I558" s="1"/>
      <c r="L558" s="328"/>
      <c r="M558" s="328"/>
    </row>
    <row r="559" spans="1:13" customFormat="1" ht="13.2">
      <c r="A559" s="1703"/>
      <c r="F559" s="1"/>
      <c r="G559" s="1"/>
      <c r="H559" s="1"/>
      <c r="I559" s="1"/>
      <c r="L559" s="328"/>
      <c r="M559" s="328"/>
    </row>
    <row r="560" spans="1:13" customFormat="1" ht="13.2">
      <c r="A560" s="1703"/>
      <c r="F560" s="1"/>
      <c r="G560" s="1"/>
      <c r="H560" s="1"/>
      <c r="I560" s="1"/>
      <c r="L560" s="328"/>
      <c r="M560" s="328"/>
    </row>
    <row r="561" spans="1:13" customFormat="1" ht="13.2">
      <c r="A561" s="1703"/>
      <c r="F561" s="1"/>
      <c r="G561" s="1"/>
      <c r="H561" s="1"/>
      <c r="I561" s="1"/>
      <c r="L561" s="328"/>
      <c r="M561" s="328"/>
    </row>
    <row r="562" spans="1:13" customFormat="1" ht="13.2">
      <c r="A562" s="1703"/>
      <c r="F562" s="1"/>
      <c r="G562" s="1"/>
      <c r="H562" s="1"/>
      <c r="I562" s="1"/>
      <c r="L562" s="328"/>
      <c r="M562" s="328"/>
    </row>
    <row r="563" spans="1:13" customFormat="1" ht="13.2">
      <c r="A563" s="1703"/>
      <c r="F563" s="1"/>
      <c r="G563" s="1"/>
      <c r="H563" s="1"/>
      <c r="I563" s="1"/>
      <c r="L563" s="328"/>
      <c r="M563" s="328"/>
    </row>
    <row r="564" spans="1:13" customFormat="1" ht="13.2">
      <c r="A564" s="1703"/>
      <c r="F564" s="1"/>
      <c r="G564" s="1"/>
      <c r="H564" s="1"/>
      <c r="I564" s="1"/>
      <c r="L564" s="328"/>
      <c r="M564" s="328"/>
    </row>
    <row r="565" spans="1:13" customFormat="1" ht="13.2">
      <c r="A565" s="1703"/>
      <c r="F565" s="1"/>
      <c r="G565" s="1"/>
      <c r="H565" s="1"/>
      <c r="I565" s="1"/>
      <c r="L565" s="328"/>
      <c r="M565" s="328"/>
    </row>
    <row r="566" spans="1:13" customFormat="1" ht="13.2">
      <c r="A566" s="1703"/>
      <c r="F566" s="1"/>
      <c r="G566" s="1"/>
      <c r="H566" s="1"/>
      <c r="I566" s="1"/>
      <c r="L566" s="328"/>
      <c r="M566" s="328"/>
    </row>
    <row r="567" spans="1:13" customFormat="1" ht="13.2">
      <c r="A567" s="1703"/>
      <c r="F567" s="1"/>
      <c r="G567" s="1"/>
      <c r="H567" s="1"/>
      <c r="I567" s="1"/>
      <c r="L567" s="328"/>
      <c r="M567" s="328"/>
    </row>
    <row r="568" spans="1:13" customFormat="1" ht="13.2">
      <c r="A568" s="1703"/>
      <c r="F568" s="1"/>
      <c r="G568" s="1"/>
      <c r="H568" s="1"/>
      <c r="I568" s="1"/>
      <c r="L568" s="328"/>
      <c r="M568" s="328"/>
    </row>
    <row r="569" spans="1:13" customFormat="1" ht="13.2">
      <c r="A569" s="1703"/>
      <c r="F569" s="1"/>
      <c r="G569" s="1"/>
      <c r="H569" s="1"/>
      <c r="I569" s="1"/>
      <c r="L569" s="328"/>
      <c r="M569" s="328"/>
    </row>
    <row r="570" spans="1:13" customFormat="1" ht="13.2">
      <c r="A570" s="1703"/>
      <c r="F570" s="1"/>
      <c r="G570" s="1"/>
      <c r="H570" s="1"/>
      <c r="I570" s="1"/>
      <c r="L570" s="328"/>
      <c r="M570" s="328"/>
    </row>
    <row r="571" spans="1:13" customFormat="1" ht="13.2">
      <c r="A571" s="1703"/>
      <c r="F571" s="1"/>
      <c r="G571" s="1"/>
      <c r="H571" s="1"/>
      <c r="I571" s="1"/>
      <c r="L571" s="328"/>
      <c r="M571" s="328"/>
    </row>
    <row r="572" spans="1:13" customFormat="1" ht="13.2">
      <c r="A572" s="1703"/>
      <c r="F572" s="1"/>
      <c r="G572" s="1"/>
      <c r="H572" s="1"/>
      <c r="I572" s="1"/>
      <c r="L572" s="328"/>
      <c r="M572" s="328"/>
    </row>
    <row r="573" spans="1:13" customFormat="1" ht="13.2">
      <c r="A573" s="1703"/>
      <c r="F573" s="1"/>
      <c r="G573" s="1"/>
      <c r="H573" s="1"/>
      <c r="I573" s="1"/>
      <c r="L573" s="328"/>
      <c r="M573" s="328"/>
    </row>
    <row r="574" spans="1:13" customFormat="1" ht="13.2">
      <c r="A574" s="1703"/>
      <c r="F574" s="1"/>
      <c r="G574" s="1"/>
      <c r="H574" s="1"/>
      <c r="I574" s="1"/>
      <c r="L574" s="328"/>
      <c r="M574" s="328"/>
    </row>
    <row r="575" spans="1:13" customFormat="1" ht="13.2">
      <c r="A575" s="1703"/>
      <c r="F575" s="1"/>
      <c r="G575" s="1"/>
      <c r="H575" s="1"/>
      <c r="I575" s="1"/>
      <c r="L575" s="328"/>
      <c r="M575" s="328"/>
    </row>
    <row r="576" spans="1:13" customFormat="1" ht="13.2">
      <c r="A576" s="1703"/>
      <c r="F576" s="1"/>
      <c r="G576" s="1"/>
      <c r="H576" s="1"/>
      <c r="I576" s="1"/>
      <c r="L576" s="328"/>
      <c r="M576" s="328"/>
    </row>
    <row r="577" spans="1:13" customFormat="1" ht="13.2">
      <c r="A577" s="1703"/>
      <c r="F577" s="1"/>
      <c r="G577" s="1"/>
      <c r="H577" s="1"/>
      <c r="I577" s="1"/>
      <c r="L577" s="328"/>
      <c r="M577" s="328"/>
    </row>
    <row r="578" spans="1:13" customFormat="1" ht="13.2">
      <c r="A578" s="1703"/>
      <c r="F578" s="1"/>
      <c r="G578" s="1"/>
      <c r="H578" s="1"/>
      <c r="I578" s="1"/>
      <c r="L578" s="328"/>
      <c r="M578" s="328"/>
    </row>
    <row r="579" spans="1:13" customFormat="1" ht="13.2">
      <c r="A579" s="1703"/>
      <c r="F579" s="1"/>
      <c r="G579" s="1"/>
      <c r="H579" s="1"/>
      <c r="I579" s="1"/>
      <c r="L579" s="328"/>
      <c r="M579" s="328"/>
    </row>
    <row r="580" spans="1:13" customFormat="1" ht="13.2">
      <c r="A580" s="1703"/>
      <c r="F580" s="1"/>
      <c r="G580" s="1"/>
      <c r="H580" s="1"/>
      <c r="I580" s="1"/>
      <c r="L580" s="328"/>
      <c r="M580" s="328"/>
    </row>
    <row r="581" spans="1:13" customFormat="1" ht="13.2">
      <c r="A581" s="1703"/>
      <c r="F581" s="1"/>
      <c r="G581" s="1"/>
      <c r="H581" s="1"/>
      <c r="I581" s="1"/>
      <c r="L581" s="328"/>
      <c r="M581" s="328"/>
    </row>
    <row r="582" spans="1:13" customFormat="1" ht="13.2">
      <c r="A582" s="1703"/>
      <c r="F582" s="1"/>
      <c r="G582" s="1"/>
      <c r="H582" s="1"/>
      <c r="I582" s="1"/>
      <c r="L582" s="328"/>
      <c r="M582" s="328"/>
    </row>
    <row r="583" spans="1:13" customFormat="1" ht="13.2">
      <c r="A583" s="1703"/>
      <c r="F583" s="1"/>
      <c r="G583" s="1"/>
      <c r="H583" s="1"/>
      <c r="I583" s="1"/>
      <c r="L583" s="328"/>
      <c r="M583" s="328"/>
    </row>
    <row r="584" spans="1:13" customFormat="1" ht="13.2">
      <c r="A584" s="1703"/>
      <c r="F584" s="1"/>
      <c r="G584" s="1"/>
      <c r="H584" s="1"/>
      <c r="I584" s="1"/>
      <c r="L584" s="328"/>
      <c r="M584" s="328"/>
    </row>
    <row r="585" spans="1:13" customFormat="1" ht="13.2">
      <c r="A585" s="1703"/>
      <c r="F585" s="1"/>
      <c r="G585" s="1"/>
      <c r="H585" s="1"/>
      <c r="I585" s="1"/>
      <c r="L585" s="328"/>
      <c r="M585" s="328"/>
    </row>
    <row r="586" spans="1:13" customFormat="1" ht="13.2">
      <c r="A586" s="1703"/>
      <c r="F586" s="1"/>
      <c r="G586" s="1"/>
      <c r="H586" s="1"/>
      <c r="I586" s="1"/>
      <c r="L586" s="328"/>
      <c r="M586" s="328"/>
    </row>
    <row r="587" spans="1:13" customFormat="1" ht="13.2">
      <c r="A587" s="1703"/>
      <c r="F587" s="1"/>
      <c r="G587" s="1"/>
      <c r="H587" s="1"/>
      <c r="I587" s="1"/>
      <c r="L587" s="328"/>
      <c r="M587" s="328"/>
    </row>
    <row r="588" spans="1:13" customFormat="1" ht="13.2">
      <c r="A588" s="1703"/>
      <c r="F588" s="1"/>
      <c r="G588" s="1"/>
      <c r="H588" s="1"/>
      <c r="I588" s="1"/>
      <c r="L588" s="328"/>
      <c r="M588" s="328"/>
    </row>
    <row r="589" spans="1:13" customFormat="1" ht="13.2">
      <c r="A589" s="1703"/>
      <c r="F589" s="1"/>
      <c r="G589" s="1"/>
      <c r="H589" s="1"/>
      <c r="I589" s="1"/>
      <c r="L589" s="328"/>
      <c r="M589" s="328"/>
    </row>
    <row r="590" spans="1:13" customFormat="1" ht="13.2">
      <c r="A590" s="1703"/>
      <c r="F590" s="1"/>
      <c r="G590" s="1"/>
      <c r="H590" s="1"/>
      <c r="I590" s="1"/>
      <c r="L590" s="328"/>
      <c r="M590" s="328"/>
    </row>
    <row r="591" spans="1:13" customFormat="1" ht="13.2">
      <c r="A591" s="1703"/>
      <c r="F591" s="1"/>
      <c r="G591" s="1"/>
      <c r="H591" s="1"/>
      <c r="I591" s="1"/>
      <c r="L591" s="328"/>
      <c r="M591" s="328"/>
    </row>
    <row r="592" spans="1:13" customFormat="1" ht="13.2">
      <c r="A592" s="1703"/>
      <c r="F592" s="1"/>
      <c r="G592" s="1"/>
      <c r="H592" s="1"/>
      <c r="I592" s="1"/>
      <c r="L592" s="328"/>
      <c r="M592" s="328"/>
    </row>
    <row r="593" spans="1:13" customFormat="1" ht="13.2">
      <c r="A593" s="1703"/>
      <c r="F593" s="1"/>
      <c r="G593" s="1"/>
      <c r="H593" s="1"/>
      <c r="I593" s="1"/>
      <c r="L593" s="328"/>
      <c r="M593" s="328"/>
    </row>
    <row r="594" spans="1:13" customFormat="1" ht="13.2">
      <c r="A594" s="1703"/>
      <c r="F594" s="1"/>
      <c r="G594" s="1"/>
      <c r="H594" s="1"/>
      <c r="I594" s="1"/>
      <c r="L594" s="328"/>
      <c r="M594" s="328"/>
    </row>
    <row r="595" spans="1:13" customFormat="1" ht="13.2">
      <c r="A595" s="1703"/>
      <c r="F595" s="1"/>
      <c r="G595" s="1"/>
      <c r="H595" s="1"/>
      <c r="I595" s="1"/>
      <c r="L595" s="328"/>
      <c r="M595" s="328"/>
    </row>
    <row r="596" spans="1:13" customFormat="1" ht="13.2">
      <c r="A596" s="1703"/>
      <c r="F596" s="1"/>
      <c r="G596" s="1"/>
      <c r="H596" s="1"/>
      <c r="I596" s="1"/>
      <c r="L596" s="328"/>
      <c r="M596" s="328"/>
    </row>
    <row r="597" spans="1:13" customFormat="1" ht="13.2">
      <c r="A597" s="1703"/>
      <c r="F597" s="1"/>
      <c r="G597" s="1"/>
      <c r="H597" s="1"/>
      <c r="I597" s="1"/>
      <c r="L597" s="328"/>
      <c r="M597" s="328"/>
    </row>
    <row r="598" spans="1:13" customFormat="1" ht="13.2">
      <c r="A598" s="1703"/>
      <c r="F598" s="1"/>
      <c r="G598" s="1"/>
      <c r="H598" s="1"/>
      <c r="I598" s="1"/>
      <c r="L598" s="328"/>
      <c r="M598" s="328"/>
    </row>
    <row r="599" spans="1:13" customFormat="1" ht="13.2">
      <c r="A599" s="1703"/>
      <c r="F599" s="1"/>
      <c r="G599" s="1"/>
      <c r="H599" s="1"/>
      <c r="I599" s="1"/>
      <c r="L599" s="328"/>
      <c r="M599" s="328"/>
    </row>
    <row r="600" spans="1:13" customFormat="1" ht="13.2">
      <c r="A600" s="1703"/>
      <c r="F600" s="1"/>
      <c r="G600" s="1"/>
      <c r="H600" s="1"/>
      <c r="I600" s="1"/>
      <c r="L600" s="328"/>
      <c r="M600" s="328"/>
    </row>
    <row r="601" spans="1:13" customFormat="1" ht="13.2">
      <c r="A601" s="1703"/>
      <c r="F601" s="1"/>
      <c r="G601" s="1"/>
      <c r="H601" s="1"/>
      <c r="I601" s="1"/>
      <c r="L601" s="328"/>
      <c r="M601" s="328"/>
    </row>
    <row r="602" spans="1:13" customFormat="1" ht="13.2">
      <c r="A602" s="1703"/>
      <c r="F602" s="1"/>
      <c r="G602" s="1"/>
      <c r="H602" s="1"/>
      <c r="I602" s="1"/>
      <c r="L602" s="328"/>
      <c r="M602" s="328"/>
    </row>
    <row r="603" spans="1:13" customFormat="1" ht="13.2">
      <c r="A603" s="1703"/>
      <c r="F603" s="1"/>
      <c r="G603" s="1"/>
      <c r="H603" s="1"/>
      <c r="I603" s="1"/>
      <c r="L603" s="328"/>
      <c r="M603" s="328"/>
    </row>
    <row r="604" spans="1:13" customFormat="1" ht="13.2">
      <c r="A604" s="1703"/>
      <c r="F604" s="1"/>
      <c r="G604" s="1"/>
      <c r="H604" s="1"/>
      <c r="I604" s="1"/>
      <c r="L604" s="328"/>
      <c r="M604" s="328"/>
    </row>
    <row r="605" spans="1:13" customFormat="1" ht="13.2">
      <c r="A605" s="1703"/>
      <c r="F605" s="1"/>
      <c r="G605" s="1"/>
      <c r="H605" s="1"/>
      <c r="I605" s="1"/>
      <c r="L605" s="328"/>
      <c r="M605" s="328"/>
    </row>
    <row r="606" spans="1:13" customFormat="1" ht="13.2">
      <c r="A606" s="1703"/>
      <c r="F606" s="1"/>
      <c r="G606" s="1"/>
      <c r="H606" s="1"/>
      <c r="I606" s="1"/>
      <c r="L606" s="328"/>
      <c r="M606" s="328"/>
    </row>
    <row r="607" spans="1:13" customFormat="1" ht="13.2">
      <c r="A607" s="1703"/>
      <c r="F607" s="1"/>
      <c r="G607" s="1"/>
      <c r="H607" s="1"/>
      <c r="I607" s="1"/>
      <c r="L607" s="328"/>
      <c r="M607" s="328"/>
    </row>
    <row r="608" spans="1:13" customFormat="1" ht="13.2">
      <c r="A608" s="1703"/>
      <c r="F608" s="1"/>
      <c r="G608" s="1"/>
      <c r="H608" s="1"/>
      <c r="I608" s="1"/>
      <c r="L608" s="328"/>
      <c r="M608" s="328"/>
    </row>
    <row r="609" spans="1:13" customFormat="1" ht="13.2">
      <c r="A609" s="1703"/>
      <c r="F609" s="1"/>
      <c r="G609" s="1"/>
      <c r="H609" s="1"/>
      <c r="I609" s="1"/>
      <c r="L609" s="328"/>
      <c r="M609" s="328"/>
    </row>
    <row r="610" spans="1:13" customFormat="1" ht="13.2">
      <c r="A610" s="1703"/>
      <c r="F610" s="1"/>
      <c r="G610" s="1"/>
      <c r="H610" s="1"/>
      <c r="I610" s="1"/>
      <c r="L610" s="328"/>
      <c r="M610" s="328"/>
    </row>
    <row r="611" spans="1:13" customFormat="1" ht="13.2">
      <c r="A611" s="1703"/>
      <c r="F611" s="1"/>
      <c r="G611" s="1"/>
      <c r="H611" s="1"/>
      <c r="I611" s="1"/>
      <c r="L611" s="328"/>
      <c r="M611" s="328"/>
    </row>
    <row r="612" spans="1:13" customFormat="1" ht="13.2">
      <c r="A612" s="1703"/>
      <c r="F612" s="1"/>
      <c r="G612" s="1"/>
      <c r="H612" s="1"/>
      <c r="I612" s="1"/>
      <c r="L612" s="328"/>
      <c r="M612" s="328"/>
    </row>
    <row r="613" spans="1:13" customFormat="1" ht="13.2">
      <c r="A613" s="1703"/>
      <c r="F613" s="1"/>
      <c r="G613" s="1"/>
      <c r="H613" s="1"/>
      <c r="I613" s="1"/>
      <c r="L613" s="328"/>
      <c r="M613" s="328"/>
    </row>
    <row r="614" spans="1:13" customFormat="1" ht="13.2">
      <c r="A614" s="1703"/>
      <c r="F614" s="1"/>
      <c r="G614" s="1"/>
      <c r="H614" s="1"/>
      <c r="I614" s="1"/>
      <c r="L614" s="328"/>
      <c r="M614" s="328"/>
    </row>
    <row r="615" spans="1:13" customFormat="1" ht="13.2">
      <c r="A615" s="1703"/>
      <c r="F615" s="1"/>
      <c r="G615" s="1"/>
      <c r="H615" s="1"/>
      <c r="I615" s="1"/>
      <c r="L615" s="328"/>
      <c r="M615" s="328"/>
    </row>
    <row r="616" spans="1:13" customFormat="1" ht="13.2">
      <c r="A616" s="1703"/>
      <c r="F616" s="1"/>
      <c r="G616" s="1"/>
      <c r="H616" s="1"/>
      <c r="I616" s="1"/>
      <c r="L616" s="328"/>
      <c r="M616" s="328"/>
    </row>
    <row r="617" spans="1:13" customFormat="1" ht="13.2">
      <c r="A617" s="1703"/>
      <c r="F617" s="1"/>
      <c r="G617" s="1"/>
      <c r="H617" s="1"/>
      <c r="I617" s="1"/>
      <c r="L617" s="328"/>
      <c r="M617" s="328"/>
    </row>
    <row r="618" spans="1:13" customFormat="1" ht="13.2">
      <c r="A618" s="1703"/>
      <c r="F618" s="1"/>
      <c r="G618" s="1"/>
      <c r="H618" s="1"/>
      <c r="I618" s="1"/>
      <c r="L618" s="328"/>
      <c r="M618" s="328"/>
    </row>
    <row r="619" spans="1:13" customFormat="1" ht="13.2">
      <c r="A619" s="1703"/>
      <c r="F619" s="1"/>
      <c r="G619" s="1"/>
      <c r="H619" s="1"/>
      <c r="I619" s="1"/>
      <c r="L619" s="328"/>
      <c r="M619" s="328"/>
    </row>
    <row r="620" spans="1:13" customFormat="1" ht="13.2">
      <c r="A620" s="1703"/>
      <c r="F620" s="1"/>
      <c r="G620" s="1"/>
      <c r="H620" s="1"/>
      <c r="I620" s="1"/>
      <c r="L620" s="328"/>
      <c r="M620" s="328"/>
    </row>
    <row r="621" spans="1:13" customFormat="1" ht="13.2">
      <c r="A621" s="1703"/>
      <c r="F621" s="1"/>
      <c r="G621" s="1"/>
      <c r="H621" s="1"/>
      <c r="I621" s="1"/>
      <c r="L621" s="328"/>
      <c r="M621" s="328"/>
    </row>
    <row r="622" spans="1:13" customFormat="1" ht="13.2">
      <c r="A622" s="1703"/>
      <c r="F622" s="1"/>
      <c r="G622" s="1"/>
      <c r="H622" s="1"/>
      <c r="I622" s="1"/>
      <c r="L622" s="328"/>
      <c r="M622" s="328"/>
    </row>
    <row r="623" spans="1:13" customFormat="1" ht="13.2">
      <c r="A623" s="1703"/>
      <c r="F623" s="1"/>
      <c r="G623" s="1"/>
      <c r="H623" s="1"/>
      <c r="I623" s="1"/>
      <c r="L623" s="328"/>
      <c r="M623" s="328"/>
    </row>
    <row r="624" spans="1:13" customFormat="1" ht="13.2">
      <c r="A624" s="1703"/>
      <c r="F624" s="1"/>
      <c r="G624" s="1"/>
      <c r="H624" s="1"/>
      <c r="I624" s="1"/>
      <c r="L624" s="328"/>
      <c r="M624" s="328"/>
    </row>
    <row r="625" spans="1:13" customFormat="1" ht="13.2">
      <c r="A625" s="1703"/>
      <c r="F625" s="1"/>
      <c r="G625" s="1"/>
      <c r="H625" s="1"/>
      <c r="I625" s="1"/>
      <c r="L625" s="328"/>
      <c r="M625" s="328"/>
    </row>
    <row r="626" spans="1:13" customFormat="1" ht="13.2">
      <c r="A626" s="1703"/>
      <c r="F626" s="1"/>
      <c r="G626" s="1"/>
      <c r="H626" s="1"/>
      <c r="I626" s="1"/>
      <c r="L626" s="328"/>
      <c r="M626" s="328"/>
    </row>
    <row r="627" spans="1:13" customFormat="1" ht="13.2">
      <c r="A627" s="1703"/>
      <c r="F627" s="1"/>
      <c r="G627" s="1"/>
      <c r="H627" s="1"/>
      <c r="I627" s="1"/>
      <c r="L627" s="328"/>
      <c r="M627" s="328"/>
    </row>
    <row r="628" spans="1:13" customFormat="1" ht="13.2">
      <c r="A628" s="1703"/>
      <c r="F628" s="1"/>
      <c r="G628" s="1"/>
      <c r="H628" s="1"/>
      <c r="I628" s="1"/>
      <c r="L628" s="328"/>
      <c r="M628" s="328"/>
    </row>
    <row r="629" spans="1:13" customFormat="1" ht="13.2">
      <c r="A629" s="1703"/>
      <c r="F629" s="1"/>
      <c r="G629" s="1"/>
      <c r="H629" s="1"/>
      <c r="I629" s="1"/>
      <c r="L629" s="328"/>
      <c r="M629" s="328"/>
    </row>
    <row r="630" spans="1:13" customFormat="1" ht="13.2">
      <c r="A630" s="1703"/>
      <c r="F630" s="1"/>
      <c r="G630" s="1"/>
      <c r="H630" s="1"/>
      <c r="I630" s="1"/>
      <c r="L630" s="328"/>
      <c r="M630" s="328"/>
    </row>
    <row r="631" spans="1:13" customFormat="1" ht="13.2">
      <c r="A631" s="1703"/>
      <c r="F631" s="1"/>
      <c r="G631" s="1"/>
      <c r="H631" s="1"/>
      <c r="I631" s="1"/>
      <c r="L631" s="328"/>
      <c r="M631" s="328"/>
    </row>
    <row r="632" spans="1:13" customFormat="1" ht="13.2">
      <c r="A632" s="1703"/>
      <c r="F632" s="1"/>
      <c r="G632" s="1"/>
      <c r="H632" s="1"/>
      <c r="I632" s="1"/>
      <c r="L632" s="328"/>
      <c r="M632" s="328"/>
    </row>
    <row r="633" spans="1:13" customFormat="1" ht="13.2">
      <c r="A633" s="1703"/>
      <c r="F633" s="1"/>
      <c r="G633" s="1"/>
      <c r="H633" s="1"/>
      <c r="I633" s="1"/>
      <c r="L633" s="328"/>
      <c r="M633" s="328"/>
    </row>
    <row r="634" spans="1:13" customFormat="1" ht="13.2">
      <c r="A634" s="1703"/>
      <c r="F634" s="1"/>
      <c r="G634" s="1"/>
      <c r="H634" s="1"/>
      <c r="I634" s="1"/>
      <c r="L634" s="328"/>
      <c r="M634" s="328"/>
    </row>
    <row r="635" spans="1:13" customFormat="1" ht="13.2">
      <c r="A635" s="1703"/>
      <c r="F635" s="1"/>
      <c r="G635" s="1"/>
      <c r="H635" s="1"/>
      <c r="I635" s="1"/>
      <c r="L635" s="328"/>
      <c r="M635" s="328"/>
    </row>
    <row r="636" spans="1:13" customFormat="1" ht="13.2">
      <c r="A636" s="1703"/>
      <c r="F636" s="1"/>
      <c r="G636" s="1"/>
      <c r="H636" s="1"/>
      <c r="I636" s="1"/>
      <c r="L636" s="328"/>
      <c r="M636" s="328"/>
    </row>
    <row r="637" spans="1:13" customFormat="1" ht="13.2">
      <c r="A637" s="1703"/>
      <c r="F637" s="1"/>
      <c r="G637" s="1"/>
      <c r="H637" s="1"/>
      <c r="I637" s="1"/>
      <c r="L637" s="328"/>
      <c r="M637" s="328"/>
    </row>
    <row r="638" spans="1:13" customFormat="1" ht="13.2">
      <c r="A638" s="1703"/>
      <c r="F638" s="1"/>
      <c r="G638" s="1"/>
      <c r="H638" s="1"/>
      <c r="I638" s="1"/>
      <c r="L638" s="328"/>
      <c r="M638" s="328"/>
    </row>
    <row r="639" spans="1:13" customFormat="1" ht="13.2">
      <c r="A639" s="1703"/>
      <c r="F639" s="1"/>
      <c r="G639" s="1"/>
      <c r="H639" s="1"/>
      <c r="I639" s="1"/>
      <c r="L639" s="328"/>
      <c r="M639" s="328"/>
    </row>
    <row r="640" spans="1:13" customFormat="1" ht="13.2">
      <c r="A640" s="1703"/>
      <c r="F640" s="1"/>
      <c r="G640" s="1"/>
      <c r="H640" s="1"/>
      <c r="I640" s="1"/>
      <c r="L640" s="328"/>
      <c r="M640" s="328"/>
    </row>
    <row r="641" spans="1:13" customFormat="1" ht="13.2">
      <c r="A641" s="1703"/>
      <c r="F641" s="1"/>
      <c r="G641" s="1"/>
      <c r="H641" s="1"/>
      <c r="I641" s="1"/>
      <c r="L641" s="328"/>
      <c r="M641" s="328"/>
    </row>
    <row r="642" spans="1:13" customFormat="1" ht="13.2">
      <c r="A642" s="1703"/>
      <c r="F642" s="1"/>
      <c r="G642" s="1"/>
      <c r="H642" s="1"/>
      <c r="I642" s="1"/>
      <c r="L642" s="328"/>
      <c r="M642" s="328"/>
    </row>
    <row r="643" spans="1:13" customFormat="1" ht="13.2">
      <c r="A643" s="1703"/>
      <c r="F643" s="1"/>
      <c r="G643" s="1"/>
      <c r="H643" s="1"/>
      <c r="I643" s="1"/>
      <c r="L643" s="328"/>
      <c r="M643" s="328"/>
    </row>
    <row r="644" spans="1:13" customFormat="1" ht="13.2">
      <c r="A644" s="1703"/>
      <c r="F644" s="1"/>
      <c r="G644" s="1"/>
      <c r="H644" s="1"/>
      <c r="I644" s="1"/>
      <c r="L644" s="328"/>
      <c r="M644" s="328"/>
    </row>
    <row r="645" spans="1:13" customFormat="1" ht="13.2">
      <c r="A645" s="1703"/>
      <c r="F645" s="1"/>
      <c r="G645" s="1"/>
      <c r="H645" s="1"/>
      <c r="I645" s="1"/>
      <c r="L645" s="328"/>
      <c r="M645" s="328"/>
    </row>
    <row r="646" spans="1:13" customFormat="1" ht="13.2">
      <c r="A646" s="1703"/>
      <c r="F646" s="1"/>
      <c r="G646" s="1"/>
      <c r="H646" s="1"/>
      <c r="I646" s="1"/>
      <c r="L646" s="328"/>
      <c r="M646" s="328"/>
    </row>
    <row r="647" spans="1:13" customFormat="1" ht="13.2">
      <c r="A647" s="1703"/>
      <c r="F647" s="1"/>
      <c r="G647" s="1"/>
      <c r="H647" s="1"/>
      <c r="I647" s="1"/>
      <c r="L647" s="328"/>
      <c r="M647" s="328"/>
    </row>
    <row r="648" spans="1:13" customFormat="1" ht="13.2">
      <c r="A648" s="1703"/>
      <c r="F648" s="1"/>
      <c r="G648" s="1"/>
      <c r="H648" s="1"/>
      <c r="I648" s="1"/>
      <c r="L648" s="328"/>
      <c r="M648" s="328"/>
    </row>
    <row r="649" spans="1:13" customFormat="1" ht="13.2">
      <c r="A649" s="1703"/>
      <c r="F649" s="1"/>
      <c r="G649" s="1"/>
      <c r="H649" s="1"/>
      <c r="I649" s="1"/>
      <c r="L649" s="328"/>
      <c r="M649" s="328"/>
    </row>
    <row r="650" spans="1:13" customFormat="1" ht="13.2">
      <c r="A650" s="1703"/>
      <c r="F650" s="1"/>
      <c r="G650" s="1"/>
      <c r="H650" s="1"/>
      <c r="I650" s="1"/>
      <c r="L650" s="328"/>
      <c r="M650" s="328"/>
    </row>
    <row r="651" spans="1:13" customFormat="1" ht="13.2">
      <c r="A651" s="1703"/>
      <c r="F651" s="1"/>
      <c r="G651" s="1"/>
      <c r="H651" s="1"/>
      <c r="I651" s="1"/>
      <c r="L651" s="328"/>
      <c r="M651" s="328"/>
    </row>
    <row r="652" spans="1:13" customFormat="1" ht="13.2">
      <c r="A652" s="1703"/>
      <c r="F652" s="1"/>
      <c r="G652" s="1"/>
      <c r="H652" s="1"/>
      <c r="I652" s="1"/>
      <c r="L652" s="328"/>
      <c r="M652" s="328"/>
    </row>
    <row r="653" spans="1:13" customFormat="1" ht="13.2">
      <c r="A653" s="1703"/>
      <c r="F653" s="1"/>
      <c r="G653" s="1"/>
      <c r="H653" s="1"/>
      <c r="I653" s="1"/>
      <c r="L653" s="328"/>
      <c r="M653" s="328"/>
    </row>
    <row r="654" spans="1:13" customFormat="1" ht="13.2">
      <c r="A654" s="1703"/>
      <c r="F654" s="1"/>
      <c r="G654" s="1"/>
      <c r="H654" s="1"/>
      <c r="I654" s="1"/>
      <c r="L654" s="328"/>
      <c r="M654" s="328"/>
    </row>
    <row r="655" spans="1:13" customFormat="1" ht="13.2">
      <c r="A655" s="1703"/>
      <c r="F655" s="1"/>
      <c r="G655" s="1"/>
      <c r="H655" s="1"/>
      <c r="I655" s="1"/>
      <c r="L655" s="328"/>
      <c r="M655" s="328"/>
    </row>
    <row r="656" spans="1:13" customFormat="1" ht="13.2">
      <c r="A656" s="1703"/>
      <c r="F656" s="1"/>
      <c r="G656" s="1"/>
      <c r="H656" s="1"/>
      <c r="I656" s="1"/>
      <c r="L656" s="328"/>
      <c r="M656" s="328"/>
    </row>
    <row r="657" spans="1:13" customFormat="1" ht="13.2">
      <c r="A657" s="1703"/>
      <c r="F657" s="1"/>
      <c r="G657" s="1"/>
      <c r="H657" s="1"/>
      <c r="I657" s="1"/>
      <c r="L657" s="328"/>
      <c r="M657" s="328"/>
    </row>
    <row r="658" spans="1:13" customFormat="1" ht="13.2">
      <c r="A658" s="1703"/>
      <c r="F658" s="1"/>
      <c r="G658" s="1"/>
      <c r="H658" s="1"/>
      <c r="I658" s="1"/>
      <c r="L658" s="328"/>
      <c r="M658" s="328"/>
    </row>
    <row r="659" spans="1:13" customFormat="1" ht="13.2">
      <c r="A659" s="1703"/>
      <c r="F659" s="1"/>
      <c r="G659" s="1"/>
      <c r="H659" s="1"/>
      <c r="I659" s="1"/>
      <c r="L659" s="328"/>
      <c r="M659" s="328"/>
    </row>
    <row r="660" spans="1:13" customFormat="1" ht="13.2">
      <c r="A660" s="1703"/>
      <c r="F660" s="1"/>
      <c r="G660" s="1"/>
      <c r="H660" s="1"/>
      <c r="I660" s="1"/>
      <c r="L660" s="328"/>
      <c r="M660" s="328"/>
    </row>
    <row r="661" spans="1:13" customFormat="1" ht="13.2">
      <c r="A661" s="1703"/>
      <c r="F661" s="1"/>
      <c r="G661" s="1"/>
      <c r="H661" s="1"/>
      <c r="I661" s="1"/>
      <c r="L661" s="328"/>
      <c r="M661" s="328"/>
    </row>
    <row r="662" spans="1:13" customFormat="1" ht="13.2">
      <c r="A662" s="1703"/>
      <c r="F662" s="1"/>
      <c r="G662" s="1"/>
      <c r="H662" s="1"/>
      <c r="I662" s="1"/>
      <c r="L662" s="328"/>
      <c r="M662" s="328"/>
    </row>
    <row r="663" spans="1:13" customFormat="1" ht="13.2">
      <c r="A663" s="1703"/>
      <c r="F663" s="1"/>
      <c r="G663" s="1"/>
      <c r="H663" s="1"/>
      <c r="I663" s="1"/>
      <c r="L663" s="328"/>
      <c r="M663" s="328"/>
    </row>
    <row r="664" spans="1:13" customFormat="1" ht="13.2">
      <c r="A664" s="1703"/>
      <c r="F664" s="1"/>
      <c r="G664" s="1"/>
      <c r="H664" s="1"/>
      <c r="I664" s="1"/>
      <c r="L664" s="328"/>
      <c r="M664" s="328"/>
    </row>
    <row r="665" spans="1:13" customFormat="1" ht="13.2">
      <c r="A665" s="1703"/>
      <c r="F665" s="1"/>
      <c r="G665" s="1"/>
      <c r="H665" s="1"/>
      <c r="I665" s="1"/>
      <c r="L665" s="328"/>
      <c r="M665" s="328"/>
    </row>
    <row r="666" spans="1:13" customFormat="1" ht="13.2">
      <c r="A666" s="1703"/>
      <c r="F666" s="1"/>
      <c r="G666" s="1"/>
      <c r="H666" s="1"/>
      <c r="I666" s="1"/>
      <c r="L666" s="328"/>
      <c r="M666" s="328"/>
    </row>
    <row r="667" spans="1:13" customFormat="1" ht="13.2">
      <c r="A667" s="1703"/>
      <c r="F667" s="1"/>
      <c r="G667" s="1"/>
      <c r="H667" s="1"/>
      <c r="I667" s="1"/>
      <c r="L667" s="328"/>
      <c r="M667" s="328"/>
    </row>
    <row r="668" spans="1:13" customFormat="1" ht="13.2">
      <c r="A668" s="1703"/>
      <c r="F668" s="1"/>
      <c r="G668" s="1"/>
      <c r="H668" s="1"/>
      <c r="I668" s="1"/>
      <c r="L668" s="328"/>
      <c r="M668" s="328"/>
    </row>
    <row r="669" spans="1:13" customFormat="1" ht="13.2">
      <c r="A669" s="1703"/>
      <c r="F669" s="1"/>
      <c r="G669" s="1"/>
      <c r="H669" s="1"/>
      <c r="I669" s="1"/>
      <c r="L669" s="328"/>
      <c r="M669" s="328"/>
    </row>
    <row r="670" spans="1:13" customFormat="1" ht="13.2">
      <c r="A670" s="1703"/>
      <c r="F670" s="1"/>
      <c r="G670" s="1"/>
      <c r="H670" s="1"/>
      <c r="I670" s="1"/>
      <c r="L670" s="328"/>
      <c r="M670" s="328"/>
    </row>
    <row r="671" spans="1:13" customFormat="1" ht="13.2">
      <c r="A671" s="1703"/>
      <c r="F671" s="1"/>
      <c r="G671" s="1"/>
      <c r="H671" s="1"/>
      <c r="I671" s="1"/>
      <c r="L671" s="328"/>
      <c r="M671" s="328"/>
    </row>
    <row r="672" spans="1:13" customFormat="1" ht="13.2">
      <c r="A672" s="1703"/>
      <c r="F672" s="1"/>
      <c r="G672" s="1"/>
      <c r="H672" s="1"/>
      <c r="I672" s="1"/>
      <c r="L672" s="328"/>
      <c r="M672" s="328"/>
    </row>
    <row r="673" spans="1:13" customFormat="1" ht="13.2">
      <c r="A673" s="1703"/>
      <c r="F673" s="1"/>
      <c r="G673" s="1"/>
      <c r="H673" s="1"/>
      <c r="I673" s="1"/>
      <c r="L673" s="328"/>
      <c r="M673" s="328"/>
    </row>
    <row r="674" spans="1:13" customFormat="1" ht="13.2">
      <c r="A674" s="1703"/>
      <c r="F674" s="1"/>
      <c r="G674" s="1"/>
      <c r="H674" s="1"/>
      <c r="I674" s="1"/>
      <c r="L674" s="328"/>
      <c r="M674" s="328"/>
    </row>
    <row r="675" spans="1:13" customFormat="1" ht="13.2">
      <c r="A675" s="1703"/>
      <c r="F675" s="1"/>
      <c r="G675" s="1"/>
      <c r="H675" s="1"/>
      <c r="I675" s="1"/>
      <c r="L675" s="328"/>
      <c r="M675" s="328"/>
    </row>
    <row r="676" spans="1:13" customFormat="1" ht="13.2">
      <c r="A676" s="1703"/>
      <c r="F676" s="1"/>
      <c r="G676" s="1"/>
      <c r="H676" s="1"/>
      <c r="I676" s="1"/>
      <c r="L676" s="328"/>
      <c r="M676" s="328"/>
    </row>
    <row r="677" spans="1:13" customFormat="1" ht="13.2">
      <c r="A677" s="1703"/>
      <c r="F677" s="1"/>
      <c r="G677" s="1"/>
      <c r="H677" s="1"/>
      <c r="I677" s="1"/>
      <c r="L677" s="328"/>
      <c r="M677" s="328"/>
    </row>
    <row r="678" spans="1:13" customFormat="1" ht="13.2">
      <c r="A678" s="1703"/>
      <c r="F678" s="1"/>
      <c r="G678" s="1"/>
      <c r="H678" s="1"/>
      <c r="I678" s="1"/>
      <c r="L678" s="328"/>
      <c r="M678" s="328"/>
    </row>
    <row r="679" spans="1:13" customFormat="1" ht="13.2">
      <c r="A679" s="1703"/>
      <c r="F679" s="1"/>
      <c r="G679" s="1"/>
      <c r="H679" s="1"/>
      <c r="I679" s="1"/>
      <c r="L679" s="328"/>
      <c r="M679" s="328"/>
    </row>
    <row r="680" spans="1:13" customFormat="1" ht="13.2">
      <c r="A680" s="1703"/>
      <c r="F680" s="1"/>
      <c r="G680" s="1"/>
      <c r="H680" s="1"/>
      <c r="I680" s="1"/>
      <c r="L680" s="328"/>
      <c r="M680" s="328"/>
    </row>
    <row r="681" spans="1:13" customFormat="1" ht="13.2">
      <c r="A681" s="1703"/>
      <c r="F681" s="1"/>
      <c r="G681" s="1"/>
      <c r="H681" s="1"/>
      <c r="I681" s="1"/>
      <c r="L681" s="328"/>
      <c r="M681" s="328"/>
    </row>
    <row r="682" spans="1:13" customFormat="1" ht="13.2">
      <c r="A682" s="1703"/>
      <c r="F682" s="1"/>
      <c r="G682" s="1"/>
      <c r="H682" s="1"/>
      <c r="I682" s="1"/>
      <c r="L682" s="328"/>
      <c r="M682" s="328"/>
    </row>
    <row r="683" spans="1:13" customFormat="1" ht="13.2">
      <c r="A683" s="1703"/>
      <c r="F683" s="1"/>
      <c r="G683" s="1"/>
      <c r="H683" s="1"/>
      <c r="I683" s="1"/>
      <c r="L683" s="328"/>
      <c r="M683" s="328"/>
    </row>
    <row r="684" spans="1:13" customFormat="1" ht="13.2">
      <c r="A684" s="1703"/>
      <c r="F684" s="1"/>
      <c r="G684" s="1"/>
      <c r="H684" s="1"/>
      <c r="I684" s="1"/>
      <c r="L684" s="328"/>
      <c r="M684" s="328"/>
    </row>
    <row r="685" spans="1:13" customFormat="1" ht="13.2">
      <c r="A685" s="1703"/>
      <c r="F685" s="1"/>
      <c r="G685" s="1"/>
      <c r="H685" s="1"/>
      <c r="I685" s="1"/>
      <c r="L685" s="328"/>
      <c r="M685" s="328"/>
    </row>
    <row r="686" spans="1:13" customFormat="1" ht="13.2">
      <c r="A686" s="1703"/>
      <c r="F686" s="1"/>
      <c r="G686" s="1"/>
      <c r="H686" s="1"/>
      <c r="I686" s="1"/>
      <c r="L686" s="328"/>
      <c r="M686" s="328"/>
    </row>
    <row r="687" spans="1:13" customFormat="1" ht="13.2">
      <c r="A687" s="1703"/>
      <c r="F687" s="1"/>
      <c r="G687" s="1"/>
      <c r="H687" s="1"/>
      <c r="I687" s="1"/>
      <c r="L687" s="328"/>
      <c r="M687" s="328"/>
    </row>
    <row r="688" spans="1:13" customFormat="1" ht="13.2">
      <c r="A688" s="1703"/>
      <c r="F688" s="1"/>
      <c r="G688" s="1"/>
      <c r="H688" s="1"/>
      <c r="I688" s="1"/>
      <c r="L688" s="328"/>
      <c r="M688" s="328"/>
    </row>
    <row r="689" spans="1:13" customFormat="1" ht="13.2">
      <c r="A689" s="1703"/>
      <c r="F689" s="1"/>
      <c r="G689" s="1"/>
      <c r="H689" s="1"/>
      <c r="I689" s="1"/>
      <c r="L689" s="328"/>
      <c r="M689" s="328"/>
    </row>
    <row r="690" spans="1:13" customFormat="1" ht="13.2">
      <c r="A690" s="1703"/>
      <c r="F690" s="1"/>
      <c r="G690" s="1"/>
      <c r="H690" s="1"/>
      <c r="I690" s="1"/>
      <c r="L690" s="328"/>
      <c r="M690" s="328"/>
    </row>
    <row r="691" spans="1:13" customFormat="1" ht="13.2">
      <c r="A691" s="1703"/>
      <c r="F691" s="1"/>
      <c r="G691" s="1"/>
      <c r="H691" s="1"/>
      <c r="I691" s="1"/>
      <c r="L691" s="328"/>
      <c r="M691" s="328"/>
    </row>
    <row r="692" spans="1:13" customFormat="1" ht="13.2">
      <c r="A692" s="1703"/>
      <c r="F692" s="1"/>
      <c r="G692" s="1"/>
      <c r="H692" s="1"/>
      <c r="I692" s="1"/>
      <c r="L692" s="328"/>
      <c r="M692" s="328"/>
    </row>
    <row r="693" spans="1:13" customFormat="1" ht="13.2">
      <c r="A693" s="1703"/>
      <c r="F693" s="1"/>
      <c r="G693" s="1"/>
      <c r="H693" s="1"/>
      <c r="I693" s="1"/>
      <c r="L693" s="328"/>
      <c r="M693" s="328"/>
    </row>
    <row r="694" spans="1:13" customFormat="1" ht="13.2">
      <c r="A694" s="1703"/>
      <c r="F694" s="1"/>
      <c r="G694" s="1"/>
      <c r="H694" s="1"/>
      <c r="I694" s="1"/>
      <c r="L694" s="328"/>
      <c r="M694" s="328"/>
    </row>
    <row r="695" spans="1:13" customFormat="1" ht="13.2">
      <c r="A695" s="1703"/>
      <c r="F695" s="1"/>
      <c r="G695" s="1"/>
      <c r="H695" s="1"/>
      <c r="I695" s="1"/>
      <c r="L695" s="328"/>
      <c r="M695" s="328"/>
    </row>
    <row r="696" spans="1:13" customFormat="1" ht="13.2">
      <c r="A696" s="1703"/>
      <c r="F696" s="1"/>
      <c r="G696" s="1"/>
      <c r="H696" s="1"/>
      <c r="I696" s="1"/>
      <c r="L696" s="328"/>
      <c r="M696" s="328"/>
    </row>
    <row r="697" spans="1:13" customFormat="1" ht="13.2">
      <c r="A697" s="1703"/>
      <c r="F697" s="1"/>
      <c r="G697" s="1"/>
      <c r="H697" s="1"/>
      <c r="I697" s="1"/>
      <c r="L697" s="328"/>
      <c r="M697" s="328"/>
    </row>
    <row r="698" spans="1:13" customFormat="1" ht="13.2">
      <c r="A698" s="1703"/>
      <c r="F698" s="1"/>
      <c r="G698" s="1"/>
      <c r="H698" s="1"/>
      <c r="I698" s="1"/>
      <c r="L698" s="328"/>
      <c r="M698" s="328"/>
    </row>
    <row r="699" spans="1:13" customFormat="1" ht="13.2">
      <c r="A699" s="1703"/>
      <c r="F699" s="1"/>
      <c r="G699" s="1"/>
      <c r="H699" s="1"/>
      <c r="I699" s="1"/>
      <c r="L699" s="328"/>
      <c r="M699" s="328"/>
    </row>
    <row r="700" spans="1:13" customFormat="1" ht="13.2">
      <c r="A700" s="1703"/>
      <c r="F700" s="1"/>
      <c r="G700" s="1"/>
      <c r="H700" s="1"/>
      <c r="I700" s="1"/>
      <c r="L700" s="328"/>
      <c r="M700" s="328"/>
    </row>
    <row r="701" spans="1:13" customFormat="1" ht="13.2">
      <c r="A701" s="1703"/>
      <c r="F701" s="1"/>
      <c r="G701" s="1"/>
      <c r="H701" s="1"/>
      <c r="I701" s="1"/>
      <c r="L701" s="328"/>
      <c r="M701" s="328"/>
    </row>
    <row r="702" spans="1:13" customFormat="1" ht="13.2">
      <c r="A702" s="1703"/>
      <c r="F702" s="1"/>
      <c r="G702" s="1"/>
      <c r="H702" s="1"/>
      <c r="I702" s="1"/>
      <c r="L702" s="328"/>
      <c r="M702" s="328"/>
    </row>
    <row r="703" spans="1:13" customFormat="1" ht="13.2">
      <c r="A703" s="1703"/>
      <c r="F703" s="1"/>
      <c r="G703" s="1"/>
      <c r="H703" s="1"/>
      <c r="I703" s="1"/>
      <c r="L703" s="328"/>
      <c r="M703" s="328"/>
    </row>
    <row r="704" spans="1:13" customFormat="1" ht="13.2">
      <c r="A704" s="1703"/>
      <c r="F704" s="1"/>
      <c r="G704" s="1"/>
      <c r="H704" s="1"/>
      <c r="I704" s="1"/>
      <c r="L704" s="328"/>
      <c r="M704" s="328"/>
    </row>
    <row r="705" spans="1:13" customFormat="1" ht="13.2">
      <c r="A705" s="1703"/>
      <c r="F705" s="1"/>
      <c r="G705" s="1"/>
      <c r="H705" s="1"/>
      <c r="I705" s="1"/>
      <c r="L705" s="328"/>
      <c r="M705" s="328"/>
    </row>
    <row r="706" spans="1:13" customFormat="1" ht="13.2">
      <c r="A706" s="1703"/>
      <c r="F706" s="1"/>
      <c r="G706" s="1"/>
      <c r="H706" s="1"/>
      <c r="I706" s="1"/>
      <c r="L706" s="328"/>
      <c r="M706" s="328"/>
    </row>
    <row r="707" spans="1:13" customFormat="1" ht="13.2">
      <c r="A707" s="1703"/>
      <c r="F707" s="1"/>
      <c r="G707" s="1"/>
      <c r="H707" s="1"/>
      <c r="I707" s="1"/>
      <c r="L707" s="328"/>
      <c r="M707" s="328"/>
    </row>
    <row r="708" spans="1:13" customFormat="1" ht="13.2">
      <c r="A708" s="1703"/>
      <c r="F708" s="1"/>
      <c r="G708" s="1"/>
      <c r="H708" s="1"/>
      <c r="I708" s="1"/>
      <c r="L708" s="328"/>
      <c r="M708" s="328"/>
    </row>
    <row r="709" spans="1:13" customFormat="1" ht="13.2">
      <c r="A709" s="1703"/>
      <c r="F709" s="1"/>
      <c r="G709" s="1"/>
      <c r="H709" s="1"/>
      <c r="I709" s="1"/>
      <c r="L709" s="328"/>
      <c r="M709" s="328"/>
    </row>
    <row r="710" spans="1:13" customFormat="1" ht="13.2">
      <c r="A710" s="1703"/>
      <c r="F710" s="1"/>
      <c r="G710" s="1"/>
      <c r="H710" s="1"/>
      <c r="I710" s="1"/>
      <c r="L710" s="328"/>
      <c r="M710" s="328"/>
    </row>
    <row r="711" spans="1:13" customFormat="1" ht="13.2">
      <c r="A711" s="1703"/>
      <c r="F711" s="1"/>
      <c r="G711" s="1"/>
      <c r="H711" s="1"/>
      <c r="I711" s="1"/>
      <c r="L711" s="328"/>
      <c r="M711" s="328"/>
    </row>
    <row r="712" spans="1:13" customFormat="1" ht="13.2">
      <c r="A712" s="1703"/>
      <c r="F712" s="1"/>
      <c r="G712" s="1"/>
      <c r="H712" s="1"/>
      <c r="I712" s="1"/>
      <c r="L712" s="328"/>
      <c r="M712" s="328"/>
    </row>
    <row r="713" spans="1:13" customFormat="1" ht="13.2">
      <c r="A713" s="1703"/>
      <c r="F713" s="1"/>
      <c r="G713" s="1"/>
      <c r="H713" s="1"/>
      <c r="I713" s="1"/>
      <c r="L713" s="328"/>
      <c r="M713" s="328"/>
    </row>
    <row r="714" spans="1:13" customFormat="1" ht="13.2">
      <c r="A714" s="1703"/>
      <c r="F714" s="1"/>
      <c r="G714" s="1"/>
      <c r="H714" s="1"/>
      <c r="I714" s="1"/>
      <c r="L714" s="328"/>
      <c r="M714" s="328"/>
    </row>
    <row r="715" spans="1:13" customFormat="1" ht="13.2">
      <c r="A715" s="1703"/>
      <c r="F715" s="1"/>
      <c r="G715" s="1"/>
      <c r="H715" s="1"/>
      <c r="I715" s="1"/>
      <c r="L715" s="328"/>
      <c r="M715" s="328"/>
    </row>
    <row r="716" spans="1:13" customFormat="1" ht="13.2">
      <c r="A716" s="1703"/>
      <c r="F716" s="1"/>
      <c r="G716" s="1"/>
      <c r="H716" s="1"/>
      <c r="I716" s="1"/>
      <c r="L716" s="328"/>
      <c r="M716" s="328"/>
    </row>
    <row r="717" spans="1:13" customFormat="1" ht="13.2">
      <c r="A717" s="1703"/>
      <c r="F717" s="1"/>
      <c r="G717" s="1"/>
      <c r="H717" s="1"/>
      <c r="I717" s="1"/>
      <c r="L717" s="328"/>
      <c r="M717" s="328"/>
    </row>
    <row r="718" spans="1:13" customFormat="1" ht="13.2">
      <c r="A718" s="1703"/>
      <c r="F718" s="1"/>
      <c r="G718" s="1"/>
      <c r="H718" s="1"/>
      <c r="I718" s="1"/>
      <c r="L718" s="328"/>
      <c r="M718" s="328"/>
    </row>
    <row r="719" spans="1:13" customFormat="1" ht="13.2">
      <c r="A719" s="1703"/>
      <c r="F719" s="1"/>
      <c r="G719" s="1"/>
      <c r="H719" s="1"/>
      <c r="I719" s="1"/>
      <c r="L719" s="328"/>
      <c r="M719" s="328"/>
    </row>
    <row r="720" spans="1:13" customFormat="1" ht="13.2">
      <c r="A720" s="1703"/>
      <c r="F720" s="1"/>
      <c r="G720" s="1"/>
      <c r="H720" s="1"/>
      <c r="I720" s="1"/>
      <c r="L720" s="328"/>
      <c r="M720" s="328"/>
    </row>
    <row r="721" spans="1:13" customFormat="1" ht="13.2">
      <c r="A721" s="1703"/>
      <c r="F721" s="1"/>
      <c r="G721" s="1"/>
      <c r="H721" s="1"/>
      <c r="I721" s="1"/>
      <c r="L721" s="328"/>
      <c r="M721" s="328"/>
    </row>
    <row r="722" spans="1:13" customFormat="1" ht="13.2">
      <c r="A722" s="1703"/>
      <c r="F722" s="1"/>
      <c r="G722" s="1"/>
      <c r="H722" s="1"/>
      <c r="I722" s="1"/>
      <c r="L722" s="328"/>
      <c r="M722" s="328"/>
    </row>
    <row r="723" spans="1:13" customFormat="1" ht="13.2">
      <c r="A723" s="1703"/>
      <c r="F723" s="1"/>
      <c r="G723" s="1"/>
      <c r="H723" s="1"/>
      <c r="I723" s="1"/>
      <c r="L723" s="328"/>
      <c r="M723" s="328"/>
    </row>
    <row r="724" spans="1:13" customFormat="1" ht="13.2">
      <c r="A724" s="1703"/>
      <c r="F724" s="1"/>
      <c r="G724" s="1"/>
      <c r="H724" s="1"/>
      <c r="I724" s="1"/>
      <c r="L724" s="328"/>
      <c r="M724" s="328"/>
    </row>
    <row r="725" spans="1:13" customFormat="1" ht="13.2">
      <c r="A725" s="1703"/>
      <c r="F725" s="1"/>
      <c r="G725" s="1"/>
      <c r="H725" s="1"/>
      <c r="I725" s="1"/>
      <c r="L725" s="328"/>
      <c r="M725" s="328"/>
    </row>
    <row r="726" spans="1:13" customFormat="1" ht="13.2">
      <c r="A726" s="1703"/>
      <c r="F726" s="1"/>
      <c r="G726" s="1"/>
      <c r="H726" s="1"/>
      <c r="I726" s="1"/>
      <c r="L726" s="328"/>
      <c r="M726" s="328"/>
    </row>
    <row r="727" spans="1:13" customFormat="1" ht="13.2">
      <c r="A727" s="1703"/>
      <c r="F727" s="1"/>
      <c r="G727" s="1"/>
      <c r="H727" s="1"/>
      <c r="I727" s="1"/>
      <c r="L727" s="328"/>
      <c r="M727" s="328"/>
    </row>
    <row r="728" spans="1:13" customFormat="1" ht="13.2">
      <c r="A728" s="1703"/>
      <c r="F728" s="1"/>
      <c r="G728" s="1"/>
      <c r="H728" s="1"/>
      <c r="I728" s="1"/>
      <c r="L728" s="328"/>
      <c r="M728" s="328"/>
    </row>
    <row r="729" spans="1:13" customFormat="1" ht="13.2">
      <c r="A729" s="1703"/>
      <c r="F729" s="1"/>
      <c r="G729" s="1"/>
      <c r="H729" s="1"/>
      <c r="I729" s="1"/>
      <c r="L729" s="328"/>
      <c r="M729" s="328"/>
    </row>
    <row r="730" spans="1:13" customFormat="1" ht="13.2">
      <c r="A730" s="1703"/>
      <c r="F730" s="1"/>
      <c r="G730" s="1"/>
      <c r="H730" s="1"/>
      <c r="I730" s="1"/>
      <c r="L730" s="328"/>
      <c r="M730" s="328"/>
    </row>
    <row r="731" spans="1:13" customFormat="1" ht="13.2">
      <c r="A731" s="1703"/>
      <c r="F731" s="1"/>
      <c r="G731" s="1"/>
      <c r="H731" s="1"/>
      <c r="I731" s="1"/>
      <c r="L731" s="328"/>
      <c r="M731" s="328"/>
    </row>
    <row r="732" spans="1:13" customFormat="1" ht="13.2">
      <c r="A732" s="1703"/>
      <c r="F732" s="1"/>
      <c r="G732" s="1"/>
      <c r="H732" s="1"/>
      <c r="I732" s="1"/>
      <c r="L732" s="328"/>
      <c r="M732" s="328"/>
    </row>
    <row r="733" spans="1:13" customFormat="1" ht="13.2">
      <c r="A733" s="1703"/>
      <c r="F733" s="1"/>
      <c r="G733" s="1"/>
      <c r="H733" s="1"/>
      <c r="I733" s="1"/>
      <c r="L733" s="328"/>
      <c r="M733" s="328"/>
    </row>
    <row r="734" spans="1:13" customFormat="1" ht="13.2">
      <c r="A734" s="1703"/>
      <c r="F734" s="1"/>
      <c r="G734" s="1"/>
      <c r="H734" s="1"/>
      <c r="I734" s="1"/>
      <c r="L734" s="328"/>
      <c r="M734" s="328"/>
    </row>
    <row r="735" spans="1:13" customFormat="1" ht="13.2">
      <c r="A735" s="1703"/>
      <c r="F735" s="1"/>
      <c r="G735" s="1"/>
      <c r="H735" s="1"/>
      <c r="I735" s="1"/>
      <c r="L735" s="328"/>
      <c r="M735" s="328"/>
    </row>
    <row r="736" spans="1:13" customFormat="1" ht="13.2">
      <c r="A736" s="1703"/>
      <c r="F736" s="1"/>
      <c r="G736" s="1"/>
      <c r="H736" s="1"/>
      <c r="I736" s="1"/>
      <c r="L736" s="328"/>
      <c r="M736" s="328"/>
    </row>
    <row r="737" spans="1:13" customFormat="1" ht="13.2">
      <c r="A737" s="1703"/>
      <c r="F737" s="1"/>
      <c r="G737" s="1"/>
      <c r="H737" s="1"/>
      <c r="I737" s="1"/>
      <c r="L737" s="328"/>
      <c r="M737" s="328"/>
    </row>
    <row r="738" spans="1:13" customFormat="1" ht="13.2">
      <c r="A738" s="1703"/>
      <c r="F738" s="1"/>
      <c r="G738" s="1"/>
      <c r="H738" s="1"/>
      <c r="I738" s="1"/>
      <c r="L738" s="328"/>
      <c r="M738" s="328"/>
    </row>
    <row r="739" spans="1:13" customFormat="1" ht="13.2">
      <c r="A739" s="1703"/>
      <c r="F739" s="1"/>
      <c r="G739" s="1"/>
      <c r="H739" s="1"/>
      <c r="I739" s="1"/>
      <c r="L739" s="328"/>
      <c r="M739" s="328"/>
    </row>
    <row r="740" spans="1:13" customFormat="1" ht="13.2">
      <c r="A740" s="1703"/>
      <c r="F740" s="1"/>
      <c r="G740" s="1"/>
      <c r="H740" s="1"/>
      <c r="I740" s="1"/>
      <c r="L740" s="328"/>
      <c r="M740" s="328"/>
    </row>
    <row r="741" spans="1:13" customFormat="1" ht="13.2">
      <c r="A741" s="1703"/>
      <c r="F741" s="1"/>
      <c r="G741" s="1"/>
      <c r="H741" s="1"/>
      <c r="I741" s="1"/>
      <c r="L741" s="328"/>
      <c r="M741" s="328"/>
    </row>
    <row r="742" spans="1:13" customFormat="1" ht="13.2">
      <c r="A742" s="1703"/>
      <c r="F742" s="1"/>
      <c r="G742" s="1"/>
      <c r="H742" s="1"/>
      <c r="I742" s="1"/>
      <c r="L742" s="328"/>
      <c r="M742" s="328"/>
    </row>
    <row r="743" spans="1:13" customFormat="1" ht="13.2">
      <c r="A743" s="1703"/>
      <c r="F743" s="1"/>
      <c r="G743" s="1"/>
      <c r="H743" s="1"/>
      <c r="I743" s="1"/>
      <c r="L743" s="328"/>
      <c r="M743" s="328"/>
    </row>
    <row r="744" spans="1:13" customFormat="1" ht="13.2">
      <c r="A744" s="1703"/>
      <c r="F744" s="1"/>
      <c r="G744" s="1"/>
      <c r="H744" s="1"/>
      <c r="I744" s="1"/>
      <c r="L744" s="328"/>
      <c r="M744" s="328"/>
    </row>
    <row r="745" spans="1:13" customFormat="1" ht="13.2">
      <c r="A745" s="1703"/>
      <c r="F745" s="1"/>
      <c r="G745" s="1"/>
      <c r="H745" s="1"/>
      <c r="I745" s="1"/>
      <c r="L745" s="328"/>
      <c r="M745" s="328"/>
    </row>
    <row r="746" spans="1:13" customFormat="1" ht="13.2">
      <c r="A746" s="1703"/>
      <c r="F746" s="1"/>
      <c r="G746" s="1"/>
      <c r="H746" s="1"/>
      <c r="I746" s="1"/>
      <c r="L746" s="328"/>
      <c r="M746" s="328"/>
    </row>
    <row r="747" spans="1:13" customFormat="1" ht="13.2">
      <c r="A747" s="1703"/>
      <c r="F747" s="1"/>
      <c r="G747" s="1"/>
      <c r="H747" s="1"/>
      <c r="I747" s="1"/>
      <c r="L747" s="328"/>
      <c r="M747" s="328"/>
    </row>
    <row r="748" spans="1:13" customFormat="1" ht="13.2">
      <c r="A748" s="1703"/>
      <c r="F748" s="1"/>
      <c r="G748" s="1"/>
      <c r="H748" s="1"/>
      <c r="I748" s="1"/>
      <c r="L748" s="328"/>
      <c r="M748" s="328"/>
    </row>
    <row r="749" spans="1:13" customFormat="1" ht="13.2">
      <c r="A749" s="1703"/>
      <c r="F749" s="1"/>
      <c r="G749" s="1"/>
      <c r="H749" s="1"/>
      <c r="I749" s="1"/>
      <c r="L749" s="328"/>
      <c r="M749" s="328"/>
    </row>
    <row r="750" spans="1:13" customFormat="1" ht="13.2">
      <c r="A750" s="1703"/>
      <c r="F750" s="1"/>
      <c r="G750" s="1"/>
      <c r="H750" s="1"/>
      <c r="I750" s="1"/>
      <c r="L750" s="328"/>
      <c r="M750" s="328"/>
    </row>
    <row r="751" spans="1:13" customFormat="1" ht="13.2">
      <c r="A751" s="1703"/>
      <c r="F751" s="1"/>
      <c r="G751" s="1"/>
      <c r="H751" s="1"/>
      <c r="I751" s="1"/>
      <c r="L751" s="328"/>
      <c r="M751" s="328"/>
    </row>
    <row r="752" spans="1:13" customFormat="1" ht="13.2">
      <c r="A752" s="1703"/>
      <c r="F752" s="1"/>
      <c r="G752" s="1"/>
      <c r="H752" s="1"/>
      <c r="I752" s="1"/>
      <c r="L752" s="328"/>
      <c r="M752" s="328"/>
    </row>
    <row r="753" spans="1:13" customFormat="1" ht="13.2">
      <c r="A753" s="1703"/>
      <c r="F753" s="1"/>
      <c r="G753" s="1"/>
      <c r="H753" s="1"/>
      <c r="I753" s="1"/>
      <c r="L753" s="328"/>
      <c r="M753" s="328"/>
    </row>
    <row r="754" spans="1:13" customFormat="1" ht="13.2">
      <c r="A754" s="1703"/>
      <c r="F754" s="1"/>
      <c r="G754" s="1"/>
      <c r="H754" s="1"/>
      <c r="I754" s="1"/>
      <c r="L754" s="328"/>
      <c r="M754" s="328"/>
    </row>
    <row r="755" spans="1:13" customFormat="1" ht="13.2">
      <c r="A755" s="1703"/>
      <c r="F755" s="1"/>
      <c r="G755" s="1"/>
      <c r="H755" s="1"/>
      <c r="I755" s="1"/>
      <c r="L755" s="328"/>
      <c r="M755" s="328"/>
    </row>
    <row r="756" spans="1:13" customFormat="1" ht="13.2">
      <c r="A756" s="1703"/>
      <c r="F756" s="1"/>
      <c r="G756" s="1"/>
      <c r="H756" s="1"/>
      <c r="I756" s="1"/>
      <c r="L756" s="328"/>
      <c r="M756" s="328"/>
    </row>
    <row r="757" spans="1:13" customFormat="1" ht="13.2">
      <c r="A757" s="1703"/>
      <c r="F757" s="1"/>
      <c r="G757" s="1"/>
      <c r="H757" s="1"/>
      <c r="I757" s="1"/>
      <c r="L757" s="328"/>
      <c r="M757" s="328"/>
    </row>
    <row r="758" spans="1:13" customFormat="1" ht="13.2">
      <c r="A758" s="1703"/>
      <c r="F758" s="1"/>
      <c r="G758" s="1"/>
      <c r="H758" s="1"/>
      <c r="I758" s="1"/>
      <c r="L758" s="328"/>
      <c r="M758" s="328"/>
    </row>
    <row r="759" spans="1:13" customFormat="1" ht="13.2">
      <c r="A759" s="1703"/>
      <c r="F759" s="1"/>
      <c r="G759" s="1"/>
      <c r="H759" s="1"/>
      <c r="I759" s="1"/>
      <c r="L759" s="328"/>
      <c r="M759" s="328"/>
    </row>
    <row r="760" spans="1:13" customFormat="1" ht="13.2">
      <c r="A760" s="1703"/>
      <c r="F760" s="1"/>
      <c r="G760" s="1"/>
      <c r="H760" s="1"/>
      <c r="I760" s="1"/>
      <c r="L760" s="328"/>
      <c r="M760" s="328"/>
    </row>
    <row r="761" spans="1:13" customFormat="1" ht="13.2">
      <c r="A761" s="1703"/>
      <c r="F761" s="1"/>
      <c r="G761" s="1"/>
      <c r="H761" s="1"/>
      <c r="I761" s="1"/>
      <c r="L761" s="328"/>
      <c r="M761" s="328"/>
    </row>
    <row r="762" spans="1:13" customFormat="1" ht="13.2">
      <c r="A762" s="1703"/>
      <c r="F762" s="1"/>
      <c r="G762" s="1"/>
      <c r="H762" s="1"/>
      <c r="I762" s="1"/>
      <c r="L762" s="328"/>
      <c r="M762" s="328"/>
    </row>
    <row r="763" spans="1:13" customFormat="1" ht="13.2">
      <c r="A763" s="1703"/>
      <c r="F763" s="1"/>
      <c r="G763" s="1"/>
      <c r="H763" s="1"/>
      <c r="I763" s="1"/>
      <c r="L763" s="328"/>
      <c r="M763" s="328"/>
    </row>
    <row r="764" spans="1:13" customFormat="1" ht="13.2">
      <c r="A764" s="1703"/>
      <c r="F764" s="1"/>
      <c r="G764" s="1"/>
      <c r="H764" s="1"/>
      <c r="I764" s="1"/>
      <c r="L764" s="328"/>
      <c r="M764" s="328"/>
    </row>
    <row r="765" spans="1:13" customFormat="1" ht="13.2">
      <c r="A765" s="1703"/>
      <c r="F765" s="1"/>
      <c r="G765" s="1"/>
      <c r="H765" s="1"/>
      <c r="I765" s="1"/>
      <c r="L765" s="328"/>
      <c r="M765" s="328"/>
    </row>
    <row r="766" spans="1:13" customFormat="1" ht="13.2">
      <c r="A766" s="1703"/>
      <c r="F766" s="1"/>
      <c r="G766" s="1"/>
      <c r="H766" s="1"/>
      <c r="I766" s="1"/>
      <c r="L766" s="328"/>
      <c r="M766" s="328"/>
    </row>
    <row r="767" spans="1:13" customFormat="1" ht="13.2">
      <c r="A767" s="1703"/>
      <c r="F767" s="1"/>
      <c r="G767" s="1"/>
      <c r="H767" s="1"/>
      <c r="I767" s="1"/>
      <c r="L767" s="328"/>
      <c r="M767" s="328"/>
    </row>
    <row r="768" spans="1:13" customFormat="1" ht="13.2">
      <c r="A768" s="1703"/>
      <c r="F768" s="1"/>
      <c r="G768" s="1"/>
      <c r="H768" s="1"/>
      <c r="I768" s="1"/>
      <c r="L768" s="328"/>
      <c r="M768" s="328"/>
    </row>
    <row r="769" spans="1:13" customFormat="1" ht="13.2">
      <c r="A769" s="1703"/>
      <c r="F769" s="1"/>
      <c r="G769" s="1"/>
      <c r="H769" s="1"/>
      <c r="I769" s="1"/>
      <c r="L769" s="328"/>
      <c r="M769" s="328"/>
    </row>
    <row r="770" spans="1:13" customFormat="1" ht="13.2">
      <c r="A770" s="1703"/>
      <c r="F770" s="1"/>
      <c r="G770" s="1"/>
      <c r="H770" s="1"/>
      <c r="I770" s="1"/>
      <c r="L770" s="328"/>
      <c r="M770" s="328"/>
    </row>
    <row r="771" spans="1:13" customFormat="1" ht="13.2">
      <c r="A771" s="1703"/>
      <c r="F771" s="1"/>
      <c r="G771" s="1"/>
      <c r="H771" s="1"/>
      <c r="I771" s="1"/>
      <c r="L771" s="328"/>
      <c r="M771" s="328"/>
    </row>
    <row r="772" spans="1:13" customFormat="1" ht="13.2">
      <c r="A772" s="1703"/>
      <c r="F772" s="1"/>
      <c r="G772" s="1"/>
      <c r="H772" s="1"/>
      <c r="I772" s="1"/>
      <c r="L772" s="328"/>
      <c r="M772" s="328"/>
    </row>
    <row r="773" spans="1:13" customFormat="1" ht="13.2">
      <c r="A773" s="1703"/>
      <c r="F773" s="1"/>
      <c r="G773" s="1"/>
      <c r="H773" s="1"/>
      <c r="I773" s="1"/>
      <c r="L773" s="328"/>
      <c r="M773" s="328"/>
    </row>
    <row r="774" spans="1:13" customFormat="1" ht="13.2">
      <c r="A774" s="1703"/>
      <c r="F774" s="1"/>
      <c r="G774" s="1"/>
      <c r="H774" s="1"/>
      <c r="I774" s="1"/>
      <c r="L774" s="328"/>
      <c r="M774" s="328"/>
    </row>
    <row r="775" spans="1:13" customFormat="1" ht="13.2">
      <c r="A775" s="1703"/>
      <c r="F775" s="1"/>
      <c r="G775" s="1"/>
      <c r="H775" s="1"/>
      <c r="I775" s="1"/>
      <c r="L775" s="328"/>
      <c r="M775" s="328"/>
    </row>
    <row r="776" spans="1:13" customFormat="1" ht="13.2">
      <c r="A776" s="1703"/>
      <c r="F776" s="1"/>
      <c r="G776" s="1"/>
      <c r="H776" s="1"/>
      <c r="I776" s="1"/>
      <c r="L776" s="328"/>
      <c r="M776" s="328"/>
    </row>
    <row r="777" spans="1:13" customFormat="1" ht="13.2">
      <c r="A777" s="1703"/>
      <c r="F777" s="1"/>
      <c r="G777" s="1"/>
      <c r="H777" s="1"/>
      <c r="I777" s="1"/>
      <c r="L777" s="328"/>
      <c r="M777" s="328"/>
    </row>
    <row r="778" spans="1:13" customFormat="1" ht="13.2">
      <c r="A778" s="1703"/>
      <c r="F778" s="1"/>
      <c r="G778" s="1"/>
      <c r="H778" s="1"/>
      <c r="I778" s="1"/>
      <c r="L778" s="328"/>
      <c r="M778" s="328"/>
    </row>
    <row r="779" spans="1:13" customFormat="1" ht="13.2">
      <c r="A779" s="1703"/>
      <c r="F779" s="1"/>
      <c r="G779" s="1"/>
      <c r="H779" s="1"/>
      <c r="I779" s="1"/>
      <c r="L779" s="328"/>
      <c r="M779" s="328"/>
    </row>
    <row r="780" spans="1:13" customFormat="1" ht="13.2">
      <c r="A780" s="1703"/>
      <c r="F780" s="1"/>
      <c r="G780" s="1"/>
      <c r="H780" s="1"/>
      <c r="I780" s="1"/>
      <c r="L780" s="328"/>
      <c r="M780" s="328"/>
    </row>
    <row r="781" spans="1:13" customFormat="1" ht="13.2">
      <c r="A781" s="1703"/>
      <c r="F781" s="1"/>
      <c r="G781" s="1"/>
      <c r="H781" s="1"/>
      <c r="I781" s="1"/>
      <c r="L781" s="328"/>
      <c r="M781" s="328"/>
    </row>
    <row r="782" spans="1:13" customFormat="1" ht="13.2">
      <c r="A782" s="1703"/>
      <c r="F782" s="1"/>
      <c r="G782" s="1"/>
      <c r="H782" s="1"/>
      <c r="I782" s="1"/>
      <c r="L782" s="328"/>
      <c r="M782" s="328"/>
    </row>
    <row r="783" spans="1:13" customFormat="1" ht="13.2">
      <c r="A783" s="1703"/>
      <c r="F783" s="1"/>
      <c r="G783" s="1"/>
      <c r="H783" s="1"/>
      <c r="I783" s="1"/>
      <c r="L783" s="328"/>
      <c r="M783" s="328"/>
    </row>
    <row r="784" spans="1:13" customFormat="1" ht="13.2">
      <c r="A784" s="1703"/>
      <c r="F784" s="1"/>
      <c r="G784" s="1"/>
      <c r="H784" s="1"/>
      <c r="I784" s="1"/>
      <c r="L784" s="328"/>
      <c r="M784" s="328"/>
    </row>
    <row r="785" spans="1:13" customFormat="1" ht="13.2">
      <c r="A785" s="1703"/>
      <c r="F785" s="1"/>
      <c r="G785" s="1"/>
      <c r="H785" s="1"/>
      <c r="I785" s="1"/>
      <c r="L785" s="328"/>
      <c r="M785" s="328"/>
    </row>
    <row r="786" spans="1:13" customFormat="1" ht="13.2">
      <c r="A786" s="1703"/>
      <c r="F786" s="1"/>
      <c r="G786" s="1"/>
      <c r="H786" s="1"/>
      <c r="I786" s="1"/>
      <c r="L786" s="328"/>
      <c r="M786" s="328"/>
    </row>
    <row r="787" spans="1:13" customFormat="1" ht="13.2">
      <c r="A787" s="1703"/>
      <c r="F787" s="1"/>
      <c r="G787" s="1"/>
      <c r="H787" s="1"/>
      <c r="I787" s="1"/>
      <c r="L787" s="328"/>
      <c r="M787" s="328"/>
    </row>
    <row r="788" spans="1:13" customFormat="1" ht="13.2">
      <c r="A788" s="1703"/>
      <c r="F788" s="1"/>
      <c r="G788" s="1"/>
      <c r="H788" s="1"/>
      <c r="I788" s="1"/>
      <c r="L788" s="328"/>
      <c r="M788" s="328"/>
    </row>
    <row r="789" spans="1:13" customFormat="1" ht="13.2">
      <c r="A789" s="1703"/>
      <c r="F789" s="1"/>
      <c r="G789" s="1"/>
      <c r="H789" s="1"/>
      <c r="I789" s="1"/>
      <c r="L789" s="328"/>
      <c r="M789" s="328"/>
    </row>
    <row r="790" spans="1:13" customFormat="1" ht="13.2">
      <c r="A790" s="1703"/>
      <c r="F790" s="1"/>
      <c r="G790" s="1"/>
      <c r="H790" s="1"/>
      <c r="I790" s="1"/>
      <c r="L790" s="328"/>
      <c r="M790" s="328"/>
    </row>
    <row r="791" spans="1:13" customFormat="1" ht="13.2">
      <c r="A791" s="1703"/>
      <c r="F791" s="1"/>
      <c r="G791" s="1"/>
      <c r="H791" s="1"/>
      <c r="I791" s="1"/>
      <c r="L791" s="328"/>
      <c r="M791" s="328"/>
    </row>
    <row r="792" spans="1:13" customFormat="1" ht="13.2">
      <c r="A792" s="1703"/>
      <c r="F792" s="1"/>
      <c r="G792" s="1"/>
      <c r="H792" s="1"/>
      <c r="I792" s="1"/>
      <c r="L792" s="328"/>
      <c r="M792" s="328"/>
    </row>
    <row r="793" spans="1:13" customFormat="1" ht="13.2">
      <c r="A793" s="1703"/>
      <c r="F793" s="1"/>
      <c r="G793" s="1"/>
      <c r="H793" s="1"/>
      <c r="I793" s="1"/>
      <c r="L793" s="328"/>
      <c r="M793" s="328"/>
    </row>
    <row r="794" spans="1:13" customFormat="1" ht="13.2">
      <c r="A794" s="1703"/>
      <c r="F794" s="1"/>
      <c r="G794" s="1"/>
      <c r="H794" s="1"/>
      <c r="I794" s="1"/>
      <c r="L794" s="328"/>
      <c r="M794" s="328"/>
    </row>
    <row r="795" spans="1:13" customFormat="1" ht="13.2">
      <c r="A795" s="1703"/>
      <c r="F795" s="1"/>
      <c r="G795" s="1"/>
      <c r="H795" s="1"/>
      <c r="I795" s="1"/>
      <c r="L795" s="328"/>
      <c r="M795" s="328"/>
    </row>
    <row r="796" spans="1:13" customFormat="1" ht="13.2">
      <c r="A796" s="1703"/>
      <c r="F796" s="1"/>
      <c r="G796" s="1"/>
      <c r="H796" s="1"/>
      <c r="I796" s="1"/>
      <c r="L796" s="328"/>
      <c r="M796" s="328"/>
    </row>
    <row r="797" spans="1:13" customFormat="1" ht="13.2">
      <c r="A797" s="1703"/>
      <c r="F797" s="1"/>
      <c r="G797" s="1"/>
      <c r="H797" s="1"/>
      <c r="I797" s="1"/>
      <c r="L797" s="328"/>
      <c r="M797" s="328"/>
    </row>
    <row r="798" spans="1:13" customFormat="1" ht="13.2">
      <c r="A798" s="1703"/>
      <c r="F798" s="1"/>
      <c r="G798" s="1"/>
      <c r="H798" s="1"/>
      <c r="I798" s="1"/>
      <c r="L798" s="328"/>
      <c r="M798" s="328"/>
    </row>
    <row r="799" spans="1:13" customFormat="1" ht="13.2">
      <c r="A799" s="1703"/>
      <c r="F799" s="1"/>
      <c r="G799" s="1"/>
      <c r="H799" s="1"/>
      <c r="I799" s="1"/>
      <c r="L799" s="328"/>
      <c r="M799" s="328"/>
    </row>
    <row r="800" spans="1:13" customFormat="1" ht="13.2">
      <c r="A800" s="1703"/>
      <c r="F800" s="1"/>
      <c r="G800" s="1"/>
      <c r="H800" s="1"/>
      <c r="I800" s="1"/>
      <c r="L800" s="328"/>
      <c r="M800" s="328"/>
    </row>
    <row r="801" spans="1:13" customFormat="1" ht="13.2">
      <c r="A801" s="1703"/>
      <c r="F801" s="1"/>
      <c r="G801" s="1"/>
      <c r="H801" s="1"/>
      <c r="I801" s="1"/>
      <c r="L801" s="328"/>
      <c r="M801" s="328"/>
    </row>
    <row r="802" spans="1:13" customFormat="1" ht="13.2">
      <c r="A802" s="1703"/>
      <c r="F802" s="1"/>
      <c r="G802" s="1"/>
      <c r="H802" s="1"/>
      <c r="I802" s="1"/>
      <c r="L802" s="328"/>
      <c r="M802" s="328"/>
    </row>
    <row r="803" spans="1:13" customFormat="1" ht="13.2">
      <c r="A803" s="1703"/>
      <c r="F803" s="1"/>
      <c r="G803" s="1"/>
      <c r="H803" s="1"/>
      <c r="I803" s="1"/>
      <c r="L803" s="328"/>
      <c r="M803" s="328"/>
    </row>
    <row r="804" spans="1:13" customFormat="1" ht="13.2">
      <c r="A804" s="1703"/>
      <c r="F804" s="1"/>
      <c r="G804" s="1"/>
      <c r="H804" s="1"/>
      <c r="I804" s="1"/>
      <c r="L804" s="328"/>
      <c r="M804" s="328"/>
    </row>
    <row r="805" spans="1:13" customFormat="1" ht="13.2">
      <c r="A805" s="1703"/>
      <c r="F805" s="1"/>
      <c r="G805" s="1"/>
      <c r="H805" s="1"/>
      <c r="I805" s="1"/>
      <c r="L805" s="328"/>
      <c r="M805" s="328"/>
    </row>
    <row r="806" spans="1:13" customFormat="1" ht="13.2">
      <c r="A806" s="1703"/>
      <c r="F806" s="1"/>
      <c r="G806" s="1"/>
      <c r="H806" s="1"/>
      <c r="I806" s="1"/>
      <c r="L806" s="328"/>
      <c r="M806" s="328"/>
    </row>
    <row r="807" spans="1:13" customFormat="1" ht="13.2">
      <c r="A807" s="1703"/>
      <c r="F807" s="1"/>
      <c r="G807" s="1"/>
      <c r="H807" s="1"/>
      <c r="I807" s="1"/>
      <c r="L807" s="328"/>
      <c r="M807" s="328"/>
    </row>
    <row r="808" spans="1:13" customFormat="1" ht="13.2">
      <c r="A808" s="1703"/>
      <c r="F808" s="1"/>
      <c r="G808" s="1"/>
      <c r="H808" s="1"/>
      <c r="I808" s="1"/>
      <c r="L808" s="328"/>
      <c r="M808" s="328"/>
    </row>
    <row r="809" spans="1:13" customFormat="1" ht="13.2">
      <c r="A809" s="1703"/>
      <c r="F809" s="1"/>
      <c r="G809" s="1"/>
      <c r="H809" s="1"/>
      <c r="I809" s="1"/>
      <c r="L809" s="328"/>
      <c r="M809" s="328"/>
    </row>
    <row r="810" spans="1:13" customFormat="1" ht="13.2">
      <c r="A810" s="1703"/>
      <c r="F810" s="1"/>
      <c r="G810" s="1"/>
      <c r="H810" s="1"/>
      <c r="I810" s="1"/>
      <c r="L810" s="328"/>
      <c r="M810" s="328"/>
    </row>
    <row r="811" spans="1:13" customFormat="1" ht="13.2">
      <c r="A811" s="1703"/>
      <c r="F811" s="1"/>
      <c r="G811" s="1"/>
      <c r="H811" s="1"/>
      <c r="I811" s="1"/>
      <c r="L811" s="328"/>
      <c r="M811" s="328"/>
    </row>
    <row r="812" spans="1:13" customFormat="1" ht="13.2">
      <c r="A812" s="1703"/>
      <c r="F812" s="1"/>
      <c r="G812" s="1"/>
      <c r="H812" s="1"/>
      <c r="I812" s="1"/>
      <c r="L812" s="328"/>
      <c r="M812" s="328"/>
    </row>
    <row r="813" spans="1:13" customFormat="1" ht="13.2">
      <c r="A813" s="1703"/>
      <c r="F813" s="1"/>
      <c r="G813" s="1"/>
      <c r="H813" s="1"/>
      <c r="I813" s="1"/>
      <c r="L813" s="328"/>
      <c r="M813" s="328"/>
    </row>
    <row r="814" spans="1:13" customFormat="1" ht="13.2">
      <c r="A814" s="1703"/>
      <c r="F814" s="1"/>
      <c r="G814" s="1"/>
      <c r="H814" s="1"/>
      <c r="I814" s="1"/>
      <c r="L814" s="328"/>
      <c r="M814" s="328"/>
    </row>
    <row r="815" spans="1:13" customFormat="1" ht="13.2">
      <c r="A815" s="1703"/>
      <c r="F815" s="1"/>
      <c r="G815" s="1"/>
      <c r="H815" s="1"/>
      <c r="I815" s="1"/>
      <c r="L815" s="328"/>
      <c r="M815" s="328"/>
    </row>
    <row r="816" spans="1:13" customFormat="1" ht="13.2">
      <c r="A816" s="1703"/>
      <c r="F816" s="1"/>
      <c r="G816" s="1"/>
      <c r="H816" s="1"/>
      <c r="I816" s="1"/>
      <c r="L816" s="328"/>
      <c r="M816" s="328"/>
    </row>
    <row r="817" spans="1:13" customFormat="1" ht="13.2">
      <c r="A817" s="1703"/>
      <c r="F817" s="1"/>
      <c r="G817" s="1"/>
      <c r="H817" s="1"/>
      <c r="I817" s="1"/>
      <c r="L817" s="328"/>
      <c r="M817" s="328"/>
    </row>
    <row r="818" spans="1:13" customFormat="1" ht="13.2">
      <c r="A818" s="1703"/>
      <c r="F818" s="1"/>
      <c r="G818" s="1"/>
      <c r="H818" s="1"/>
      <c r="I818" s="1"/>
      <c r="L818" s="328"/>
      <c r="M818" s="328"/>
    </row>
    <row r="819" spans="1:13" customFormat="1" ht="13.2">
      <c r="A819" s="1703"/>
      <c r="F819" s="1"/>
      <c r="G819" s="1"/>
      <c r="H819" s="1"/>
      <c r="I819" s="1"/>
      <c r="L819" s="328"/>
      <c r="M819" s="328"/>
    </row>
    <row r="820" spans="1:13" customFormat="1" ht="13.2">
      <c r="A820" s="1703"/>
      <c r="F820" s="1"/>
      <c r="G820" s="1"/>
      <c r="H820" s="1"/>
      <c r="I820" s="1"/>
      <c r="L820" s="328"/>
      <c r="M820" s="328"/>
    </row>
    <row r="821" spans="1:13" customFormat="1" ht="13.2">
      <c r="A821" s="1703"/>
      <c r="F821" s="1"/>
      <c r="G821" s="1"/>
      <c r="H821" s="1"/>
      <c r="I821" s="1"/>
      <c r="L821" s="328"/>
      <c r="M821" s="328"/>
    </row>
    <row r="822" spans="1:13" customFormat="1" ht="13.2">
      <c r="A822" s="1703"/>
      <c r="F822" s="1"/>
      <c r="G822" s="1"/>
      <c r="H822" s="1"/>
      <c r="I822" s="1"/>
      <c r="L822" s="328"/>
      <c r="M822" s="328"/>
    </row>
    <row r="823" spans="1:13" customFormat="1" ht="13.2">
      <c r="A823" s="1703"/>
      <c r="F823" s="1"/>
      <c r="G823" s="1"/>
      <c r="H823" s="1"/>
      <c r="I823" s="1"/>
      <c r="L823" s="328"/>
      <c r="M823" s="328"/>
    </row>
    <row r="824" spans="1:13" customFormat="1" ht="13.2">
      <c r="A824" s="1703"/>
      <c r="F824" s="1"/>
      <c r="G824" s="1"/>
      <c r="H824" s="1"/>
      <c r="I824" s="1"/>
      <c r="L824" s="328"/>
      <c r="M824" s="328"/>
    </row>
    <row r="825" spans="1:13" customFormat="1" ht="13.2">
      <c r="A825" s="1703"/>
      <c r="F825" s="1"/>
      <c r="G825" s="1"/>
      <c r="H825" s="1"/>
      <c r="I825" s="1"/>
      <c r="L825" s="328"/>
      <c r="M825" s="328"/>
    </row>
    <row r="826" spans="1:13" customFormat="1" ht="13.2">
      <c r="A826" s="1703"/>
      <c r="F826" s="1"/>
      <c r="G826" s="1"/>
      <c r="H826" s="1"/>
      <c r="I826" s="1"/>
      <c r="L826" s="328"/>
      <c r="M826" s="328"/>
    </row>
    <row r="827" spans="1:13" customFormat="1" ht="13.2">
      <c r="A827" s="1703"/>
      <c r="F827" s="1"/>
      <c r="G827" s="1"/>
      <c r="H827" s="1"/>
      <c r="I827" s="1"/>
      <c r="L827" s="328"/>
      <c r="M827" s="328"/>
    </row>
    <row r="828" spans="1:13" customFormat="1" ht="13.2">
      <c r="A828" s="1703"/>
      <c r="F828" s="1"/>
      <c r="G828" s="1"/>
      <c r="H828" s="1"/>
      <c r="I828" s="1"/>
      <c r="L828" s="328"/>
      <c r="M828" s="328"/>
    </row>
    <row r="829" spans="1:13" customFormat="1" ht="13.2">
      <c r="A829" s="1703"/>
      <c r="F829" s="1"/>
      <c r="G829" s="1"/>
      <c r="H829" s="1"/>
      <c r="I829" s="1"/>
      <c r="L829" s="328"/>
      <c r="M829" s="328"/>
    </row>
    <row r="830" spans="1:13" customFormat="1" ht="13.2">
      <c r="A830" s="1703"/>
      <c r="F830" s="1"/>
      <c r="G830" s="1"/>
      <c r="H830" s="1"/>
      <c r="I830" s="1"/>
      <c r="L830" s="328"/>
      <c r="M830" s="328"/>
    </row>
    <row r="831" spans="1:13" customFormat="1" ht="13.2">
      <c r="A831" s="1703"/>
      <c r="F831" s="1"/>
      <c r="G831" s="1"/>
      <c r="H831" s="1"/>
      <c r="I831" s="1"/>
      <c r="L831" s="328"/>
      <c r="M831" s="328"/>
    </row>
    <row r="832" spans="1:13" customFormat="1" ht="13.2">
      <c r="A832" s="1703"/>
      <c r="F832" s="1"/>
      <c r="G832" s="1"/>
      <c r="H832" s="1"/>
      <c r="I832" s="1"/>
      <c r="L832" s="328"/>
      <c r="M832" s="328"/>
    </row>
    <row r="833" spans="1:13" customFormat="1" ht="13.2">
      <c r="A833" s="1703"/>
      <c r="F833" s="1"/>
      <c r="G833" s="1"/>
      <c r="H833" s="1"/>
      <c r="I833" s="1"/>
      <c r="L833" s="328"/>
      <c r="M833" s="328"/>
    </row>
    <row r="834" spans="1:13" customFormat="1" ht="13.2">
      <c r="A834" s="1703"/>
      <c r="F834" s="1"/>
      <c r="G834" s="1"/>
      <c r="H834" s="1"/>
      <c r="I834" s="1"/>
      <c r="L834" s="328"/>
      <c r="M834" s="328"/>
    </row>
    <row r="835" spans="1:13" customFormat="1" ht="13.2">
      <c r="A835" s="1703"/>
      <c r="F835" s="1"/>
      <c r="G835" s="1"/>
      <c r="H835" s="1"/>
      <c r="I835" s="1"/>
      <c r="L835" s="328"/>
      <c r="M835" s="328"/>
    </row>
    <row r="836" spans="1:13" customFormat="1" ht="13.2">
      <c r="A836" s="1703"/>
      <c r="F836" s="1"/>
      <c r="G836" s="1"/>
      <c r="H836" s="1"/>
      <c r="I836" s="1"/>
      <c r="L836" s="328"/>
      <c r="M836" s="328"/>
    </row>
    <row r="837" spans="1:13" customFormat="1" ht="13.2">
      <c r="A837" s="1703"/>
      <c r="F837" s="1"/>
      <c r="G837" s="1"/>
      <c r="H837" s="1"/>
      <c r="I837" s="1"/>
      <c r="L837" s="328"/>
      <c r="M837" s="328"/>
    </row>
    <row r="838" spans="1:13" customFormat="1" ht="13.2">
      <c r="A838" s="1703"/>
      <c r="F838" s="1"/>
      <c r="G838" s="1"/>
      <c r="H838" s="1"/>
      <c r="I838" s="1"/>
      <c r="L838" s="328"/>
      <c r="M838" s="328"/>
    </row>
    <row r="839" spans="1:13" customFormat="1" ht="13.2">
      <c r="A839" s="1703"/>
      <c r="F839" s="1"/>
      <c r="G839" s="1"/>
      <c r="H839" s="1"/>
      <c r="I839" s="1"/>
      <c r="L839" s="328"/>
      <c r="M839" s="328"/>
    </row>
    <row r="840" spans="1:13" customFormat="1" ht="13.2">
      <c r="A840" s="1703"/>
      <c r="F840" s="1"/>
      <c r="G840" s="1"/>
      <c r="H840" s="1"/>
      <c r="I840" s="1"/>
      <c r="L840" s="328"/>
      <c r="M840" s="328"/>
    </row>
    <row r="841" spans="1:13" customFormat="1" ht="13.2">
      <c r="A841" s="1703"/>
      <c r="F841" s="1"/>
      <c r="G841" s="1"/>
      <c r="H841" s="1"/>
      <c r="I841" s="1"/>
      <c r="L841" s="328"/>
      <c r="M841" s="328"/>
    </row>
    <row r="842" spans="1:13" customFormat="1" ht="13.2">
      <c r="A842" s="1703"/>
      <c r="F842" s="1"/>
      <c r="G842" s="1"/>
      <c r="H842" s="1"/>
      <c r="I842" s="1"/>
      <c r="L842" s="328"/>
      <c r="M842" s="328"/>
    </row>
    <row r="843" spans="1:13" customFormat="1" ht="13.2">
      <c r="A843" s="1703"/>
      <c r="F843" s="1"/>
      <c r="G843" s="1"/>
      <c r="H843" s="1"/>
      <c r="I843" s="1"/>
      <c r="L843" s="328"/>
      <c r="M843" s="328"/>
    </row>
    <row r="844" spans="1:13" customFormat="1" ht="13.2">
      <c r="A844" s="1703"/>
      <c r="F844" s="1"/>
      <c r="G844" s="1"/>
      <c r="H844" s="1"/>
      <c r="I844" s="1"/>
      <c r="L844" s="328"/>
      <c r="M844" s="328"/>
    </row>
    <row r="845" spans="1:13" customFormat="1" ht="13.2">
      <c r="A845" s="1703"/>
      <c r="F845" s="1"/>
      <c r="G845" s="1"/>
      <c r="H845" s="1"/>
      <c r="I845" s="1"/>
      <c r="L845" s="328"/>
      <c r="M845" s="328"/>
    </row>
    <row r="846" spans="1:13" customFormat="1" ht="13.2">
      <c r="A846" s="1703"/>
      <c r="F846" s="1"/>
      <c r="G846" s="1"/>
      <c r="H846" s="1"/>
      <c r="I846" s="1"/>
      <c r="L846" s="328"/>
      <c r="M846" s="328"/>
    </row>
    <row r="847" spans="1:13" customFormat="1" ht="13.2">
      <c r="A847" s="1703"/>
      <c r="F847" s="1"/>
      <c r="G847" s="1"/>
      <c r="H847" s="1"/>
      <c r="I847" s="1"/>
      <c r="L847" s="328"/>
      <c r="M847" s="328"/>
    </row>
    <row r="848" spans="1:13" customFormat="1" ht="13.2">
      <c r="A848" s="1703"/>
      <c r="F848" s="1"/>
      <c r="G848" s="1"/>
      <c r="H848" s="1"/>
      <c r="I848" s="1"/>
      <c r="L848" s="328"/>
      <c r="M848" s="328"/>
    </row>
    <row r="849" spans="1:13" customFormat="1" ht="13.2">
      <c r="A849" s="1703"/>
      <c r="F849" s="1"/>
      <c r="G849" s="1"/>
      <c r="H849" s="1"/>
      <c r="I849" s="1"/>
      <c r="L849" s="328"/>
      <c r="M849" s="328"/>
    </row>
    <row r="850" spans="1:13" customFormat="1" ht="13.2">
      <c r="A850" s="1703"/>
      <c r="F850" s="1"/>
      <c r="G850" s="1"/>
      <c r="H850" s="1"/>
      <c r="I850" s="1"/>
      <c r="L850" s="328"/>
      <c r="M850" s="328"/>
    </row>
    <row r="851" spans="1:13" customFormat="1" ht="13.2">
      <c r="A851" s="1703"/>
      <c r="F851" s="1"/>
      <c r="G851" s="1"/>
      <c r="H851" s="1"/>
      <c r="I851" s="1"/>
      <c r="L851" s="328"/>
      <c r="M851" s="328"/>
    </row>
    <row r="852" spans="1:13" customFormat="1" ht="13.2">
      <c r="A852" s="1703"/>
      <c r="F852" s="1"/>
      <c r="G852" s="1"/>
      <c r="H852" s="1"/>
      <c r="I852" s="1"/>
      <c r="L852" s="328"/>
      <c r="M852" s="328"/>
    </row>
    <row r="853" spans="1:13" customFormat="1" ht="13.2">
      <c r="A853" s="1703"/>
      <c r="F853" s="1"/>
      <c r="G853" s="1"/>
      <c r="H853" s="1"/>
      <c r="I853" s="1"/>
      <c r="L853" s="328"/>
      <c r="M853" s="328"/>
    </row>
    <row r="854" spans="1:13" customFormat="1" ht="13.2">
      <c r="A854" s="1703"/>
      <c r="F854" s="1"/>
      <c r="G854" s="1"/>
      <c r="H854" s="1"/>
      <c r="I854" s="1"/>
      <c r="L854" s="328"/>
      <c r="M854" s="328"/>
    </row>
    <row r="855" spans="1:13" customFormat="1" ht="13.2">
      <c r="A855" s="1703"/>
      <c r="F855" s="1"/>
      <c r="G855" s="1"/>
      <c r="H855" s="1"/>
      <c r="I855" s="1"/>
      <c r="L855" s="328"/>
      <c r="M855" s="328"/>
    </row>
    <row r="856" spans="1:13" customFormat="1" ht="13.2">
      <c r="A856" s="1703"/>
      <c r="F856" s="1"/>
      <c r="G856" s="1"/>
      <c r="H856" s="1"/>
      <c r="I856" s="1"/>
      <c r="L856" s="328"/>
      <c r="M856" s="328"/>
    </row>
  </sheetData>
  <sheetProtection password="C616" sheet="1" objects="1" scenarios="1"/>
  <mergeCells count="62">
    <mergeCell ref="B89:C89"/>
    <mergeCell ref="B46:C46"/>
    <mergeCell ref="B80:C80"/>
    <mergeCell ref="B66:C66"/>
    <mergeCell ref="B67:C67"/>
    <mergeCell ref="B68:C68"/>
    <mergeCell ref="B69:C69"/>
    <mergeCell ref="B70:C70"/>
    <mergeCell ref="C51:F53"/>
    <mergeCell ref="B77:E77"/>
    <mergeCell ref="B73:C73"/>
    <mergeCell ref="G2:K2"/>
    <mergeCell ref="E3:F3"/>
    <mergeCell ref="G3:K3"/>
    <mergeCell ref="G4:K4"/>
    <mergeCell ref="D16:E16"/>
    <mergeCell ref="J7:K7"/>
    <mergeCell ref="J8:K8"/>
    <mergeCell ref="C7:F7"/>
    <mergeCell ref="C8:H8"/>
    <mergeCell ref="I13:K13"/>
    <mergeCell ref="I14:K14"/>
    <mergeCell ref="F14:G14"/>
    <mergeCell ref="B16:C16"/>
    <mergeCell ref="B17:C17"/>
    <mergeCell ref="B19:C19"/>
    <mergeCell ref="B21:C21"/>
    <mergeCell ref="B32:C32"/>
    <mergeCell ref="B30:C30"/>
    <mergeCell ref="B31:C31"/>
    <mergeCell ref="B23:C23"/>
    <mergeCell ref="B24:C24"/>
    <mergeCell ref="B27:E27"/>
    <mergeCell ref="B29:D29"/>
    <mergeCell ref="B33:C33"/>
    <mergeCell ref="B35:C35"/>
    <mergeCell ref="B37:C37"/>
    <mergeCell ref="B38:C38"/>
    <mergeCell ref="B34:D34"/>
    <mergeCell ref="G51:K53"/>
    <mergeCell ref="C55:F55"/>
    <mergeCell ref="G55:K55"/>
    <mergeCell ref="C57:F58"/>
    <mergeCell ref="G57:K58"/>
    <mergeCell ref="J73:K73"/>
    <mergeCell ref="J70:K70"/>
    <mergeCell ref="B71:C71"/>
    <mergeCell ref="B57:B58"/>
    <mergeCell ref="J67:K67"/>
    <mergeCell ref="J68:K68"/>
    <mergeCell ref="J66:K66"/>
    <mergeCell ref="G60:K60"/>
    <mergeCell ref="J69:K69"/>
    <mergeCell ref="J71:K71"/>
    <mergeCell ref="J72:K72"/>
    <mergeCell ref="B39:C39"/>
    <mergeCell ref="B40:C40"/>
    <mergeCell ref="B72:C72"/>
    <mergeCell ref="B45:C45"/>
    <mergeCell ref="B41:C41"/>
    <mergeCell ref="B42:C42"/>
    <mergeCell ref="B43:C43"/>
  </mergeCells>
  <phoneticPr fontId="6" type="noConversion"/>
  <conditionalFormatting sqref="K93">
    <cfRule type="expression" dxfId="350" priority="258" stopIfTrue="1">
      <formula>$L$37=1</formula>
    </cfRule>
  </conditionalFormatting>
  <conditionalFormatting sqref="I67:J67">
    <cfRule type="expression" dxfId="349" priority="259" stopIfTrue="1">
      <formula>$B$67=""</formula>
    </cfRule>
  </conditionalFormatting>
  <conditionalFormatting sqref="G92">
    <cfRule type="expression" dxfId="348" priority="260" stopIfTrue="1">
      <formula>Zonen&gt;1</formula>
    </cfRule>
  </conditionalFormatting>
  <conditionalFormatting sqref="H92">
    <cfRule type="expression" dxfId="347" priority="263" stopIfTrue="1">
      <formula>Zonen&gt;2</formula>
    </cfRule>
  </conditionalFormatting>
  <conditionalFormatting sqref="J73">
    <cfRule type="expression" dxfId="346" priority="264" stopIfTrue="1">
      <formula>minergiep=TRUE</formula>
    </cfRule>
  </conditionalFormatting>
  <conditionalFormatting sqref="F91:I91 F19">
    <cfRule type="expression" dxfId="345" priority="265" stopIfTrue="1">
      <formula>$F$19&lt;$F$91</formula>
    </cfRule>
  </conditionalFormatting>
  <conditionalFormatting sqref="K80 K82">
    <cfRule type="expression" dxfId="344" priority="274" stopIfTrue="1">
      <formula>AND(Primaeranforderung&gt;0,(qhs_vollständig*IF(EBF=0,0,(_qhs1*_EBF1+_qhs2*_EBF2+_qhs3*_EBF3+_qhs4*_EBF4)/EBF)/3.6)&gt;Primaeranforderung)</formula>
    </cfRule>
  </conditionalFormatting>
  <conditionalFormatting sqref="F89 F80">
    <cfRule type="expression" dxfId="343" priority="278" stopIfTrue="1">
      <formula>Kategorie1=13</formula>
    </cfRule>
  </conditionalFormatting>
  <conditionalFormatting sqref="F84:I84 K84">
    <cfRule type="expression" dxfId="342" priority="279" stopIfTrue="1">
      <formula>minergiep</formula>
    </cfRule>
  </conditionalFormatting>
  <conditionalFormatting sqref="F33">
    <cfRule type="expression" dxfId="341" priority="283" stopIfTrue="1">
      <formula>OR(Standardlüftung1&gt;2,minergiep)</formula>
    </cfRule>
  </conditionalFormatting>
  <conditionalFormatting sqref="G66:H66">
    <cfRule type="expression" dxfId="340" priority="292" stopIfTrue="1">
      <formula>$B$66&lt;&gt;""</formula>
    </cfRule>
  </conditionalFormatting>
  <conditionalFormatting sqref="G67:H67">
    <cfRule type="expression" dxfId="339" priority="293" stopIfTrue="1">
      <formula>$B$67&lt;&gt;""</formula>
    </cfRule>
  </conditionalFormatting>
  <conditionalFormatting sqref="G68:H68">
    <cfRule type="expression" dxfId="338" priority="294" stopIfTrue="1">
      <formula>$B$68&lt;&gt;""</formula>
    </cfRule>
  </conditionalFormatting>
  <conditionalFormatting sqref="G69:H69">
    <cfRule type="expression" dxfId="337" priority="295" stopIfTrue="1">
      <formula>$B$69&lt;&gt;""</formula>
    </cfRule>
  </conditionalFormatting>
  <conditionalFormatting sqref="G70:H70">
    <cfRule type="expression" dxfId="336" priority="296" stopIfTrue="1">
      <formula>$B$70&lt;&gt;""</formula>
    </cfRule>
  </conditionalFormatting>
  <conditionalFormatting sqref="G71:H71">
    <cfRule type="expression" dxfId="335" priority="297" stopIfTrue="1">
      <formula>$B$71&lt;&gt;""</formula>
    </cfRule>
  </conditionalFormatting>
  <conditionalFormatting sqref="G72:H72">
    <cfRule type="expression" dxfId="334" priority="298" stopIfTrue="1">
      <formula>$B$72&lt;&gt;""</formula>
    </cfRule>
  </conditionalFormatting>
  <conditionalFormatting sqref="G73:H73">
    <cfRule type="expression" dxfId="333" priority="299" stopIfTrue="1">
      <formula>$B$73&lt;&gt;""</formula>
    </cfRule>
  </conditionalFormatting>
  <conditionalFormatting sqref="K91">
    <cfRule type="expression" dxfId="332" priority="300" stopIfTrue="1">
      <formula>OR($F$19&lt;$F$91,$G$19&lt;$G$91,$H$19&lt;$H$91,$I$19&lt;$I$91)</formula>
    </cfRule>
    <cfRule type="expression" dxfId="331" priority="301" stopIfTrue="1">
      <formula>BadMisch</formula>
    </cfRule>
  </conditionalFormatting>
  <conditionalFormatting sqref="K19">
    <cfRule type="expression" dxfId="330" priority="302" stopIfTrue="1">
      <formula>BadMisch</formula>
    </cfRule>
  </conditionalFormatting>
  <conditionalFormatting sqref="G80">
    <cfRule type="expression" dxfId="329" priority="303" stopIfTrue="1">
      <formula>AND(Zonen&gt;1,Kategorie2+$H$7&lt;&gt;13)</formula>
    </cfRule>
  </conditionalFormatting>
  <conditionalFormatting sqref="H80">
    <cfRule type="expression" dxfId="328" priority="304" stopIfTrue="1">
      <formula>AND(Zonen&gt;2,Kategorie3&lt;&gt;13)</formula>
    </cfRule>
  </conditionalFormatting>
  <conditionalFormatting sqref="I80">
    <cfRule type="expression" dxfId="327" priority="305" stopIfTrue="1">
      <formula>AND(Zonen&gt;3,Kategorie4&lt;&gt;13)</formula>
    </cfRule>
  </conditionalFormatting>
  <conditionalFormatting sqref="G79">
    <cfRule type="expression" dxfId="326" priority="306" stopIfTrue="1">
      <formula>AND(Zonen&gt;1,minergiep=FALSE,Kategorie2&lt;&gt;13)</formula>
    </cfRule>
    <cfRule type="expression" dxfId="325" priority="307" stopIfTrue="1">
      <formula>AND(Zonen&gt;1,minergiep=TRUE)</formula>
    </cfRule>
  </conditionalFormatting>
  <conditionalFormatting sqref="H79">
    <cfRule type="expression" dxfId="324" priority="308" stopIfTrue="1">
      <formula>AND(Zonen&gt;2,minergiep=FALSE,Kategorie3&lt;&gt;13)</formula>
    </cfRule>
    <cfRule type="expression" dxfId="323" priority="309" stopIfTrue="1">
      <formula>AND(Zonen&gt;2,minergiep=TRUE)</formula>
    </cfRule>
  </conditionalFormatting>
  <conditionalFormatting sqref="I79">
    <cfRule type="expression" dxfId="322" priority="310" stopIfTrue="1">
      <formula>AND(Zonen&gt;3,minergiep=FALSE,Kategorie4&lt;&gt;13)</formula>
    </cfRule>
    <cfRule type="expression" dxfId="321" priority="311" stopIfTrue="1">
      <formula>AND(Zonen&gt;3,minergiep=TRUE)</formula>
    </cfRule>
  </conditionalFormatting>
  <conditionalFormatting sqref="F79">
    <cfRule type="expression" dxfId="320" priority="312" stopIfTrue="1">
      <formula>minergiep=TRUE</formula>
    </cfRule>
    <cfRule type="expression" dxfId="319" priority="313" stopIfTrue="1">
      <formula>Kategorie1=13</formula>
    </cfRule>
  </conditionalFormatting>
  <conditionalFormatting sqref="F39">
    <cfRule type="expression" dxfId="318" priority="314" stopIfTrue="1">
      <formula>"&lt;&gt;minergiep"</formula>
    </cfRule>
  </conditionalFormatting>
  <conditionalFormatting sqref="F40:F41">
    <cfRule type="expression" dxfId="317" priority="6">
      <formula>$F$94</formula>
    </cfRule>
    <cfRule type="expression" dxfId="316" priority="213" stopIfTrue="1">
      <formula>Kategorie1=13</formula>
    </cfRule>
    <cfRule type="expression" dxfId="315" priority="214" stopIfTrue="1">
      <formula>$F$78</formula>
    </cfRule>
  </conditionalFormatting>
  <conditionalFormatting sqref="I40:I41">
    <cfRule type="expression" dxfId="314" priority="3">
      <formula>$I$94</formula>
    </cfRule>
    <cfRule type="expression" dxfId="313" priority="207" stopIfTrue="1">
      <formula>$I$78</formula>
    </cfRule>
    <cfRule type="expression" dxfId="312" priority="320" stopIfTrue="1">
      <formula>AND(Zonen&gt;3,Kategorie4&lt;&gt;13)</formula>
    </cfRule>
  </conditionalFormatting>
  <conditionalFormatting sqref="F32">
    <cfRule type="expression" dxfId="311" priority="321" stopIfTrue="1">
      <formula>AND(Kategorie1&lt;6,Kategorie1&gt;1,Standardlüftung1&gt;2)</formula>
    </cfRule>
  </conditionalFormatting>
  <conditionalFormatting sqref="G40:G41">
    <cfRule type="expression" dxfId="310" priority="5">
      <formula>$G$94</formula>
    </cfRule>
    <cfRule type="expression" dxfId="309" priority="211" stopIfTrue="1">
      <formula>$G$78</formula>
    </cfRule>
    <cfRule type="expression" dxfId="308" priority="323" stopIfTrue="1">
      <formula>AND(Zonen&gt;1,Kategorie2&lt;&gt;13)</formula>
    </cfRule>
  </conditionalFormatting>
  <conditionalFormatting sqref="K90">
    <cfRule type="expression" dxfId="307" priority="252">
      <formula>MUKEN=TRUE</formula>
    </cfRule>
    <cfRule type="cellIs" dxfId="306" priority="324" stopIfTrue="1" operator="lessThan">
      <formula>1000000</formula>
    </cfRule>
  </conditionalFormatting>
  <conditionalFormatting sqref="F42">
    <cfRule type="expression" dxfId="305" priority="325" stopIfTrue="1">
      <formula>Kategorie1=13</formula>
    </cfRule>
    <cfRule type="expression" dxfId="304" priority="326" stopIfTrue="1">
      <formula>OR($F$77,$F$76)</formula>
    </cfRule>
  </conditionalFormatting>
  <conditionalFormatting sqref="F25">
    <cfRule type="expression" dxfId="303" priority="248">
      <formula>MUKEN=TRUE</formula>
    </cfRule>
    <cfRule type="expression" dxfId="302" priority="352" stopIfTrue="1">
      <formula>AND(Hoehe&lt;800,minergiep=FALSE,minergiea=FALSE)</formula>
    </cfRule>
    <cfRule type="expression" dxfId="301" priority="353" stopIfTrue="1">
      <formula>OR(AND(minergiep=TRUE,Luftheizung),minergiea=TRUE)</formula>
    </cfRule>
    <cfRule type="expression" dxfId="300" priority="354" stopIfTrue="1">
      <formula>AND(minergiep,Luftheizung=FALSE)</formula>
    </cfRule>
  </conditionalFormatting>
  <conditionalFormatting sqref="G25">
    <cfRule type="expression" dxfId="299" priority="247">
      <formula>MUKEN=TRUE</formula>
    </cfRule>
    <cfRule type="expression" dxfId="298" priority="355" stopIfTrue="1">
      <formula>AND(Zonen&gt;1,Hoehe&gt;=800,minergiep=FALSE,minergiea=FALSE)</formula>
    </cfRule>
    <cfRule type="expression" dxfId="297" priority="356" stopIfTrue="1">
      <formula>OR(AND(Zonen&gt;1,AND(minergiep=TRUE,Luftheizung)),AND(Zonen&gt;1,minergiea=TRUE))</formula>
    </cfRule>
    <cfRule type="expression" dxfId="296" priority="357" stopIfTrue="1">
      <formula>AND(Zonen&gt;1,AND(minergiep=TRUE,Luftheizung=FALSE))</formula>
    </cfRule>
  </conditionalFormatting>
  <conditionalFormatting sqref="H25">
    <cfRule type="expression" dxfId="295" priority="246">
      <formula>MUKEN=TRUE</formula>
    </cfRule>
    <cfRule type="expression" dxfId="294" priority="358" stopIfTrue="1">
      <formula>AND(Zonen&gt;2,Hoehe&gt;=800,minergiep=FALSE,minergiea=FALSE)</formula>
    </cfRule>
    <cfRule type="expression" dxfId="293" priority="359" stopIfTrue="1">
      <formula>OR(AND(Zonen&gt;2,AND(minergiep=TRUE,Luftheizung)),AND(Zonen&gt;2,minergiea=TRUE))</formula>
    </cfRule>
    <cfRule type="expression" dxfId="292" priority="360" stopIfTrue="1">
      <formula>AND(Zonen&gt;2,AND(minergiep=TRUE,Luftheizung=FALSE))</formula>
    </cfRule>
  </conditionalFormatting>
  <conditionalFormatting sqref="I25">
    <cfRule type="expression" dxfId="291" priority="245">
      <formula>MUKEN=TRUE</formula>
    </cfRule>
    <cfRule type="expression" dxfId="290" priority="361" stopIfTrue="1">
      <formula>AND(Zonen&gt;3,Hoehe&gt;=800,minergiep=FALSE,minergiea=FALSE)</formula>
    </cfRule>
    <cfRule type="expression" dxfId="289" priority="362" stopIfTrue="1">
      <formula>OR(AND(Zonen&gt;3,AND(minergiep=TRUE,Luftheizung)),AND(Zonen&gt;3,minergiea=TRUE))</formula>
    </cfRule>
    <cfRule type="expression" dxfId="288" priority="363" stopIfTrue="1">
      <formula>AND(Zonen&gt;3,AND(minergiep=TRUE,Luftheizung=FALSE))</formula>
    </cfRule>
  </conditionalFormatting>
  <conditionalFormatting sqref="F31">
    <cfRule type="expression" dxfId="287" priority="364" stopIfTrue="1">
      <formula>Standardlüftung1=3</formula>
    </cfRule>
  </conditionalFormatting>
  <conditionalFormatting sqref="F34:F35">
    <cfRule type="expression" dxfId="286" priority="368" stopIfTrue="1">
      <formula>AND(Standardlüftung1&gt;2)</formula>
    </cfRule>
  </conditionalFormatting>
  <conditionalFormatting sqref="F43">
    <cfRule type="expression" dxfId="285" priority="475" stopIfTrue="1">
      <formula>Kategorie1=13</formula>
    </cfRule>
    <cfRule type="expression" dxfId="284" priority="476" stopIfTrue="1">
      <formula>$F$77</formula>
    </cfRule>
  </conditionalFormatting>
  <conditionalFormatting sqref="B90:C90">
    <cfRule type="expression" dxfId="283" priority="257">
      <formula>MUKEN=TRUE</formula>
    </cfRule>
  </conditionalFormatting>
  <conditionalFormatting sqref="D90:I90">
    <cfRule type="expression" dxfId="282" priority="256">
      <formula>MUKEN=TRUE</formula>
    </cfRule>
  </conditionalFormatting>
  <conditionalFormatting sqref="J90">
    <cfRule type="expression" dxfId="281" priority="251">
      <formula>MUKEN=TRUE</formula>
    </cfRule>
  </conditionalFormatting>
  <conditionalFormatting sqref="B25 D25:E25">
    <cfRule type="expression" dxfId="280" priority="250">
      <formula>MUKEN=TRUE</formula>
    </cfRule>
  </conditionalFormatting>
  <conditionalFormatting sqref="I92">
    <cfRule type="expression" dxfId="279" priority="249">
      <formula>Zonen&gt;3</formula>
    </cfRule>
  </conditionalFormatting>
  <conditionalFormatting sqref="J25:K25">
    <cfRule type="expression" dxfId="278" priority="244">
      <formula>MUKEN=TRUE</formula>
    </cfRule>
  </conditionalFormatting>
  <conditionalFormatting sqref="F46">
    <cfRule type="expression" dxfId="277" priority="228" stopIfTrue="1">
      <formula>Kategorie1=13</formula>
    </cfRule>
  </conditionalFormatting>
  <conditionalFormatting sqref="G89">
    <cfRule type="expression" dxfId="276" priority="221" stopIfTrue="1">
      <formula>Kategorie1=13</formula>
    </cfRule>
  </conditionalFormatting>
  <conditionalFormatting sqref="H89">
    <cfRule type="expression" dxfId="275" priority="220" stopIfTrue="1">
      <formula>Kategorie1=13</formula>
    </cfRule>
  </conditionalFormatting>
  <conditionalFormatting sqref="I89">
    <cfRule type="expression" dxfId="274" priority="219" stopIfTrue="1">
      <formula>Kategorie1=13</formula>
    </cfRule>
  </conditionalFormatting>
  <conditionalFormatting sqref="K81">
    <cfRule type="expression" dxfId="273" priority="215" stopIfTrue="1">
      <formula>AND(Primaeranforderung&gt;0,(qhs_vollständig*IF(EBF=0,0,(_qhs1*_EBF1+_qhs2*_EBF2+_qhs3*_EBF3+_qhs4*_EBF4)/EBF)/3.6)&gt;Primaeranforderung)</formula>
    </cfRule>
  </conditionalFormatting>
  <conditionalFormatting sqref="F40">
    <cfRule type="expression" dxfId="272" priority="193" stopIfTrue="1">
      <formula>Standardlüftung1=3</formula>
    </cfRule>
    <cfRule type="expression" dxfId="271" priority="316" stopIfTrue="1">
      <formula>$F$88=FALSE</formula>
    </cfRule>
  </conditionalFormatting>
  <conditionalFormatting sqref="F41">
    <cfRule type="expression" dxfId="270" priority="192">
      <formula>Standardlüftung1=3</formula>
    </cfRule>
    <cfRule type="expression" dxfId="269" priority="315" stopIfTrue="1">
      <formula>$F$88=FALSE</formula>
    </cfRule>
  </conditionalFormatting>
  <conditionalFormatting sqref="G40">
    <cfRule type="expression" dxfId="268" priority="191">
      <formula>OR(Standardlüftung2=3,Kategorie2=1)</formula>
    </cfRule>
    <cfRule type="expression" dxfId="267" priority="322" stopIfTrue="1">
      <formula>$G$88=FALSE</formula>
    </cfRule>
  </conditionalFormatting>
  <conditionalFormatting sqref="G41">
    <cfRule type="expression" dxfId="266" priority="190">
      <formula>OR(Standardlüftung2=3,Kategorie2=1)</formula>
    </cfRule>
    <cfRule type="expression" dxfId="265" priority="212" stopIfTrue="1">
      <formula>$G$88=FALSE</formula>
    </cfRule>
  </conditionalFormatting>
  <conditionalFormatting sqref="I40">
    <cfRule type="expression" dxfId="264" priority="187">
      <formula>OR(Standardlüftung4=3,Kategorie4=1)</formula>
    </cfRule>
    <cfRule type="expression" dxfId="263" priority="319" stopIfTrue="1">
      <formula>$I$88=FALSE</formula>
    </cfRule>
  </conditionalFormatting>
  <conditionalFormatting sqref="I41">
    <cfRule type="expression" dxfId="262" priority="186">
      <formula>OR(Standardlüftung4=3,Kategorie4=1)</formula>
    </cfRule>
    <cfRule type="expression" dxfId="261" priority="208" stopIfTrue="1">
      <formula>$I$88=FALSE</formula>
    </cfRule>
  </conditionalFormatting>
  <conditionalFormatting sqref="F17">
    <cfRule type="expression" dxfId="260" priority="203">
      <formula>ISERROR(_WW1)</formula>
    </cfRule>
  </conditionalFormatting>
  <conditionalFormatting sqref="F30">
    <cfRule type="expression" dxfId="259" priority="201">
      <formula>ISERROR(Standardlüftung1)</formula>
    </cfRule>
  </conditionalFormatting>
  <conditionalFormatting sqref="F37">
    <cfRule type="expression" dxfId="258" priority="197">
      <formula>Standardlüftung1=3</formula>
    </cfRule>
  </conditionalFormatting>
  <conditionalFormatting sqref="G37">
    <cfRule type="expression" dxfId="257" priority="196">
      <formula>Standardlüftung2=3</formula>
    </cfRule>
  </conditionalFormatting>
  <conditionalFormatting sqref="I37">
    <cfRule type="expression" dxfId="256" priority="194">
      <formula>Standardlüftung4=3</formula>
    </cfRule>
  </conditionalFormatting>
  <conditionalFormatting sqref="K24">
    <cfRule type="expression" dxfId="255" priority="176">
      <formula>MUKEN=TRUE</formula>
    </cfRule>
    <cfRule type="cellIs" dxfId="254" priority="185" stopIfTrue="1" operator="lessThan">
      <formula>1000000</formula>
    </cfRule>
  </conditionalFormatting>
  <conditionalFormatting sqref="J24">
    <cfRule type="expression" dxfId="253" priority="175">
      <formula>MUKEN=TRUE</formula>
    </cfRule>
  </conditionalFormatting>
  <conditionalFormatting sqref="F23">
    <cfRule type="expression" dxfId="252" priority="165">
      <formula>MUKEN=TRUE</formula>
    </cfRule>
    <cfRule type="expression" dxfId="251" priority="168" stopIfTrue="1">
      <formula>$F$19&lt;$F$91</formula>
    </cfRule>
  </conditionalFormatting>
  <conditionalFormatting sqref="J23">
    <cfRule type="expression" dxfId="250" priority="160">
      <formula>MUKEN=TRUE</formula>
    </cfRule>
  </conditionalFormatting>
  <conditionalFormatting sqref="B48:K62">
    <cfRule type="expression" dxfId="249" priority="159">
      <formula>MUKEN=FALSE</formula>
    </cfRule>
  </conditionalFormatting>
  <conditionalFormatting sqref="B47:K47">
    <cfRule type="expression" dxfId="248" priority="158">
      <formula>MUKEN=TRUE</formula>
    </cfRule>
  </conditionalFormatting>
  <conditionalFormatting sqref="I8:K8">
    <cfRule type="expression" dxfId="247" priority="144">
      <formula>MUKEN=FALSE</formula>
    </cfRule>
  </conditionalFormatting>
  <conditionalFormatting sqref="G43">
    <cfRule type="expression" dxfId="246" priority="126" stopIfTrue="1">
      <formula>Kategorie2=13</formula>
    </cfRule>
    <cfRule type="expression" dxfId="245" priority="127" stopIfTrue="1">
      <formula>$G$77</formula>
    </cfRule>
  </conditionalFormatting>
  <conditionalFormatting sqref="I43">
    <cfRule type="expression" dxfId="244" priority="120" stopIfTrue="1">
      <formula>Kategorie4=13</formula>
    </cfRule>
    <cfRule type="expression" dxfId="243" priority="121" stopIfTrue="1">
      <formula>$I$77</formula>
    </cfRule>
  </conditionalFormatting>
  <conditionalFormatting sqref="A23:E24">
    <cfRule type="expression" dxfId="242" priority="110">
      <formula>MUKEN=TRUE</formula>
    </cfRule>
  </conditionalFormatting>
  <conditionalFormatting sqref="F24">
    <cfRule type="expression" dxfId="241" priority="109">
      <formula>MUKEN=TRUE</formula>
    </cfRule>
  </conditionalFormatting>
  <conditionalFormatting sqref="B21:E21">
    <cfRule type="expression" dxfId="240" priority="108">
      <formula>MUKEN=TRUE</formula>
    </cfRule>
  </conditionalFormatting>
  <conditionalFormatting sqref="G42:G43">
    <cfRule type="expression" dxfId="239" priority="327" stopIfTrue="1">
      <formula>OR($G$77,$G$76)</formula>
    </cfRule>
    <cfRule type="expression" dxfId="238" priority="328" stopIfTrue="1">
      <formula>AND(Zonen&gt;1,Kategorie2&lt;&gt;13)</formula>
    </cfRule>
  </conditionalFormatting>
  <conditionalFormatting sqref="I42:I43">
    <cfRule type="expression" dxfId="237" priority="331" stopIfTrue="1">
      <formula>OR($I$77,$I$76)</formula>
    </cfRule>
    <cfRule type="expression" dxfId="236" priority="332" stopIfTrue="1">
      <formula>AND(Zonen&gt;3,Kategorie4&lt;&gt;13)</formula>
    </cfRule>
  </conditionalFormatting>
  <conditionalFormatting sqref="G19">
    <cfRule type="expression" dxfId="235" priority="107" stopIfTrue="1">
      <formula>$F$19&lt;$F$91</formula>
    </cfRule>
  </conditionalFormatting>
  <conditionalFormatting sqref="G17">
    <cfRule type="expression" dxfId="234" priority="106">
      <formula>ISERROR(_WW2)</formula>
    </cfRule>
  </conditionalFormatting>
  <conditionalFormatting sqref="G23">
    <cfRule type="expression" dxfId="233" priority="104">
      <formula>MUKEN=TRUE</formula>
    </cfRule>
    <cfRule type="expression" dxfId="232" priority="105" stopIfTrue="1">
      <formula>$F$19&lt;$F$91</formula>
    </cfRule>
  </conditionalFormatting>
  <conditionalFormatting sqref="G24">
    <cfRule type="expression" dxfId="231" priority="103">
      <formula>MUKEN=TRUE</formula>
    </cfRule>
  </conditionalFormatting>
  <conditionalFormatting sqref="I19">
    <cfRule type="expression" dxfId="230" priority="97" stopIfTrue="1">
      <formula>$F$19&lt;$F$91</formula>
    </cfRule>
  </conditionalFormatting>
  <conditionalFormatting sqref="I17">
    <cfRule type="expression" dxfId="229" priority="96">
      <formula>ISERROR(_WW4)</formula>
    </cfRule>
  </conditionalFormatting>
  <conditionalFormatting sqref="I23">
    <cfRule type="expression" dxfId="228" priority="94">
      <formula>MUKEN=TRUE</formula>
    </cfRule>
    <cfRule type="expression" dxfId="227" priority="95" stopIfTrue="1">
      <formula>$F$19&lt;$F$91</formula>
    </cfRule>
  </conditionalFormatting>
  <conditionalFormatting sqref="I24">
    <cfRule type="expression" dxfId="226" priority="93">
      <formula>MUKEN=TRUE</formula>
    </cfRule>
  </conditionalFormatting>
  <conditionalFormatting sqref="G39">
    <cfRule type="expression" dxfId="225" priority="62">
      <formula>Zonen&lt;2</formula>
    </cfRule>
    <cfRule type="expression" dxfId="224" priority="92" stopIfTrue="1">
      <formula>"&lt;&gt;minergiep"</formula>
    </cfRule>
  </conditionalFormatting>
  <conditionalFormatting sqref="I39">
    <cfRule type="expression" dxfId="223" priority="60">
      <formula>Zonen&lt;4</formula>
    </cfRule>
    <cfRule type="expression" dxfId="222" priority="90" stopIfTrue="1">
      <formula>"&lt;&gt;minergiep"</formula>
    </cfRule>
  </conditionalFormatting>
  <conditionalFormatting sqref="G33">
    <cfRule type="expression" dxfId="221" priority="86" stopIfTrue="1">
      <formula>OR(Standardlüftung1&gt;2,minergiep)</formula>
    </cfRule>
  </conditionalFormatting>
  <conditionalFormatting sqref="G32">
    <cfRule type="expression" dxfId="220" priority="87" stopIfTrue="1">
      <formula>AND(Kategorie2&lt;6,Kategorie2&gt;1,Standardlüftung2&gt;2)</formula>
    </cfRule>
  </conditionalFormatting>
  <conditionalFormatting sqref="G31">
    <cfRule type="expression" dxfId="219" priority="88" stopIfTrue="1">
      <formula>Standardlüftung2=3</formula>
    </cfRule>
  </conditionalFormatting>
  <conditionalFormatting sqref="G34:G35">
    <cfRule type="expression" dxfId="218" priority="89" stopIfTrue="1">
      <formula>AND(Standardlüftung2&gt;2)</formula>
    </cfRule>
  </conditionalFormatting>
  <conditionalFormatting sqref="G30">
    <cfRule type="expression" dxfId="217" priority="68">
      <formula>Zonen&lt;2</formula>
    </cfRule>
    <cfRule type="expression" dxfId="216" priority="85">
      <formula>ISERROR(Standardlüftung1)</formula>
    </cfRule>
  </conditionalFormatting>
  <conditionalFormatting sqref="I33">
    <cfRule type="expression" dxfId="215" priority="76" stopIfTrue="1">
      <formula>OR(Standardlüftung1&gt;2,minergiep)</formula>
    </cfRule>
  </conditionalFormatting>
  <conditionalFormatting sqref="I32">
    <cfRule type="expression" dxfId="214" priority="77" stopIfTrue="1">
      <formula>AND(Kategorie4&lt;6,Kategorie4&gt;1,Standardlüftung4&gt;2)</formula>
    </cfRule>
  </conditionalFormatting>
  <conditionalFormatting sqref="I31">
    <cfRule type="expression" dxfId="213" priority="78" stopIfTrue="1">
      <formula>Standardlüftung4=3</formula>
    </cfRule>
  </conditionalFormatting>
  <conditionalFormatting sqref="I34:I35">
    <cfRule type="expression" dxfId="212" priority="79" stopIfTrue="1">
      <formula>AND(Standardlüftung4&gt;2)</formula>
    </cfRule>
  </conditionalFormatting>
  <conditionalFormatting sqref="I30">
    <cfRule type="expression" dxfId="211" priority="66">
      <formula>Zonen&lt;4</formula>
    </cfRule>
    <cfRule type="expression" dxfId="210" priority="75">
      <formula>ISERROR(Standardlüftung1)</formula>
    </cfRule>
  </conditionalFormatting>
  <conditionalFormatting sqref="G46">
    <cfRule type="expression" dxfId="209" priority="65">
      <formula>Zonen&lt;2</formula>
    </cfRule>
    <cfRule type="expression" dxfId="208" priority="74" stopIfTrue="1">
      <formula>Kategorie2=13</formula>
    </cfRule>
  </conditionalFormatting>
  <conditionalFormatting sqref="I46">
    <cfRule type="expression" dxfId="207" priority="63">
      <formula>Zonen&lt;4</formula>
    </cfRule>
    <cfRule type="expression" dxfId="206" priority="72" stopIfTrue="1">
      <formula>Kategorie4=13</formula>
    </cfRule>
  </conditionalFormatting>
  <conditionalFormatting sqref="G17:G24">
    <cfRule type="expression" dxfId="205" priority="71">
      <formula>Zonen&lt;2</formula>
    </cfRule>
  </conditionalFormatting>
  <conditionalFormatting sqref="I17:I24">
    <cfRule type="expression" dxfId="204" priority="69">
      <formula>Zonen&lt;4</formula>
    </cfRule>
  </conditionalFormatting>
  <conditionalFormatting sqref="H33">
    <cfRule type="expression" dxfId="203" priority="51" stopIfTrue="1">
      <formula>OR(Standardlüftung1&gt;2,minergiep)</formula>
    </cfRule>
  </conditionalFormatting>
  <conditionalFormatting sqref="H17">
    <cfRule type="expression" dxfId="202" priority="46">
      <formula>ISERROR(_WW3)</formula>
    </cfRule>
  </conditionalFormatting>
  <conditionalFormatting sqref="H17">
    <cfRule type="expression" dxfId="201" priority="45">
      <formula>Zonen&lt;3</formula>
    </cfRule>
  </conditionalFormatting>
  <conditionalFormatting sqref="H19">
    <cfRule type="expression" dxfId="200" priority="44" stopIfTrue="1">
      <formula>$H$19&lt;$H$91</formula>
    </cfRule>
  </conditionalFormatting>
  <conditionalFormatting sqref="H19">
    <cfRule type="expression" dxfId="199" priority="43">
      <formula>Zonen&lt;3</formula>
    </cfRule>
  </conditionalFormatting>
  <conditionalFormatting sqref="H21">
    <cfRule type="expression" dxfId="198" priority="42">
      <formula>Zonen&lt;3</formula>
    </cfRule>
  </conditionalFormatting>
  <conditionalFormatting sqref="H23">
    <cfRule type="expression" dxfId="197" priority="40">
      <formula>MUKEN=TRUE</formula>
    </cfRule>
    <cfRule type="expression" dxfId="196" priority="41" stopIfTrue="1">
      <formula>$H$19&lt;$H$91</formula>
    </cfRule>
  </conditionalFormatting>
  <conditionalFormatting sqref="H23">
    <cfRule type="expression" dxfId="195" priority="39">
      <formula>Zonen&lt;3</formula>
    </cfRule>
  </conditionalFormatting>
  <conditionalFormatting sqref="H24">
    <cfRule type="expression" dxfId="194" priority="38">
      <formula>MUKEN=TRUE</formula>
    </cfRule>
  </conditionalFormatting>
  <conditionalFormatting sqref="H24">
    <cfRule type="expression" dxfId="193" priority="37">
      <formula>Zonen&lt;3</formula>
    </cfRule>
  </conditionalFormatting>
  <conditionalFormatting sqref="H30">
    <cfRule type="expression" dxfId="192" priority="35">
      <formula>Zonen&lt;3</formula>
    </cfRule>
    <cfRule type="expression" dxfId="191" priority="36">
      <formula>ISERROR(Standardlüftung3)</formula>
    </cfRule>
  </conditionalFormatting>
  <conditionalFormatting sqref="H31">
    <cfRule type="expression" dxfId="190" priority="34" stopIfTrue="1">
      <formula>Standardlüftung3=3</formula>
    </cfRule>
  </conditionalFormatting>
  <conditionalFormatting sqref="H32">
    <cfRule type="expression" dxfId="189" priority="33" stopIfTrue="1">
      <formula>AND(Kategorie3&lt;6,Kategorie3&gt;1,Standardlüftung3&gt;2)</formula>
    </cfRule>
  </conditionalFormatting>
  <conditionalFormatting sqref="H34">
    <cfRule type="expression" dxfId="188" priority="32" stopIfTrue="1">
      <formula>AND(Standardlüftung3&gt;2)</formula>
    </cfRule>
  </conditionalFormatting>
  <conditionalFormatting sqref="H35">
    <cfRule type="expression" dxfId="187" priority="31" stopIfTrue="1">
      <formula>AND(Standardlüftung3&gt;2)</formula>
    </cfRule>
  </conditionalFormatting>
  <conditionalFormatting sqref="H37">
    <cfRule type="expression" dxfId="186" priority="30">
      <formula>Standardlüftung3=3</formula>
    </cfRule>
  </conditionalFormatting>
  <conditionalFormatting sqref="H39">
    <cfRule type="expression" dxfId="185" priority="28">
      <formula>Zonen&lt;3</formula>
    </cfRule>
    <cfRule type="expression" dxfId="184" priority="29" stopIfTrue="1">
      <formula>"&lt;&gt;minergiep"</formula>
    </cfRule>
  </conditionalFormatting>
  <conditionalFormatting sqref="H40">
    <cfRule type="expression" dxfId="183" priority="25" stopIfTrue="1">
      <formula>$H$78</formula>
    </cfRule>
    <cfRule type="expression" dxfId="182" priority="27" stopIfTrue="1">
      <formula>AND(Zonen&gt;2,Kategorie3&lt;&gt;13)</formula>
    </cfRule>
  </conditionalFormatting>
  <conditionalFormatting sqref="H40">
    <cfRule type="expression" dxfId="181" priority="24">
      <formula>OR(Standardlüftung3=3,Kategorie3=1)</formula>
    </cfRule>
    <cfRule type="expression" dxfId="180" priority="26" stopIfTrue="1">
      <formula>$H$88=FALSE</formula>
    </cfRule>
  </conditionalFormatting>
  <conditionalFormatting sqref="H41">
    <cfRule type="expression" dxfId="179" priority="17" stopIfTrue="1">
      <formula>$H$78</formula>
    </cfRule>
    <cfRule type="expression" dxfId="178" priority="19" stopIfTrue="1">
      <formula>AND(Zonen&gt;2,Kategorie3&lt;&gt;13)</formula>
    </cfRule>
  </conditionalFormatting>
  <conditionalFormatting sqref="H41">
    <cfRule type="expression" dxfId="177" priority="16">
      <formula>OR(Standardlüftung3=3,Kategorie3=1)</formula>
    </cfRule>
    <cfRule type="expression" dxfId="176" priority="18" stopIfTrue="1">
      <formula>$H$88=FALSE</formula>
    </cfRule>
  </conditionalFormatting>
  <conditionalFormatting sqref="H42">
    <cfRule type="expression" dxfId="175" priority="14" stopIfTrue="1">
      <formula>OR($H$77,$H$76)</formula>
    </cfRule>
    <cfRule type="expression" dxfId="174" priority="15" stopIfTrue="1">
      <formula>AND(Zonen&gt;2,Kategorie3&lt;&gt;13)</formula>
    </cfRule>
  </conditionalFormatting>
  <conditionalFormatting sqref="H43">
    <cfRule type="expression" dxfId="173" priority="10" stopIfTrue="1">
      <formula>Kategorie3=13</formula>
    </cfRule>
    <cfRule type="expression" dxfId="172" priority="11" stopIfTrue="1">
      <formula>$H$77</formula>
    </cfRule>
  </conditionalFormatting>
  <conditionalFormatting sqref="H43">
    <cfRule type="expression" dxfId="171" priority="12" stopIfTrue="1">
      <formula>OR($H$77,$H$76)</formula>
    </cfRule>
    <cfRule type="expression" dxfId="170" priority="13" stopIfTrue="1">
      <formula>AND(Zonen&gt;2,Kategorie3&lt;&gt;13)</formula>
    </cfRule>
  </conditionalFormatting>
  <conditionalFormatting sqref="H46">
    <cfRule type="expression" dxfId="169" priority="7">
      <formula>Zonen&lt;3</formula>
    </cfRule>
    <cfRule type="expression" dxfId="168" priority="8" stopIfTrue="1">
      <formula>Kategorie3=13</formula>
    </cfRule>
  </conditionalFormatting>
  <conditionalFormatting sqref="H40:H41">
    <cfRule type="expression" dxfId="167" priority="4">
      <formula>$H$94</formula>
    </cfRule>
  </conditionalFormatting>
  <conditionalFormatting sqref="E46">
    <cfRule type="expression" dxfId="166" priority="2">
      <formula>$D$47=1</formula>
    </cfRule>
  </conditionalFormatting>
  <conditionalFormatting sqref="K23">
    <cfRule type="expression" dxfId="165" priority="1" stopIfTrue="1">
      <formula>BadMisch</formula>
    </cfRule>
  </conditionalFormatting>
  <dataValidations count="28">
    <dataValidation type="list" allowBlank="1" showInputMessage="1" showErrorMessage="1" sqref="P21 S31">
      <formula1>#REF!</formula1>
    </dataValidation>
    <dataValidation type="list" allowBlank="1" showInputMessage="1" showErrorMessage="1" sqref="F31:I31">
      <formula1>Lüftungstyp</formula1>
    </dataValidation>
    <dataValidation type="list" allowBlank="1" showInputMessage="1" showErrorMessage="1" sqref="F35">
      <formula1>ECAC1</formula1>
    </dataValidation>
    <dataValidation type="list" allowBlank="1" showInputMessage="1" showErrorMessage="1" sqref="G35">
      <formula1>ECAC2</formula1>
    </dataValidation>
    <dataValidation type="list" allowBlank="1" showInputMessage="1" showErrorMessage="1" sqref="I35">
      <formula1>ECAC4</formula1>
    </dataValidation>
    <dataValidation type="list" allowBlank="1" showInputMessage="1" showErrorMessage="1" sqref="D60">
      <formula1>JaNein</formula1>
    </dataValidation>
    <dataValidation type="list" showInputMessage="1" showErrorMessage="1" sqref="I13:K13">
      <formula1>Kanton1</formula1>
    </dataValidation>
    <dataValidation type="list" showInputMessage="1" showErrorMessage="1" sqref="I14:K14">
      <formula1>Klimastation</formula1>
    </dataValidation>
    <dataValidation type="list" allowBlank="1" showInputMessage="1" showErrorMessage="1" sqref="F16:I16">
      <formula1>Gebäudekategorie</formula1>
    </dataValidation>
    <dataValidation type="list" allowBlank="1" showInputMessage="1" showErrorMessage="1" sqref="F17">
      <formula1>ww_1</formula1>
    </dataValidation>
    <dataValidation type="list" allowBlank="1" showInputMessage="1" showErrorMessage="1" sqref="G17">
      <formula1>ww_2</formula1>
    </dataValidation>
    <dataValidation type="list" allowBlank="1" showInputMessage="1" showErrorMessage="1" errorTitle="falsche Eingabe" error="falsche Eingabe" sqref="I17">
      <formula1>ww_4</formula1>
    </dataValidation>
    <dataValidation type="list" allowBlank="1" showInputMessage="1" showErrorMessage="1" sqref="F21:I21">
      <formula1>_Neubau</formula1>
    </dataValidation>
    <dataValidation type="list" allowBlank="1" showInputMessage="1" showErrorMessage="1" sqref="F30">
      <formula1>Kleinanlagen1</formula1>
    </dataValidation>
    <dataValidation type="list" allowBlank="1" showInputMessage="1" showErrorMessage="1" sqref="F34">
      <formula1>WRG_1</formula1>
    </dataValidation>
    <dataValidation type="list" allowBlank="1" showInputMessage="1" showErrorMessage="1" sqref="F39">
      <formula1>Zone1</formula1>
    </dataValidation>
    <dataValidation type="list" allowBlank="1" showInputMessage="1" showErrorMessage="1" sqref="G39">
      <formula1>Zone2</formula1>
    </dataValidation>
    <dataValidation type="list" allowBlank="1" showInputMessage="1" showErrorMessage="1" sqref="H39:I39">
      <formula1>Zone4</formula1>
    </dataValidation>
    <dataValidation type="list" allowBlank="1" showInputMessage="1" showErrorMessage="1" sqref="G30">
      <formula1>Kleinanlagen2</formula1>
    </dataValidation>
    <dataValidation type="list" allowBlank="1" showInputMessage="1" showErrorMessage="1" sqref="I30">
      <formula1>Kleinanlagen4</formula1>
    </dataValidation>
    <dataValidation type="list" allowBlank="1" showInputMessage="1" showErrorMessage="1" sqref="E46">
      <formula1>Einheit</formula1>
    </dataValidation>
    <dataValidation type="list" allowBlank="1" showInputMessage="1" showErrorMessage="1" sqref="G34">
      <formula1>WRG_2</formula1>
    </dataValidation>
    <dataValidation type="list" allowBlank="1" showInputMessage="1" showErrorMessage="1" sqref="I34">
      <formula1>WRG_4</formula1>
    </dataValidation>
    <dataValidation type="list" allowBlank="1" showInputMessage="1" showErrorMessage="1" sqref="F14:G14">
      <formula1>Nachweistyp</formula1>
    </dataValidation>
    <dataValidation type="list" allowBlank="1" showInputMessage="1" showErrorMessage="1" errorTitle="falsche Eingabe" error="falsche Eingabe" sqref="H17">
      <formula1>ww_3</formula1>
    </dataValidation>
    <dataValidation type="list" allowBlank="1" showInputMessage="1" showErrorMessage="1" sqref="H30">
      <formula1>Kleinanlagen3</formula1>
    </dataValidation>
    <dataValidation type="list" allowBlank="1" showInputMessage="1" showErrorMessage="1" sqref="H34">
      <formula1>WRG_3</formula1>
    </dataValidation>
    <dataValidation type="list" allowBlank="1" showInputMessage="1" showErrorMessage="1" sqref="H35">
      <formula1>ECAC3</formula1>
    </dataValidation>
  </dataValidations>
  <pageMargins left="0.59055118110236227" right="0.35433070866141736" top="0.47244094488188981" bottom="0.31496062992125984" header="0.39370078740157483" footer="0.27559055118110237"/>
  <pageSetup paperSize="9" scale="89" orientation="portrait"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B1:F417"/>
  <sheetViews>
    <sheetView topLeftCell="A112" zoomScaleNormal="100" workbookViewId="0">
      <selection activeCell="B133" sqref="B133"/>
    </sheetView>
  </sheetViews>
  <sheetFormatPr baseColWidth="10" defaultColWidth="11.5546875" defaultRowHeight="26.1" customHeight="1"/>
  <cols>
    <col min="1" max="1" width="2.109375" style="403" customWidth="1"/>
    <col min="2" max="2" width="11.5546875" style="403"/>
    <col min="3" max="3" width="89.33203125" style="403" customWidth="1"/>
    <col min="4" max="4" width="77.44140625" style="403" customWidth="1"/>
    <col min="5" max="5" width="11.5546875" style="405"/>
    <col min="6" max="6" width="11.44140625" style="405" customWidth="1"/>
    <col min="7" max="16384" width="11.5546875" style="403"/>
  </cols>
  <sheetData>
    <row r="1" spans="2:6" ht="26.1" customHeight="1">
      <c r="B1" s="1014" t="s">
        <v>3308</v>
      </c>
    </row>
    <row r="3" spans="2:6" s="1015" customFormat="1" ht="26.1" customHeight="1">
      <c r="B3" s="1015" t="s">
        <v>531</v>
      </c>
      <c r="C3" s="1019" t="s">
        <v>1086</v>
      </c>
      <c r="D3" s="1015" t="s">
        <v>343</v>
      </c>
      <c r="E3" s="1016" t="s">
        <v>532</v>
      </c>
      <c r="F3" s="1016" t="s">
        <v>360</v>
      </c>
    </row>
    <row r="4" spans="2:6" ht="26.1" customHeight="1">
      <c r="B4" s="404">
        <v>42430</v>
      </c>
      <c r="C4" s="591" t="s">
        <v>1087</v>
      </c>
      <c r="E4" s="1018" t="s">
        <v>347</v>
      </c>
      <c r="F4" s="405">
        <v>0.8</v>
      </c>
    </row>
    <row r="5" spans="2:6" s="2" customFormat="1" ht="26.1" customHeight="1">
      <c r="B5" s="1007">
        <v>42566</v>
      </c>
      <c r="C5" s="2" t="s">
        <v>1224</v>
      </c>
      <c r="E5" s="1018" t="s">
        <v>347</v>
      </c>
      <c r="F5" s="405">
        <v>0.9</v>
      </c>
    </row>
    <row r="6" spans="2:6" s="2" customFormat="1" ht="26.1" customHeight="1">
      <c r="B6" s="1007">
        <v>42566</v>
      </c>
      <c r="C6" s="2" t="s">
        <v>1225</v>
      </c>
      <c r="D6" s="2" t="s">
        <v>1226</v>
      </c>
      <c r="E6" s="1018" t="s">
        <v>347</v>
      </c>
      <c r="F6" s="405">
        <v>0.9</v>
      </c>
    </row>
    <row r="7" spans="2:6" s="2" customFormat="1" ht="26.1" customHeight="1">
      <c r="B7" s="1007">
        <v>42566</v>
      </c>
      <c r="C7" s="2" t="s">
        <v>1227</v>
      </c>
      <c r="D7" s="2" t="s">
        <v>1228</v>
      </c>
      <c r="E7" s="1018" t="s">
        <v>347</v>
      </c>
      <c r="F7" s="405">
        <v>0.9</v>
      </c>
    </row>
    <row r="8" spans="2:6" s="2" customFormat="1" ht="26.1" customHeight="1">
      <c r="B8" s="1007">
        <v>42566</v>
      </c>
      <c r="C8" s="2" t="s">
        <v>1229</v>
      </c>
      <c r="D8" s="2" t="s">
        <v>1230</v>
      </c>
      <c r="E8" s="1018" t="s">
        <v>347</v>
      </c>
      <c r="F8" s="405">
        <v>0.9</v>
      </c>
    </row>
    <row r="9" spans="2:6" s="2" customFormat="1" ht="26.1" customHeight="1">
      <c r="B9" s="1007">
        <v>42566</v>
      </c>
      <c r="C9" s="1012" t="s">
        <v>1233</v>
      </c>
      <c r="D9" s="1011" t="s">
        <v>1232</v>
      </c>
      <c r="E9" s="1018" t="s">
        <v>347</v>
      </c>
      <c r="F9" s="405">
        <v>0.9</v>
      </c>
    </row>
    <row r="10" spans="2:6" s="2" customFormat="1" ht="26.1" customHeight="1">
      <c r="B10" s="1007">
        <v>42576</v>
      </c>
      <c r="C10" s="1012" t="s">
        <v>1243</v>
      </c>
      <c r="D10" s="1011" t="s">
        <v>1244</v>
      </c>
      <c r="E10" s="1018" t="s">
        <v>347</v>
      </c>
      <c r="F10" s="1008">
        <v>0.92</v>
      </c>
    </row>
    <row r="11" spans="2:6" s="2" customFormat="1" ht="26.1" customHeight="1">
      <c r="B11" s="1007">
        <v>42576</v>
      </c>
      <c r="C11" s="1012" t="s">
        <v>1251</v>
      </c>
      <c r="D11" s="1012" t="s">
        <v>1250</v>
      </c>
      <c r="E11" s="1018" t="s">
        <v>347</v>
      </c>
      <c r="F11" s="1008">
        <v>0.92</v>
      </c>
    </row>
    <row r="12" spans="2:6" s="2" customFormat="1" ht="26.1" customHeight="1">
      <c r="B12" s="1007">
        <v>42602</v>
      </c>
      <c r="C12" s="1012" t="s">
        <v>1714</v>
      </c>
      <c r="E12" s="1018" t="s">
        <v>347</v>
      </c>
      <c r="F12" s="1052" t="s">
        <v>1715</v>
      </c>
    </row>
    <row r="13" spans="2:6" s="2" customFormat="1" ht="26.1" customHeight="1">
      <c r="B13" s="1007">
        <v>42623</v>
      </c>
      <c r="C13" s="1012" t="s">
        <v>1734</v>
      </c>
      <c r="D13" s="1011" t="s">
        <v>1735</v>
      </c>
      <c r="E13" s="1018" t="s">
        <v>347</v>
      </c>
      <c r="F13" s="1084">
        <v>1.01</v>
      </c>
    </row>
    <row r="14" spans="2:6" s="2" customFormat="1" ht="26.1" customHeight="1">
      <c r="B14" s="1007">
        <v>42626</v>
      </c>
      <c r="C14" s="1012" t="s">
        <v>1748</v>
      </c>
      <c r="D14" s="1011" t="s">
        <v>1749</v>
      </c>
      <c r="E14" s="1008" t="s">
        <v>347</v>
      </c>
      <c r="F14" s="1008">
        <v>1.01</v>
      </c>
    </row>
    <row r="15" spans="2:6" s="2" customFormat="1" ht="26.1" customHeight="1">
      <c r="B15" s="1007">
        <v>42664</v>
      </c>
      <c r="C15" s="1012" t="s">
        <v>1817</v>
      </c>
      <c r="E15" s="1008" t="s">
        <v>347</v>
      </c>
      <c r="F15" s="1008">
        <v>1.01</v>
      </c>
    </row>
    <row r="16" spans="2:6" s="2" customFormat="1" ht="26.1" customHeight="1">
      <c r="B16" s="1007">
        <v>42684</v>
      </c>
      <c r="C16" s="1012" t="s">
        <v>1922</v>
      </c>
      <c r="D16" s="1011" t="s">
        <v>1923</v>
      </c>
      <c r="E16" s="1328" t="s">
        <v>347</v>
      </c>
      <c r="F16" s="1008">
        <v>1.02</v>
      </c>
    </row>
    <row r="17" spans="2:6" s="2" customFormat="1" ht="26.1" customHeight="1">
      <c r="B17" s="1007">
        <v>42684</v>
      </c>
      <c r="C17" s="1012" t="s">
        <v>1993</v>
      </c>
      <c r="D17" s="1011" t="s">
        <v>1994</v>
      </c>
      <c r="E17" s="1008" t="s">
        <v>347</v>
      </c>
      <c r="F17" s="1008">
        <v>1.03</v>
      </c>
    </row>
    <row r="18" spans="2:6" s="2" customFormat="1" ht="26.1" customHeight="1">
      <c r="B18" s="1007">
        <v>42720</v>
      </c>
      <c r="C18" s="1012" t="s">
        <v>2633</v>
      </c>
      <c r="D18" s="1012" t="s">
        <v>2634</v>
      </c>
      <c r="E18" s="1008" t="s">
        <v>347</v>
      </c>
      <c r="F18" s="1008">
        <v>1.1000000000000001</v>
      </c>
    </row>
    <row r="19" spans="2:6" s="2" customFormat="1" ht="26.1" customHeight="1">
      <c r="B19" s="1007">
        <v>42720</v>
      </c>
      <c r="C19" s="1012" t="s">
        <v>2635</v>
      </c>
      <c r="D19" s="1012" t="s">
        <v>2636</v>
      </c>
      <c r="E19" s="1008" t="s">
        <v>347</v>
      </c>
      <c r="F19" s="1008">
        <v>1.1000000000000001</v>
      </c>
    </row>
    <row r="20" spans="2:6" s="2" customFormat="1" ht="26.1" customHeight="1">
      <c r="B20" s="1007">
        <v>42723</v>
      </c>
      <c r="C20" s="1012" t="s">
        <v>2651</v>
      </c>
      <c r="D20" s="1012" t="s">
        <v>2652</v>
      </c>
      <c r="E20" s="1008" t="s">
        <v>347</v>
      </c>
      <c r="F20" s="1008">
        <v>1.1100000000000001</v>
      </c>
    </row>
    <row r="21" spans="2:6" s="2" customFormat="1" ht="26.1" customHeight="1">
      <c r="B21" s="1007">
        <v>42723</v>
      </c>
      <c r="C21" s="1012" t="s">
        <v>2649</v>
      </c>
      <c r="D21" s="1012" t="s">
        <v>2650</v>
      </c>
      <c r="E21" s="1008" t="s">
        <v>347</v>
      </c>
      <c r="F21" s="1008">
        <v>1.1100000000000001</v>
      </c>
    </row>
    <row r="22" spans="2:6" s="2" customFormat="1" ht="26.1" customHeight="1">
      <c r="B22" s="1007">
        <v>42725</v>
      </c>
      <c r="C22" s="1012" t="s">
        <v>2665</v>
      </c>
      <c r="D22" s="1012" t="s">
        <v>2666</v>
      </c>
      <c r="E22" s="1008" t="s">
        <v>347</v>
      </c>
      <c r="F22" s="1008">
        <v>1.1299999999999999</v>
      </c>
    </row>
    <row r="23" spans="2:6" s="2" customFormat="1" ht="26.1" customHeight="1">
      <c r="B23" s="1007">
        <v>42725</v>
      </c>
      <c r="C23" s="1012" t="s">
        <v>2667</v>
      </c>
      <c r="D23" s="1012" t="s">
        <v>2668</v>
      </c>
      <c r="E23" s="1008" t="s">
        <v>347</v>
      </c>
      <c r="F23" s="1008">
        <v>1.1299999999999999</v>
      </c>
    </row>
    <row r="24" spans="2:6" s="2" customFormat="1" ht="26.1" customHeight="1">
      <c r="B24" s="1007">
        <v>42742</v>
      </c>
      <c r="C24" s="1012" t="s">
        <v>2698</v>
      </c>
      <c r="D24" s="1012" t="s">
        <v>2699</v>
      </c>
      <c r="E24" s="1008" t="s">
        <v>347</v>
      </c>
      <c r="F24" s="1008">
        <v>1.1399999999999999</v>
      </c>
    </row>
    <row r="25" spans="2:6" s="2" customFormat="1" ht="26.1" customHeight="1">
      <c r="B25" s="1007">
        <v>42742</v>
      </c>
      <c r="C25" s="1012" t="s">
        <v>2711</v>
      </c>
      <c r="D25" s="1012" t="s">
        <v>2712</v>
      </c>
      <c r="E25" s="1008" t="s">
        <v>347</v>
      </c>
      <c r="F25" s="1008">
        <v>1.1399999999999999</v>
      </c>
    </row>
    <row r="26" spans="2:6" s="2" customFormat="1" ht="26.1" customHeight="1">
      <c r="B26" s="1007">
        <v>42742</v>
      </c>
      <c r="C26" s="1012" t="s">
        <v>2716</v>
      </c>
      <c r="D26" s="1012"/>
      <c r="E26" s="1008" t="s">
        <v>347</v>
      </c>
      <c r="F26" s="1008">
        <v>1.1399999999999999</v>
      </c>
    </row>
    <row r="27" spans="2:6" s="2" customFormat="1" ht="26.1" customHeight="1">
      <c r="B27" s="1007">
        <v>42742</v>
      </c>
      <c r="C27" s="1012" t="s">
        <v>2713</v>
      </c>
      <c r="D27" s="1012" t="s">
        <v>2714</v>
      </c>
      <c r="E27" s="1008" t="s">
        <v>347</v>
      </c>
      <c r="F27" s="1008">
        <v>1.1399999999999999</v>
      </c>
    </row>
    <row r="28" spans="2:6" s="2" customFormat="1" ht="26.1" customHeight="1">
      <c r="B28" s="1007">
        <v>42742</v>
      </c>
      <c r="C28" s="1012" t="s">
        <v>2715</v>
      </c>
      <c r="D28" s="1012"/>
      <c r="E28" s="1008" t="s">
        <v>347</v>
      </c>
      <c r="F28" s="1008">
        <v>1.1399999999999999</v>
      </c>
    </row>
    <row r="29" spans="2:6" s="2" customFormat="1" ht="26.1" customHeight="1">
      <c r="B29" s="1007">
        <v>42742</v>
      </c>
      <c r="C29" s="1012" t="s">
        <v>2717</v>
      </c>
      <c r="D29" s="1012" t="s">
        <v>2718</v>
      </c>
      <c r="E29" s="1008" t="s">
        <v>347</v>
      </c>
      <c r="F29" s="1008">
        <v>1.1399999999999999</v>
      </c>
    </row>
    <row r="30" spans="2:6" s="2" customFormat="1" ht="26.1" customHeight="1">
      <c r="B30" s="1007">
        <v>42742</v>
      </c>
      <c r="C30" s="1012" t="s">
        <v>2719</v>
      </c>
      <c r="D30" s="1012" t="s">
        <v>2718</v>
      </c>
      <c r="E30" s="1008" t="s">
        <v>347</v>
      </c>
      <c r="F30" s="1008">
        <v>1.1399999999999999</v>
      </c>
    </row>
    <row r="31" spans="2:6" s="2" customFormat="1" ht="26.1" customHeight="1">
      <c r="B31" s="1007">
        <v>42742</v>
      </c>
      <c r="C31" s="1012" t="s">
        <v>2720</v>
      </c>
      <c r="D31" s="1012" t="s">
        <v>2721</v>
      </c>
      <c r="E31" s="1008" t="s">
        <v>347</v>
      </c>
      <c r="F31" s="1008">
        <v>1.1399999999999999</v>
      </c>
    </row>
    <row r="32" spans="2:6" s="2" customFormat="1" ht="26.1" customHeight="1">
      <c r="B32" s="1007">
        <v>42742</v>
      </c>
      <c r="C32" s="1012" t="s">
        <v>2731</v>
      </c>
      <c r="D32" s="1012" t="s">
        <v>2730</v>
      </c>
      <c r="E32" s="1008" t="s">
        <v>347</v>
      </c>
      <c r="F32" s="1008">
        <v>1.1399999999999999</v>
      </c>
    </row>
    <row r="33" spans="2:6" s="2" customFormat="1" ht="26.1" customHeight="1">
      <c r="B33" s="1007">
        <v>42742</v>
      </c>
      <c r="C33" s="1012" t="s">
        <v>2733</v>
      </c>
      <c r="D33" s="1012" t="s">
        <v>2734</v>
      </c>
      <c r="E33" s="1008" t="s">
        <v>347</v>
      </c>
      <c r="F33" s="1008">
        <v>1.1399999999999999</v>
      </c>
    </row>
    <row r="34" spans="2:6" s="2" customFormat="1" ht="26.1" customHeight="1">
      <c r="B34" s="1007">
        <v>42742</v>
      </c>
      <c r="C34" s="1012" t="s">
        <v>2735</v>
      </c>
      <c r="D34" s="1012" t="s">
        <v>2736</v>
      </c>
      <c r="E34" s="1008" t="s">
        <v>347</v>
      </c>
      <c r="F34" s="1008">
        <v>1.1499999999999999</v>
      </c>
    </row>
    <row r="35" spans="2:6" s="2" customFormat="1" ht="26.1" customHeight="1">
      <c r="B35" s="1007">
        <v>42742</v>
      </c>
      <c r="C35" s="1012" t="s">
        <v>2737</v>
      </c>
      <c r="D35" s="1012" t="s">
        <v>2738</v>
      </c>
      <c r="E35" s="1008" t="s">
        <v>347</v>
      </c>
      <c r="F35" s="1008">
        <v>1.1599999999999999</v>
      </c>
    </row>
    <row r="36" spans="2:6" s="2" customFormat="1" ht="26.1" customHeight="1">
      <c r="B36" s="1007">
        <v>42762</v>
      </c>
      <c r="C36" s="1012" t="s">
        <v>2740</v>
      </c>
      <c r="D36" s="1012" t="s">
        <v>2739</v>
      </c>
      <c r="E36" s="1008" t="s">
        <v>347</v>
      </c>
      <c r="F36" s="1008">
        <v>1.17</v>
      </c>
    </row>
    <row r="37" spans="2:6" s="2" customFormat="1" ht="26.1" customHeight="1">
      <c r="B37" s="1007">
        <v>42766</v>
      </c>
      <c r="C37" s="1012" t="s">
        <v>2741</v>
      </c>
      <c r="D37" s="1012" t="s">
        <v>2742</v>
      </c>
      <c r="E37" s="1008" t="s">
        <v>347</v>
      </c>
      <c r="F37" s="1008">
        <v>1.18</v>
      </c>
    </row>
    <row r="38" spans="2:6" s="2" customFormat="1" ht="26.1" customHeight="1">
      <c r="B38" s="1007">
        <v>42768</v>
      </c>
      <c r="C38" s="1012" t="s">
        <v>2743</v>
      </c>
      <c r="D38" s="1012" t="s">
        <v>2744</v>
      </c>
      <c r="E38" s="1008" t="s">
        <v>347</v>
      </c>
      <c r="F38" s="1008">
        <v>1.19</v>
      </c>
    </row>
    <row r="39" spans="2:6" s="2" customFormat="1" ht="26.1" customHeight="1">
      <c r="B39" s="1007">
        <v>42768</v>
      </c>
      <c r="C39" s="1012" t="s">
        <v>2748</v>
      </c>
      <c r="D39" s="1012" t="s">
        <v>2749</v>
      </c>
      <c r="E39" s="1008" t="s">
        <v>347</v>
      </c>
      <c r="F39" s="1008">
        <v>1.19</v>
      </c>
    </row>
    <row r="40" spans="2:6" s="2" customFormat="1" ht="26.1" customHeight="1">
      <c r="B40" s="1007">
        <v>42768</v>
      </c>
      <c r="C40" s="1012" t="s">
        <v>2763</v>
      </c>
      <c r="D40" s="1012" t="s">
        <v>2764</v>
      </c>
      <c r="E40" s="1008" t="s">
        <v>347</v>
      </c>
      <c r="F40" s="1008">
        <v>1.19</v>
      </c>
    </row>
    <row r="41" spans="2:6" s="2" customFormat="1" ht="26.1" customHeight="1">
      <c r="B41" s="1007">
        <v>42768</v>
      </c>
      <c r="C41" s="1012" t="s">
        <v>2765</v>
      </c>
      <c r="D41" s="1012" t="s">
        <v>2764</v>
      </c>
      <c r="E41" s="1008" t="s">
        <v>347</v>
      </c>
      <c r="F41" s="1008">
        <v>1.19</v>
      </c>
    </row>
    <row r="42" spans="2:6" s="2" customFormat="1" ht="26.1" customHeight="1">
      <c r="B42" s="1007">
        <v>42768</v>
      </c>
      <c r="C42" s="1012" t="s">
        <v>2766</v>
      </c>
      <c r="D42" s="1012" t="s">
        <v>2767</v>
      </c>
      <c r="E42" s="1008" t="s">
        <v>347</v>
      </c>
      <c r="F42" s="1008">
        <v>1.19</v>
      </c>
    </row>
    <row r="43" spans="2:6" s="2" customFormat="1" ht="26.1" customHeight="1">
      <c r="B43" s="1007">
        <v>42768</v>
      </c>
      <c r="C43" s="1012" t="s">
        <v>2768</v>
      </c>
      <c r="D43" s="1012" t="s">
        <v>2769</v>
      </c>
      <c r="E43" s="1008" t="s">
        <v>347</v>
      </c>
      <c r="F43" s="1008">
        <v>1.19</v>
      </c>
    </row>
    <row r="44" spans="2:6" s="2" customFormat="1" ht="26.1" customHeight="1">
      <c r="B44" s="1007">
        <v>42770</v>
      </c>
      <c r="C44" s="1012" t="s">
        <v>2774</v>
      </c>
      <c r="D44" s="1012" t="s">
        <v>2775</v>
      </c>
      <c r="E44" s="1008" t="s">
        <v>347</v>
      </c>
      <c r="F44" s="1008">
        <v>1.2</v>
      </c>
    </row>
    <row r="45" spans="2:6" s="2" customFormat="1" ht="26.1" customHeight="1">
      <c r="B45" s="1007">
        <v>42819</v>
      </c>
      <c r="C45" s="1012" t="s">
        <v>2832</v>
      </c>
      <c r="D45" s="1012" t="s">
        <v>2833</v>
      </c>
      <c r="E45" s="1008" t="s">
        <v>347</v>
      </c>
      <c r="F45" s="1008">
        <v>1.21</v>
      </c>
    </row>
    <row r="46" spans="2:6" s="2" customFormat="1" ht="26.1" customHeight="1">
      <c r="B46" s="1007">
        <v>42819</v>
      </c>
      <c r="C46" s="1012" t="s">
        <v>2834</v>
      </c>
      <c r="D46" s="1012" t="s">
        <v>2835</v>
      </c>
      <c r="E46" s="1008" t="s">
        <v>347</v>
      </c>
      <c r="F46" s="1008">
        <v>1.21</v>
      </c>
    </row>
    <row r="47" spans="2:6" s="2" customFormat="1" ht="26.1" customHeight="1">
      <c r="B47" s="1007">
        <v>42819</v>
      </c>
      <c r="C47" s="1012" t="s">
        <v>2838</v>
      </c>
      <c r="D47" s="1012" t="s">
        <v>2836</v>
      </c>
      <c r="E47" s="1008" t="s">
        <v>347</v>
      </c>
      <c r="F47" s="1008">
        <v>1.21</v>
      </c>
    </row>
    <row r="48" spans="2:6" s="2" customFormat="1" ht="26.1" customHeight="1">
      <c r="B48" s="1007">
        <v>42819</v>
      </c>
      <c r="C48" s="1012" t="s">
        <v>2837</v>
      </c>
      <c r="D48" s="1012" t="s">
        <v>2840</v>
      </c>
      <c r="E48" s="1008" t="s">
        <v>347</v>
      </c>
      <c r="F48" s="1008">
        <v>1.21</v>
      </c>
    </row>
    <row r="49" spans="2:6" s="2" customFormat="1" ht="26.1" customHeight="1">
      <c r="B49" s="1007">
        <v>42819</v>
      </c>
      <c r="C49" s="1012" t="s">
        <v>2839</v>
      </c>
      <c r="D49" s="1012" t="s">
        <v>2841</v>
      </c>
      <c r="E49" s="1008" t="s">
        <v>347</v>
      </c>
      <c r="F49" s="1008">
        <v>1.21</v>
      </c>
    </row>
    <row r="50" spans="2:6" s="2" customFormat="1" ht="26.1" customHeight="1">
      <c r="B50" s="1007">
        <v>42819</v>
      </c>
      <c r="C50" s="1012" t="s">
        <v>2842</v>
      </c>
      <c r="E50" s="1008" t="s">
        <v>347</v>
      </c>
      <c r="F50" s="1008">
        <v>1.21</v>
      </c>
    </row>
    <row r="51" spans="2:6" s="2" customFormat="1" ht="26.1" customHeight="1">
      <c r="B51" s="1007">
        <v>42819</v>
      </c>
      <c r="C51" s="1012" t="s">
        <v>2843</v>
      </c>
      <c r="D51" s="1011" t="s">
        <v>2844</v>
      </c>
      <c r="E51" s="1008" t="s">
        <v>347</v>
      </c>
      <c r="F51" s="1008">
        <v>1.21</v>
      </c>
    </row>
    <row r="52" spans="2:6" s="2" customFormat="1" ht="26.1" customHeight="1">
      <c r="B52" s="1007">
        <v>42819</v>
      </c>
      <c r="C52" s="1012" t="s">
        <v>2845</v>
      </c>
      <c r="D52" s="1011" t="s">
        <v>2846</v>
      </c>
      <c r="E52" s="1008" t="s">
        <v>347</v>
      </c>
      <c r="F52" s="1008">
        <v>1.21</v>
      </c>
    </row>
    <row r="53" spans="2:6" s="2" customFormat="1" ht="26.1" customHeight="1">
      <c r="B53" s="1007">
        <v>42819</v>
      </c>
      <c r="C53" s="1012" t="s">
        <v>2847</v>
      </c>
      <c r="D53" s="1011" t="s">
        <v>2848</v>
      </c>
      <c r="E53" s="1008" t="s">
        <v>347</v>
      </c>
      <c r="F53" s="1008">
        <v>1.21</v>
      </c>
    </row>
    <row r="54" spans="2:6" s="2" customFormat="1" ht="26.1" customHeight="1">
      <c r="B54" s="1007">
        <v>42819</v>
      </c>
      <c r="C54" s="1012" t="s">
        <v>2849</v>
      </c>
      <c r="D54" s="1011" t="s">
        <v>2850</v>
      </c>
      <c r="E54" s="1008" t="s">
        <v>347</v>
      </c>
      <c r="F54" s="1008">
        <v>1.21</v>
      </c>
    </row>
    <row r="55" spans="2:6" s="2" customFormat="1" ht="26.1" customHeight="1">
      <c r="B55" s="1007">
        <v>42819</v>
      </c>
      <c r="C55" s="1012" t="s">
        <v>2851</v>
      </c>
      <c r="D55" s="1012" t="s">
        <v>2852</v>
      </c>
      <c r="E55" s="1008" t="s">
        <v>347</v>
      </c>
      <c r="F55" s="1008">
        <v>1.21</v>
      </c>
    </row>
    <row r="56" spans="2:6" s="2" customFormat="1" ht="26.1" customHeight="1">
      <c r="B56" s="1007">
        <v>42819</v>
      </c>
      <c r="C56" s="1012" t="s">
        <v>2853</v>
      </c>
      <c r="D56" s="1012" t="s">
        <v>2854</v>
      </c>
      <c r="E56" s="1008" t="s">
        <v>347</v>
      </c>
      <c r="F56" s="1008">
        <v>1.21</v>
      </c>
    </row>
    <row r="57" spans="2:6" s="2" customFormat="1" ht="26.1" customHeight="1">
      <c r="B57" s="1007">
        <v>42819</v>
      </c>
      <c r="C57" s="1012" t="s">
        <v>2855</v>
      </c>
      <c r="D57" s="1012" t="s">
        <v>2856</v>
      </c>
      <c r="E57" s="1008" t="s">
        <v>347</v>
      </c>
      <c r="F57" s="1008">
        <v>1.21</v>
      </c>
    </row>
    <row r="58" spans="2:6" s="2" customFormat="1" ht="26.1" customHeight="1">
      <c r="B58" s="1007">
        <v>42830</v>
      </c>
      <c r="C58" s="1012" t="s">
        <v>2919</v>
      </c>
      <c r="D58" s="1012" t="s">
        <v>2916</v>
      </c>
      <c r="E58" s="1008" t="s">
        <v>347</v>
      </c>
      <c r="F58" s="1008">
        <v>1.23</v>
      </c>
    </row>
    <row r="59" spans="2:6" s="2" customFormat="1" ht="26.1" customHeight="1">
      <c r="B59" s="1007">
        <v>42835</v>
      </c>
      <c r="C59" s="1012" t="s">
        <v>2918</v>
      </c>
      <c r="D59" s="1012" t="s">
        <v>2920</v>
      </c>
      <c r="E59" s="1008" t="s">
        <v>347</v>
      </c>
      <c r="F59" s="1008">
        <v>1.24</v>
      </c>
    </row>
    <row r="60" spans="2:6" s="2" customFormat="1" ht="26.1" customHeight="1">
      <c r="B60" s="1007">
        <v>42835</v>
      </c>
      <c r="C60" s="1012" t="s">
        <v>2921</v>
      </c>
      <c r="E60" s="1008" t="s">
        <v>347</v>
      </c>
      <c r="F60" s="1008">
        <v>1.24</v>
      </c>
    </row>
    <row r="61" spans="2:6" s="2" customFormat="1" ht="26.1" customHeight="1">
      <c r="B61" s="1007">
        <v>42837</v>
      </c>
      <c r="C61" s="1012" t="s">
        <v>2922</v>
      </c>
      <c r="D61" s="2" t="s">
        <v>2923</v>
      </c>
      <c r="E61" s="1008" t="s">
        <v>347</v>
      </c>
      <c r="F61" s="1008">
        <v>1.25</v>
      </c>
    </row>
    <row r="62" spans="2:6" s="2" customFormat="1" ht="26.1" customHeight="1">
      <c r="B62" s="1007">
        <v>42861</v>
      </c>
      <c r="C62" s="1012" t="s">
        <v>3115</v>
      </c>
      <c r="D62" s="1011" t="s">
        <v>3114</v>
      </c>
      <c r="E62" s="1008" t="s">
        <v>347</v>
      </c>
      <c r="F62" s="1008">
        <v>1.26</v>
      </c>
    </row>
    <row r="63" spans="2:6" s="2" customFormat="1" ht="26.1" customHeight="1">
      <c r="B63" s="1007">
        <v>42861</v>
      </c>
      <c r="C63" s="1012" t="s">
        <v>3116</v>
      </c>
      <c r="D63" s="1011" t="s">
        <v>3114</v>
      </c>
      <c r="E63" s="1008" t="s">
        <v>347</v>
      </c>
      <c r="F63" s="1008">
        <v>1.26</v>
      </c>
    </row>
    <row r="64" spans="2:6" s="2" customFormat="1" ht="26.1" customHeight="1">
      <c r="B64" s="1007">
        <v>42861</v>
      </c>
      <c r="C64" s="1012" t="s">
        <v>3117</v>
      </c>
      <c r="D64" s="1012" t="s">
        <v>3118</v>
      </c>
      <c r="E64" s="1008" t="s">
        <v>347</v>
      </c>
      <c r="F64" s="1008">
        <v>1.26</v>
      </c>
    </row>
    <row r="65" spans="2:6" s="2" customFormat="1" ht="26.1" customHeight="1">
      <c r="B65" s="1007">
        <v>42861</v>
      </c>
      <c r="C65" s="1012" t="s">
        <v>3119</v>
      </c>
      <c r="D65" s="1011"/>
      <c r="E65" s="1008" t="s">
        <v>347</v>
      </c>
      <c r="F65" s="1008">
        <v>1.26</v>
      </c>
    </row>
    <row r="66" spans="2:6" s="2" customFormat="1" ht="26.1" customHeight="1">
      <c r="B66" s="1007">
        <v>42861</v>
      </c>
      <c r="C66" s="1012" t="s">
        <v>3120</v>
      </c>
      <c r="D66" s="1011" t="s">
        <v>3121</v>
      </c>
      <c r="E66" s="1008" t="s">
        <v>347</v>
      </c>
      <c r="F66" s="1008">
        <v>1.26</v>
      </c>
    </row>
    <row r="67" spans="2:6" s="2" customFormat="1" ht="26.1" customHeight="1">
      <c r="B67" s="1007">
        <v>42861</v>
      </c>
      <c r="C67" s="1012" t="s">
        <v>3122</v>
      </c>
      <c r="D67" s="1011" t="s">
        <v>3123</v>
      </c>
      <c r="E67" s="1008" t="s">
        <v>347</v>
      </c>
      <c r="F67" s="1008">
        <v>1.26</v>
      </c>
    </row>
    <row r="68" spans="2:6" s="2" customFormat="1" ht="26.1" customHeight="1">
      <c r="B68" s="1007">
        <v>42861</v>
      </c>
      <c r="C68" s="1012" t="s">
        <v>3124</v>
      </c>
      <c r="D68" s="1012" t="s">
        <v>3125</v>
      </c>
      <c r="E68" s="1008" t="s">
        <v>347</v>
      </c>
      <c r="F68" s="1008">
        <v>1.26</v>
      </c>
    </row>
    <row r="69" spans="2:6" s="2" customFormat="1" ht="26.1" customHeight="1">
      <c r="B69" s="1007">
        <v>42861</v>
      </c>
      <c r="C69" s="1012" t="s">
        <v>3144</v>
      </c>
      <c r="D69" s="1012" t="s">
        <v>3145</v>
      </c>
      <c r="E69" s="1008" t="s">
        <v>347</v>
      </c>
      <c r="F69" s="1008">
        <v>1.26</v>
      </c>
    </row>
    <row r="70" spans="2:6" s="2" customFormat="1" ht="26.1" customHeight="1">
      <c r="B70" s="1007">
        <v>42861</v>
      </c>
      <c r="C70" s="1012" t="s">
        <v>3147</v>
      </c>
      <c r="D70" s="1012" t="s">
        <v>3146</v>
      </c>
      <c r="E70" s="1008" t="s">
        <v>347</v>
      </c>
      <c r="F70" s="1008">
        <v>1.26</v>
      </c>
    </row>
    <row r="71" spans="2:6" s="2" customFormat="1" ht="26.1" customHeight="1">
      <c r="B71" s="1007">
        <v>42881</v>
      </c>
      <c r="C71" s="1012" t="s">
        <v>3149</v>
      </c>
      <c r="D71" s="1012" t="s">
        <v>3150</v>
      </c>
      <c r="E71" s="1008" t="s">
        <v>347</v>
      </c>
      <c r="F71" s="1008">
        <v>1.27</v>
      </c>
    </row>
    <row r="72" spans="2:6" s="2" customFormat="1" ht="26.1" customHeight="1">
      <c r="B72" s="1007">
        <v>42881</v>
      </c>
      <c r="C72" s="1012" t="s">
        <v>3152</v>
      </c>
      <c r="D72" s="1012" t="s">
        <v>3151</v>
      </c>
      <c r="E72" s="1008" t="s">
        <v>347</v>
      </c>
      <c r="F72" s="1008">
        <v>1.27</v>
      </c>
    </row>
    <row r="73" spans="2:6" s="2" customFormat="1" ht="26.1" customHeight="1">
      <c r="B73" s="1007">
        <v>42881</v>
      </c>
      <c r="C73" s="1012" t="s">
        <v>3153</v>
      </c>
      <c r="D73" s="1012" t="s">
        <v>3154</v>
      </c>
      <c r="E73" s="1008" t="s">
        <v>347</v>
      </c>
      <c r="F73" s="1008">
        <v>1.27</v>
      </c>
    </row>
    <row r="74" spans="2:6" s="2" customFormat="1" ht="26.1" customHeight="1">
      <c r="B74" s="1007">
        <v>42881</v>
      </c>
      <c r="C74" s="1012" t="s">
        <v>3156</v>
      </c>
      <c r="D74" s="1012" t="s">
        <v>3155</v>
      </c>
      <c r="E74" s="1008" t="s">
        <v>347</v>
      </c>
      <c r="F74" s="1008">
        <v>1.27</v>
      </c>
    </row>
    <row r="75" spans="2:6" s="2" customFormat="1" ht="26.1" customHeight="1">
      <c r="B75" s="1007">
        <v>42881</v>
      </c>
      <c r="C75" s="1012" t="s">
        <v>3157</v>
      </c>
      <c r="D75" s="1012" t="s">
        <v>3158</v>
      </c>
      <c r="E75" s="1008" t="s">
        <v>347</v>
      </c>
      <c r="F75" s="1008">
        <v>1.27</v>
      </c>
    </row>
    <row r="76" spans="2:6" s="2" customFormat="1" ht="26.1" customHeight="1">
      <c r="B76" s="1007">
        <v>42881</v>
      </c>
      <c r="C76" s="1012" t="s">
        <v>3159</v>
      </c>
      <c r="D76" s="1012" t="s">
        <v>3160</v>
      </c>
      <c r="E76" s="1008" t="s">
        <v>347</v>
      </c>
      <c r="F76" s="1008">
        <v>1.27</v>
      </c>
    </row>
    <row r="77" spans="2:6" s="2" customFormat="1" ht="26.1" customHeight="1">
      <c r="B77" s="1007">
        <v>42881</v>
      </c>
      <c r="C77" s="1012" t="s">
        <v>3161</v>
      </c>
      <c r="D77" s="1012" t="s">
        <v>3162</v>
      </c>
      <c r="E77" s="1008" t="s">
        <v>347</v>
      </c>
      <c r="F77" s="1008">
        <v>1.27</v>
      </c>
    </row>
    <row r="78" spans="2:6" s="2" customFormat="1" ht="26.1" customHeight="1">
      <c r="B78" s="1007">
        <v>42887</v>
      </c>
      <c r="C78" s="1012" t="s">
        <v>3164</v>
      </c>
      <c r="D78" s="1012" t="s">
        <v>3165</v>
      </c>
      <c r="E78" s="1008" t="s">
        <v>347</v>
      </c>
      <c r="F78" s="1008">
        <v>1.28</v>
      </c>
    </row>
    <row r="79" spans="2:6" s="2" customFormat="1" ht="26.1" customHeight="1">
      <c r="B79" s="1007">
        <v>42934</v>
      </c>
      <c r="C79" s="1012" t="s">
        <v>3237</v>
      </c>
      <c r="D79" s="1012"/>
      <c r="E79" s="1008" t="s">
        <v>347</v>
      </c>
      <c r="F79" s="1008">
        <v>1.29</v>
      </c>
    </row>
    <row r="80" spans="2:6" s="2" customFormat="1" ht="26.1" customHeight="1">
      <c r="B80" s="1013">
        <v>42954</v>
      </c>
      <c r="C80" s="1012" t="s">
        <v>3261</v>
      </c>
      <c r="D80" s="1012"/>
      <c r="E80" s="1008" t="s">
        <v>347</v>
      </c>
      <c r="F80" s="1008">
        <v>1.29</v>
      </c>
    </row>
    <row r="81" spans="2:6" s="2" customFormat="1" ht="26.1" customHeight="1">
      <c r="B81" s="1013">
        <v>42955</v>
      </c>
      <c r="C81" s="1012" t="s">
        <v>3264</v>
      </c>
      <c r="D81" s="1012" t="s">
        <v>3265</v>
      </c>
      <c r="E81" s="1008" t="s">
        <v>347</v>
      </c>
      <c r="F81" s="1008">
        <v>1.29</v>
      </c>
    </row>
    <row r="82" spans="2:6" s="2" customFormat="1" ht="26.1" customHeight="1">
      <c r="B82" s="1013">
        <v>42959</v>
      </c>
      <c r="C82" s="1012" t="s">
        <v>3266</v>
      </c>
      <c r="D82" s="1012" t="s">
        <v>3267</v>
      </c>
      <c r="E82" s="1008" t="s">
        <v>347</v>
      </c>
      <c r="F82" s="1008">
        <v>1.29</v>
      </c>
    </row>
    <row r="83" spans="2:6" s="2" customFormat="1" ht="26.1" customHeight="1">
      <c r="B83" s="1013">
        <v>42959</v>
      </c>
      <c r="C83" s="1012" t="s">
        <v>3268</v>
      </c>
      <c r="D83" s="1012" t="s">
        <v>3269</v>
      </c>
      <c r="E83" s="1008" t="s">
        <v>347</v>
      </c>
      <c r="F83" s="1008">
        <v>1.29</v>
      </c>
    </row>
    <row r="84" spans="2:6" s="2" customFormat="1" ht="26.1" customHeight="1">
      <c r="B84" s="1013">
        <v>42959</v>
      </c>
      <c r="C84" s="1012" t="s">
        <v>3270</v>
      </c>
      <c r="D84" s="1012" t="s">
        <v>3271</v>
      </c>
      <c r="E84" s="1008" t="s">
        <v>347</v>
      </c>
      <c r="F84" s="1008">
        <v>1.29</v>
      </c>
    </row>
    <row r="85" spans="2:6" s="2" customFormat="1" ht="26.1" customHeight="1">
      <c r="B85" s="1013">
        <v>42962</v>
      </c>
      <c r="C85" s="1012" t="s">
        <v>3277</v>
      </c>
      <c r="D85" s="1012" t="s">
        <v>3278</v>
      </c>
      <c r="E85" s="1008" t="s">
        <v>347</v>
      </c>
      <c r="F85" s="1052" t="s">
        <v>3276</v>
      </c>
    </row>
    <row r="86" spans="2:6" s="2" customFormat="1" ht="26.1" customHeight="1">
      <c r="B86" s="1013">
        <v>42962</v>
      </c>
      <c r="C86" s="1012" t="s">
        <v>3279</v>
      </c>
      <c r="D86" s="1012" t="s">
        <v>3280</v>
      </c>
      <c r="E86" s="1008" t="s">
        <v>347</v>
      </c>
      <c r="F86" s="1052" t="s">
        <v>3276</v>
      </c>
    </row>
    <row r="87" spans="2:6" s="2" customFormat="1" ht="26.1" customHeight="1">
      <c r="B87" s="1013">
        <v>42965</v>
      </c>
      <c r="C87" s="1012" t="s">
        <v>3281</v>
      </c>
      <c r="D87" s="1012" t="s">
        <v>3282</v>
      </c>
      <c r="E87" s="1008" t="s">
        <v>347</v>
      </c>
      <c r="F87" s="1052" t="s">
        <v>3276</v>
      </c>
    </row>
    <row r="88" spans="2:6" s="2" customFormat="1" ht="26.1" customHeight="1">
      <c r="B88" s="1013">
        <v>42965</v>
      </c>
      <c r="C88" s="1012" t="s">
        <v>3288</v>
      </c>
      <c r="D88" s="1012" t="s">
        <v>3289</v>
      </c>
      <c r="E88" s="1008" t="s">
        <v>347</v>
      </c>
      <c r="F88" s="1052" t="s">
        <v>3276</v>
      </c>
    </row>
    <row r="89" spans="2:6" s="2" customFormat="1" ht="26.1" customHeight="1">
      <c r="B89" s="1013">
        <v>42966</v>
      </c>
      <c r="C89" s="1012" t="s">
        <v>3291</v>
      </c>
      <c r="D89" s="1012" t="s">
        <v>3292</v>
      </c>
      <c r="E89" s="1008" t="s">
        <v>347</v>
      </c>
      <c r="F89" s="1052" t="s">
        <v>3290</v>
      </c>
    </row>
    <row r="90" spans="2:6" s="2" customFormat="1" ht="26.1" customHeight="1">
      <c r="B90" s="1013">
        <v>42966</v>
      </c>
      <c r="C90" s="1012" t="s">
        <v>3294</v>
      </c>
      <c r="D90" s="1012" t="s">
        <v>3293</v>
      </c>
      <c r="E90" s="1008" t="s">
        <v>347</v>
      </c>
      <c r="F90" s="1052" t="s">
        <v>3290</v>
      </c>
    </row>
    <row r="91" spans="2:6" s="2" customFormat="1" ht="26.1" customHeight="1">
      <c r="B91" s="1013">
        <v>42966</v>
      </c>
      <c r="C91" s="1012" t="s">
        <v>3295</v>
      </c>
      <c r="D91" s="1012" t="s">
        <v>3296</v>
      </c>
      <c r="E91" s="1008" t="s">
        <v>347</v>
      </c>
      <c r="F91" s="1052" t="s">
        <v>3290</v>
      </c>
    </row>
    <row r="92" spans="2:6" s="2" customFormat="1" ht="26.1" customHeight="1">
      <c r="B92" s="1800">
        <v>42966</v>
      </c>
      <c r="C92" s="1799" t="s">
        <v>3300</v>
      </c>
      <c r="D92" s="1799" t="s">
        <v>3297</v>
      </c>
      <c r="E92" s="1798" t="s">
        <v>347</v>
      </c>
      <c r="F92" s="1801" t="s">
        <v>3290</v>
      </c>
    </row>
    <row r="93" spans="2:6" s="2" customFormat="1" ht="26.1" customHeight="1">
      <c r="B93" s="1800">
        <v>42966</v>
      </c>
      <c r="C93" s="1799" t="s">
        <v>3298</v>
      </c>
      <c r="D93" s="1799" t="s">
        <v>3297</v>
      </c>
      <c r="E93" s="1798" t="s">
        <v>347</v>
      </c>
      <c r="F93" s="1801" t="s">
        <v>3290</v>
      </c>
    </row>
    <row r="94" spans="2:6" s="2" customFormat="1" ht="26.1" customHeight="1">
      <c r="B94" s="1800">
        <v>42966</v>
      </c>
      <c r="C94" s="1799" t="s">
        <v>3299</v>
      </c>
      <c r="D94" s="1799" t="s">
        <v>3297</v>
      </c>
      <c r="E94" s="1798" t="s">
        <v>347</v>
      </c>
      <c r="F94" s="1801" t="s">
        <v>3290</v>
      </c>
    </row>
    <row r="95" spans="2:6" s="2" customFormat="1" ht="26.1" customHeight="1">
      <c r="B95" s="1800">
        <v>42972</v>
      </c>
      <c r="C95" s="1799" t="s">
        <v>3305</v>
      </c>
      <c r="D95" s="1799" t="s">
        <v>3304</v>
      </c>
      <c r="E95" s="1798" t="s">
        <v>347</v>
      </c>
      <c r="F95" s="1801" t="s">
        <v>3290</v>
      </c>
    </row>
    <row r="96" spans="2:6" s="2" customFormat="1" ht="26.1" customHeight="1">
      <c r="B96" s="1800">
        <v>42972</v>
      </c>
      <c r="C96" s="1799" t="s">
        <v>3306</v>
      </c>
      <c r="D96" s="1799" t="s">
        <v>3307</v>
      </c>
      <c r="E96" s="1798" t="s">
        <v>347</v>
      </c>
      <c r="F96" s="1801" t="s">
        <v>3290</v>
      </c>
    </row>
    <row r="97" spans="2:6" s="2" customFormat="1" ht="26.1" customHeight="1">
      <c r="B97" s="1007">
        <v>42984</v>
      </c>
      <c r="C97" s="2" t="s">
        <v>3311</v>
      </c>
      <c r="D97" s="2" t="s">
        <v>3312</v>
      </c>
      <c r="E97" s="1008" t="s">
        <v>347</v>
      </c>
      <c r="F97" s="1008" t="s">
        <v>3290</v>
      </c>
    </row>
    <row r="98" spans="2:6" s="2" customFormat="1" ht="26.1" customHeight="1">
      <c r="B98" s="1007">
        <v>43068</v>
      </c>
      <c r="C98" s="2" t="s">
        <v>3314</v>
      </c>
      <c r="D98" s="2" t="s">
        <v>3313</v>
      </c>
      <c r="E98" s="1798" t="s">
        <v>347</v>
      </c>
      <c r="F98" s="1798">
        <v>1.32</v>
      </c>
    </row>
    <row r="99" spans="2:6" s="2" customFormat="1" ht="26.1" customHeight="1">
      <c r="B99" s="1007">
        <v>43070</v>
      </c>
      <c r="C99" s="1799" t="s">
        <v>3328</v>
      </c>
      <c r="D99" s="1799" t="s">
        <v>3327</v>
      </c>
      <c r="E99" s="1798" t="s">
        <v>347</v>
      </c>
      <c r="F99" s="1798">
        <v>1.32</v>
      </c>
    </row>
    <row r="100" spans="2:6" s="2" customFormat="1" ht="26.1" customHeight="1">
      <c r="B100" s="1007">
        <v>43071</v>
      </c>
      <c r="C100" s="1799" t="s">
        <v>3330</v>
      </c>
      <c r="D100" s="1799" t="s">
        <v>3329</v>
      </c>
      <c r="E100" s="1798" t="s">
        <v>347</v>
      </c>
      <c r="F100" s="1798">
        <v>1.32</v>
      </c>
    </row>
    <row r="101" spans="2:6" s="2" customFormat="1" ht="26.1" customHeight="1">
      <c r="B101" s="1007">
        <v>43071</v>
      </c>
      <c r="C101" s="1799" t="s">
        <v>3341</v>
      </c>
      <c r="D101" s="1799" t="s">
        <v>3340</v>
      </c>
      <c r="E101" s="1798" t="s">
        <v>347</v>
      </c>
      <c r="F101" s="1798">
        <v>1.32</v>
      </c>
    </row>
    <row r="102" spans="2:6" s="2" customFormat="1" ht="26.1" customHeight="1">
      <c r="B102" s="1007">
        <v>43071</v>
      </c>
      <c r="C102" s="1799" t="s">
        <v>3342</v>
      </c>
      <c r="D102" s="1799" t="s">
        <v>3343</v>
      </c>
      <c r="E102" s="1798" t="s">
        <v>347</v>
      </c>
      <c r="F102" s="1798">
        <v>1.32</v>
      </c>
    </row>
    <row r="103" spans="2:6" s="2" customFormat="1" ht="26.1" customHeight="1">
      <c r="B103" s="1007">
        <v>43071</v>
      </c>
      <c r="C103" s="1799" t="s">
        <v>3344</v>
      </c>
      <c r="D103" s="1799" t="s">
        <v>3345</v>
      </c>
      <c r="E103" s="1798" t="s">
        <v>347</v>
      </c>
      <c r="F103" s="1798">
        <v>1.32</v>
      </c>
    </row>
    <row r="104" spans="2:6" s="2" customFormat="1" ht="26.1" customHeight="1">
      <c r="B104" s="1007">
        <v>43071</v>
      </c>
      <c r="C104" s="1799" t="s">
        <v>3346</v>
      </c>
      <c r="D104" s="1799" t="s">
        <v>3347</v>
      </c>
      <c r="E104" s="1798" t="s">
        <v>347</v>
      </c>
      <c r="F104" s="1798">
        <v>1.32</v>
      </c>
    </row>
    <row r="105" spans="2:6" s="2" customFormat="1" ht="26.1" customHeight="1">
      <c r="B105" s="1007">
        <v>43071</v>
      </c>
      <c r="C105" s="1799" t="s">
        <v>3348</v>
      </c>
      <c r="D105" s="1799" t="s">
        <v>3349</v>
      </c>
      <c r="E105" s="1798" t="s">
        <v>347</v>
      </c>
      <c r="F105" s="1798">
        <v>1.32</v>
      </c>
    </row>
    <row r="106" spans="2:6" s="2" customFormat="1" ht="26.1" customHeight="1">
      <c r="B106" s="1007">
        <v>43071</v>
      </c>
      <c r="C106" s="1799" t="s">
        <v>3358</v>
      </c>
      <c r="D106" s="1799" t="s">
        <v>3359</v>
      </c>
      <c r="E106" s="1798" t="s">
        <v>347</v>
      </c>
      <c r="F106" s="1798">
        <v>1.32</v>
      </c>
    </row>
    <row r="107" spans="2:6" s="2" customFormat="1" ht="26.1" customHeight="1">
      <c r="B107" s="1007">
        <v>43071</v>
      </c>
      <c r="C107" s="1799" t="s">
        <v>3360</v>
      </c>
      <c r="D107" s="1799" t="s">
        <v>3361</v>
      </c>
      <c r="E107" s="1798" t="s">
        <v>347</v>
      </c>
      <c r="F107" s="1798">
        <v>1.32</v>
      </c>
    </row>
    <row r="108" spans="2:6" s="2" customFormat="1" ht="26.1" customHeight="1">
      <c r="B108" s="1007">
        <v>43071</v>
      </c>
      <c r="C108" s="1799" t="s">
        <v>3362</v>
      </c>
      <c r="D108" s="1799" t="s">
        <v>3363</v>
      </c>
      <c r="E108" s="1798" t="s">
        <v>347</v>
      </c>
      <c r="F108" s="1798">
        <v>1.32</v>
      </c>
    </row>
    <row r="109" spans="2:6" s="2" customFormat="1" ht="26.1" customHeight="1">
      <c r="B109" s="1007">
        <v>43071</v>
      </c>
      <c r="C109" s="1799" t="s">
        <v>3365</v>
      </c>
      <c r="D109" s="1799" t="s">
        <v>3366</v>
      </c>
      <c r="E109" s="1798" t="s">
        <v>347</v>
      </c>
      <c r="F109" s="1798">
        <v>1.32</v>
      </c>
    </row>
    <row r="110" spans="2:6" s="2" customFormat="1" ht="26.1" customHeight="1">
      <c r="B110" s="1007">
        <v>43071</v>
      </c>
      <c r="C110" s="1799" t="s">
        <v>3367</v>
      </c>
      <c r="D110" s="1799" t="s">
        <v>3366</v>
      </c>
      <c r="E110" s="1798" t="s">
        <v>347</v>
      </c>
      <c r="F110" s="1798">
        <v>1.32</v>
      </c>
    </row>
    <row r="111" spans="2:6" s="2" customFormat="1" ht="26.1" customHeight="1">
      <c r="B111" s="1007">
        <v>43072</v>
      </c>
      <c r="C111" s="1799" t="s">
        <v>3368</v>
      </c>
      <c r="D111" s="1799" t="s">
        <v>3369</v>
      </c>
      <c r="E111" s="1798" t="s">
        <v>347</v>
      </c>
      <c r="F111" s="1798">
        <v>1.33</v>
      </c>
    </row>
    <row r="112" spans="2:6" s="2" customFormat="1" ht="26.1" customHeight="1">
      <c r="B112" s="1007">
        <v>43074</v>
      </c>
      <c r="C112" s="1799" t="s">
        <v>3372</v>
      </c>
      <c r="D112" s="1799" t="s">
        <v>3373</v>
      </c>
      <c r="E112" s="1798" t="s">
        <v>347</v>
      </c>
      <c r="F112" s="1798">
        <v>1.33</v>
      </c>
    </row>
    <row r="113" spans="2:6" s="2" customFormat="1" ht="26.1" customHeight="1">
      <c r="B113" s="1007">
        <v>43075</v>
      </c>
      <c r="C113" s="1799" t="s">
        <v>3370</v>
      </c>
      <c r="D113" s="1799" t="s">
        <v>3371</v>
      </c>
      <c r="E113" s="1798" t="s">
        <v>347</v>
      </c>
      <c r="F113" s="1798">
        <v>1.33</v>
      </c>
    </row>
    <row r="114" spans="2:6" s="2" customFormat="1" ht="26.1" customHeight="1">
      <c r="B114" s="1007">
        <v>43081</v>
      </c>
      <c r="C114" s="1799" t="s">
        <v>3375</v>
      </c>
      <c r="D114" s="1799" t="s">
        <v>3374</v>
      </c>
      <c r="E114" s="1798" t="s">
        <v>347</v>
      </c>
      <c r="F114" s="1798">
        <v>1.33</v>
      </c>
    </row>
    <row r="115" spans="2:6" s="2" customFormat="1" ht="26.1" customHeight="1">
      <c r="B115" s="1007">
        <v>43082</v>
      </c>
      <c r="C115" s="1799" t="s">
        <v>3381</v>
      </c>
      <c r="D115" s="1799" t="s">
        <v>3382</v>
      </c>
      <c r="E115" s="1798" t="s">
        <v>347</v>
      </c>
      <c r="F115" s="1798">
        <v>1.34</v>
      </c>
    </row>
    <row r="116" spans="2:6" s="2" customFormat="1" ht="26.1" customHeight="1">
      <c r="B116" s="1007">
        <v>43082</v>
      </c>
      <c r="C116" s="1799" t="s">
        <v>3383</v>
      </c>
      <c r="D116" s="1799" t="s">
        <v>3366</v>
      </c>
      <c r="E116" s="1798" t="s">
        <v>347</v>
      </c>
      <c r="F116" s="1798">
        <v>1.34</v>
      </c>
    </row>
    <row r="117" spans="2:6" s="2" customFormat="1" ht="26.1" customHeight="1">
      <c r="B117" s="1007">
        <v>43085</v>
      </c>
      <c r="C117" s="1799" t="s">
        <v>3385</v>
      </c>
      <c r="D117" s="1799" t="s">
        <v>3386</v>
      </c>
      <c r="E117" s="1798" t="s">
        <v>347</v>
      </c>
      <c r="F117" s="1798">
        <v>1.35</v>
      </c>
    </row>
    <row r="118" spans="2:6" s="2" customFormat="1" ht="26.1" customHeight="1">
      <c r="B118" s="1007">
        <v>43085</v>
      </c>
      <c r="C118" s="1799" t="s">
        <v>3387</v>
      </c>
      <c r="D118" s="1799" t="s">
        <v>3388</v>
      </c>
      <c r="E118" s="1798" t="s">
        <v>347</v>
      </c>
      <c r="F118" s="1798">
        <v>1.35</v>
      </c>
    </row>
    <row r="119" spans="2:6" s="2" customFormat="1" ht="26.1" customHeight="1">
      <c r="B119" s="1007">
        <v>43086</v>
      </c>
      <c r="C119" s="1799" t="s">
        <v>3391</v>
      </c>
      <c r="D119" s="1799" t="s">
        <v>3392</v>
      </c>
      <c r="E119" s="1798" t="s">
        <v>347</v>
      </c>
      <c r="F119" s="1798">
        <v>2</v>
      </c>
    </row>
    <row r="120" spans="2:6" s="2" customFormat="1" ht="26.1" customHeight="1">
      <c r="B120" s="1007">
        <v>43096</v>
      </c>
      <c r="C120" s="1799" t="s">
        <v>3393</v>
      </c>
      <c r="D120" s="1799" t="s">
        <v>3394</v>
      </c>
      <c r="E120" s="1798" t="s">
        <v>347</v>
      </c>
      <c r="F120" s="1798">
        <v>2</v>
      </c>
    </row>
    <row r="121" spans="2:6" s="2" customFormat="1" ht="26.1" customHeight="1">
      <c r="B121" s="1007">
        <v>43096</v>
      </c>
      <c r="C121" s="1799" t="s">
        <v>3395</v>
      </c>
      <c r="D121" s="1799" t="s">
        <v>3396</v>
      </c>
      <c r="E121" s="1798" t="s">
        <v>347</v>
      </c>
      <c r="F121" s="1798">
        <v>2</v>
      </c>
    </row>
    <row r="122" spans="2:6" s="2" customFormat="1" ht="26.1" customHeight="1">
      <c r="B122" s="1007">
        <v>43096</v>
      </c>
      <c r="C122" s="1799" t="s">
        <v>3399</v>
      </c>
      <c r="D122" s="1799" t="s">
        <v>3398</v>
      </c>
      <c r="E122" s="1798" t="s">
        <v>347</v>
      </c>
      <c r="F122" s="1798">
        <v>2</v>
      </c>
    </row>
    <row r="123" spans="2:6" s="2" customFormat="1" ht="26.1" customHeight="1">
      <c r="B123" s="1007">
        <v>43108</v>
      </c>
      <c r="C123" s="1799" t="s">
        <v>3475</v>
      </c>
      <c r="D123" s="1799" t="s">
        <v>3476</v>
      </c>
      <c r="E123" s="1798" t="s">
        <v>347</v>
      </c>
      <c r="F123" s="1798">
        <v>2</v>
      </c>
    </row>
    <row r="124" spans="2:6" s="2" customFormat="1" ht="26.1" customHeight="1">
      <c r="B124" s="1007">
        <v>43108</v>
      </c>
      <c r="C124" s="1799" t="s">
        <v>3477</v>
      </c>
      <c r="D124" s="1799" t="s">
        <v>3478</v>
      </c>
      <c r="E124" s="1798" t="s">
        <v>347</v>
      </c>
      <c r="F124" s="1798">
        <v>2</v>
      </c>
    </row>
    <row r="125" spans="2:6" s="2" customFormat="1" ht="26.1" customHeight="1">
      <c r="B125" s="1007">
        <v>43108</v>
      </c>
      <c r="C125" s="1799" t="s">
        <v>3479</v>
      </c>
      <c r="D125" s="1799" t="s">
        <v>3478</v>
      </c>
      <c r="E125" s="1798" t="s">
        <v>347</v>
      </c>
      <c r="F125" s="1798">
        <v>2</v>
      </c>
    </row>
    <row r="126" spans="2:6" s="2" customFormat="1" ht="26.1" customHeight="1">
      <c r="B126" s="1007">
        <v>43115</v>
      </c>
      <c r="C126" s="1799" t="s">
        <v>3481</v>
      </c>
      <c r="D126" s="1799" t="s">
        <v>3482</v>
      </c>
      <c r="E126" s="1798" t="s">
        <v>347</v>
      </c>
      <c r="F126" s="1798">
        <v>2.0099999999999998</v>
      </c>
    </row>
    <row r="127" spans="2:6" s="2" customFormat="1" ht="26.1" customHeight="1">
      <c r="B127" s="1007">
        <v>43115</v>
      </c>
      <c r="C127" s="1799" t="s">
        <v>3484</v>
      </c>
      <c r="D127" s="1799" t="s">
        <v>3485</v>
      </c>
      <c r="E127" s="1798" t="s">
        <v>347</v>
      </c>
      <c r="F127" s="1798">
        <v>2.0099999999999998</v>
      </c>
    </row>
    <row r="128" spans="2:6" s="2" customFormat="1" ht="26.1" customHeight="1">
      <c r="B128" s="1007">
        <v>43126</v>
      </c>
      <c r="C128" s="1799" t="s">
        <v>3486</v>
      </c>
      <c r="D128" s="1799" t="s">
        <v>3487</v>
      </c>
      <c r="E128" s="1798" t="s">
        <v>347</v>
      </c>
      <c r="F128" s="1798">
        <v>2.0099999999999998</v>
      </c>
    </row>
    <row r="129" spans="2:6" s="2" customFormat="1" ht="26.1" customHeight="1">
      <c r="B129" s="1007">
        <v>43126</v>
      </c>
      <c r="C129" s="1799" t="s">
        <v>3488</v>
      </c>
      <c r="D129" s="1799" t="s">
        <v>3489</v>
      </c>
      <c r="E129" s="1798" t="s">
        <v>347</v>
      </c>
      <c r="F129" s="1798">
        <v>2.0099999999999998</v>
      </c>
    </row>
    <row r="130" spans="2:6" s="2" customFormat="1" ht="26.1" customHeight="1">
      <c r="B130" s="1007">
        <v>43126</v>
      </c>
      <c r="C130" s="1799" t="s">
        <v>3490</v>
      </c>
      <c r="D130" s="1799" t="s">
        <v>3491</v>
      </c>
      <c r="E130" s="1798" t="s">
        <v>347</v>
      </c>
      <c r="F130" s="1798">
        <v>2.0099999999999998</v>
      </c>
    </row>
    <row r="131" spans="2:6" s="2" customFormat="1" ht="26.1" customHeight="1">
      <c r="B131" s="1007">
        <v>43126</v>
      </c>
      <c r="C131" s="1799" t="s">
        <v>3494</v>
      </c>
      <c r="D131" s="1799" t="s">
        <v>3495</v>
      </c>
      <c r="E131" s="1798" t="s">
        <v>347</v>
      </c>
      <c r="F131" s="1798">
        <v>2.02</v>
      </c>
    </row>
    <row r="132" spans="2:6" s="2" customFormat="1" ht="26.1" customHeight="1">
      <c r="B132" s="1007">
        <v>43130</v>
      </c>
      <c r="C132" s="1799" t="s">
        <v>3494</v>
      </c>
      <c r="D132" s="1799" t="s">
        <v>3497</v>
      </c>
      <c r="E132" s="1798" t="s">
        <v>347</v>
      </c>
      <c r="F132" s="1798">
        <v>2.02</v>
      </c>
    </row>
    <row r="133" spans="2:6" s="2" customFormat="1" ht="26.1" customHeight="1">
      <c r="B133" s="1007"/>
      <c r="E133" s="1008"/>
      <c r="F133" s="1008"/>
    </row>
    <row r="134" spans="2:6" s="2" customFormat="1" ht="26.1" customHeight="1">
      <c r="B134" s="1007"/>
      <c r="E134" s="1008"/>
      <c r="F134" s="1008"/>
    </row>
    <row r="135" spans="2:6" s="2" customFormat="1" ht="26.1" customHeight="1">
      <c r="B135" s="1007"/>
      <c r="E135" s="1008"/>
      <c r="F135" s="1008"/>
    </row>
    <row r="136" spans="2:6" s="2" customFormat="1" ht="26.1" customHeight="1">
      <c r="B136" s="1007"/>
      <c r="E136" s="1008"/>
      <c r="F136" s="1008"/>
    </row>
    <row r="137" spans="2:6" s="2" customFormat="1" ht="26.1" customHeight="1">
      <c r="B137" s="1007"/>
      <c r="E137" s="1008"/>
      <c r="F137" s="1008"/>
    </row>
    <row r="138" spans="2:6" s="2" customFormat="1" ht="26.1" customHeight="1">
      <c r="B138" s="1007"/>
      <c r="E138" s="1008"/>
      <c r="F138" s="1008"/>
    </row>
    <row r="139" spans="2:6" s="2" customFormat="1" ht="26.1" customHeight="1">
      <c r="B139" s="1007"/>
      <c r="E139" s="1008"/>
      <c r="F139" s="1008"/>
    </row>
    <row r="140" spans="2:6" s="2" customFormat="1" ht="26.1" customHeight="1">
      <c r="B140" s="1007"/>
      <c r="E140" s="1008"/>
      <c r="F140" s="1008"/>
    </row>
    <row r="141" spans="2:6" s="2" customFormat="1" ht="26.1" customHeight="1">
      <c r="B141" s="1007"/>
      <c r="E141" s="1008"/>
      <c r="F141" s="1008"/>
    </row>
    <row r="142" spans="2:6" s="2" customFormat="1" ht="26.1" customHeight="1">
      <c r="B142" s="1007"/>
      <c r="E142" s="1008"/>
      <c r="F142" s="1008"/>
    </row>
    <row r="143" spans="2:6" s="2" customFormat="1" ht="26.1" customHeight="1">
      <c r="B143" s="1007"/>
      <c r="E143" s="1008"/>
      <c r="F143" s="1008"/>
    </row>
    <row r="144" spans="2:6" s="2" customFormat="1" ht="26.1" customHeight="1">
      <c r="B144" s="1007"/>
      <c r="E144" s="1008"/>
      <c r="F144" s="1008"/>
    </row>
    <row r="145" spans="2:6" s="2" customFormat="1" ht="26.1" customHeight="1">
      <c r="B145" s="1007"/>
      <c r="E145" s="1008"/>
      <c r="F145" s="1008"/>
    </row>
    <row r="146" spans="2:6" s="2" customFormat="1" ht="26.1" customHeight="1">
      <c r="B146" s="1007"/>
      <c r="E146" s="1008"/>
      <c r="F146" s="1008"/>
    </row>
    <row r="147" spans="2:6" s="2" customFormat="1" ht="26.1" customHeight="1">
      <c r="B147" s="1007"/>
      <c r="E147" s="1008"/>
      <c r="F147" s="1008"/>
    </row>
    <row r="148" spans="2:6" s="2" customFormat="1" ht="26.1" customHeight="1">
      <c r="B148" s="1007"/>
      <c r="E148" s="1008"/>
      <c r="F148" s="1008"/>
    </row>
    <row r="149" spans="2:6" s="2" customFormat="1" ht="26.1" customHeight="1">
      <c r="B149" s="1007"/>
      <c r="E149" s="1008"/>
      <c r="F149" s="1008"/>
    </row>
    <row r="150" spans="2:6" s="2" customFormat="1" ht="26.1" customHeight="1">
      <c r="B150" s="1007"/>
      <c r="E150" s="1008"/>
      <c r="F150" s="1008"/>
    </row>
    <row r="151" spans="2:6" s="2" customFormat="1" ht="26.1" customHeight="1">
      <c r="B151" s="1007"/>
      <c r="E151" s="1008"/>
      <c r="F151" s="1008"/>
    </row>
    <row r="152" spans="2:6" s="2" customFormat="1" ht="26.1" customHeight="1">
      <c r="B152" s="1007"/>
      <c r="E152" s="1008"/>
      <c r="F152" s="1008"/>
    </row>
    <row r="153" spans="2:6" s="2" customFormat="1" ht="26.1" customHeight="1">
      <c r="B153" s="1007"/>
      <c r="E153" s="1008"/>
      <c r="F153" s="1008"/>
    </row>
    <row r="154" spans="2:6" s="2" customFormat="1" ht="26.1" customHeight="1">
      <c r="B154" s="1007"/>
      <c r="E154" s="1008"/>
      <c r="F154" s="1008"/>
    </row>
    <row r="155" spans="2:6" s="2" customFormat="1" ht="26.1" customHeight="1">
      <c r="B155" s="1007"/>
      <c r="E155" s="1008"/>
      <c r="F155" s="1008"/>
    </row>
    <row r="156" spans="2:6" s="2" customFormat="1" ht="26.1" customHeight="1">
      <c r="B156" s="1007"/>
      <c r="E156" s="1008"/>
      <c r="F156" s="1008"/>
    </row>
    <row r="157" spans="2:6" s="2" customFormat="1" ht="26.1" customHeight="1">
      <c r="B157" s="1007"/>
      <c r="E157" s="1008"/>
      <c r="F157" s="1008"/>
    </row>
    <row r="158" spans="2:6" s="2" customFormat="1" ht="26.1" customHeight="1">
      <c r="B158" s="1007"/>
      <c r="E158" s="1008"/>
      <c r="F158" s="1008"/>
    </row>
    <row r="159" spans="2:6" s="2" customFormat="1" ht="26.1" customHeight="1">
      <c r="B159" s="1007"/>
      <c r="E159" s="1008"/>
      <c r="F159" s="1008"/>
    </row>
    <row r="160" spans="2:6" s="2" customFormat="1" ht="26.1" customHeight="1">
      <c r="B160" s="1007"/>
      <c r="E160" s="1008"/>
      <c r="F160" s="1008"/>
    </row>
    <row r="161" spans="2:6" s="2" customFormat="1" ht="26.1" customHeight="1">
      <c r="B161" s="1007"/>
      <c r="E161" s="1008"/>
      <c r="F161" s="1008"/>
    </row>
    <row r="162" spans="2:6" s="2" customFormat="1" ht="26.1" customHeight="1">
      <c r="B162" s="1007"/>
      <c r="E162" s="1008"/>
      <c r="F162" s="1008"/>
    </row>
    <row r="163" spans="2:6" s="2" customFormat="1" ht="26.1" customHeight="1">
      <c r="B163" s="1007"/>
      <c r="E163" s="1008"/>
      <c r="F163" s="1008"/>
    </row>
    <row r="164" spans="2:6" s="2" customFormat="1" ht="26.1" customHeight="1">
      <c r="B164" s="1007"/>
      <c r="E164" s="1008"/>
      <c r="F164" s="1008"/>
    </row>
    <row r="165" spans="2:6" s="2" customFormat="1" ht="26.1" customHeight="1">
      <c r="B165" s="1007"/>
      <c r="E165" s="1008"/>
      <c r="F165" s="1008"/>
    </row>
    <row r="166" spans="2:6" s="2" customFormat="1" ht="26.1" customHeight="1">
      <c r="B166" s="1007"/>
      <c r="E166" s="1008"/>
      <c r="F166" s="1008"/>
    </row>
    <row r="167" spans="2:6" s="2" customFormat="1" ht="26.1" customHeight="1">
      <c r="B167" s="1007"/>
      <c r="E167" s="1008"/>
      <c r="F167" s="1008"/>
    </row>
    <row r="168" spans="2:6" s="2" customFormat="1" ht="26.1" customHeight="1">
      <c r="B168" s="1007"/>
      <c r="E168" s="1008"/>
      <c r="F168" s="1008"/>
    </row>
    <row r="169" spans="2:6" s="2" customFormat="1" ht="26.1" customHeight="1">
      <c r="B169" s="1007"/>
      <c r="E169" s="1008"/>
      <c r="F169" s="1008"/>
    </row>
    <row r="170" spans="2:6" s="2" customFormat="1" ht="26.1" customHeight="1">
      <c r="B170" s="1007"/>
      <c r="E170" s="1008"/>
      <c r="F170" s="1008"/>
    </row>
    <row r="171" spans="2:6" s="2" customFormat="1" ht="26.1" customHeight="1">
      <c r="B171" s="1007"/>
      <c r="E171" s="1008"/>
      <c r="F171" s="1008"/>
    </row>
    <row r="172" spans="2:6" s="2" customFormat="1" ht="26.1" customHeight="1">
      <c r="B172" s="1007"/>
      <c r="E172" s="1008"/>
      <c r="F172" s="1008"/>
    </row>
    <row r="173" spans="2:6" s="2" customFormat="1" ht="26.1" customHeight="1">
      <c r="B173" s="1007"/>
      <c r="E173" s="1008"/>
      <c r="F173" s="1008"/>
    </row>
    <row r="174" spans="2:6" s="2" customFormat="1" ht="26.1" customHeight="1">
      <c r="B174" s="1007"/>
      <c r="E174" s="1008"/>
      <c r="F174" s="1008"/>
    </row>
    <row r="175" spans="2:6" s="2" customFormat="1" ht="26.1" customHeight="1">
      <c r="B175" s="1007"/>
      <c r="E175" s="1008"/>
      <c r="F175" s="1008"/>
    </row>
    <row r="176" spans="2:6" s="2" customFormat="1" ht="26.1" customHeight="1">
      <c r="B176" s="1007"/>
      <c r="E176" s="1008"/>
      <c r="F176" s="1008"/>
    </row>
    <row r="177" spans="2:6" s="2" customFormat="1" ht="26.1" customHeight="1">
      <c r="B177" s="1007"/>
      <c r="E177" s="1008"/>
      <c r="F177" s="1008"/>
    </row>
    <row r="178" spans="2:6" s="2" customFormat="1" ht="26.1" customHeight="1">
      <c r="B178" s="1007"/>
      <c r="E178" s="1008"/>
      <c r="F178" s="1008"/>
    </row>
    <row r="179" spans="2:6" s="2" customFormat="1" ht="26.1" customHeight="1">
      <c r="B179" s="1007"/>
      <c r="E179" s="1008"/>
      <c r="F179" s="1008"/>
    </row>
    <row r="180" spans="2:6" s="2" customFormat="1" ht="26.1" customHeight="1">
      <c r="B180" s="1007"/>
      <c r="E180" s="1008"/>
      <c r="F180" s="1008"/>
    </row>
    <row r="181" spans="2:6" s="2" customFormat="1" ht="26.1" customHeight="1">
      <c r="B181" s="1007"/>
      <c r="E181" s="1008"/>
      <c r="F181" s="1008"/>
    </row>
    <row r="182" spans="2:6" s="2" customFormat="1" ht="26.1" customHeight="1">
      <c r="B182" s="1007"/>
      <c r="E182" s="1008"/>
      <c r="F182" s="1008"/>
    </row>
    <row r="183" spans="2:6" s="2" customFormat="1" ht="26.1" customHeight="1">
      <c r="B183" s="1007"/>
      <c r="E183" s="1008"/>
      <c r="F183" s="1008"/>
    </row>
    <row r="184" spans="2:6" s="2" customFormat="1" ht="26.1" customHeight="1">
      <c r="B184" s="1007"/>
      <c r="E184" s="1008"/>
      <c r="F184" s="1008"/>
    </row>
    <row r="185" spans="2:6" s="2" customFormat="1" ht="26.1" customHeight="1">
      <c r="B185" s="1007"/>
      <c r="E185" s="1008"/>
      <c r="F185" s="1008"/>
    </row>
    <row r="186" spans="2:6" s="2" customFormat="1" ht="26.1" customHeight="1">
      <c r="B186" s="1007"/>
      <c r="E186" s="1008"/>
      <c r="F186" s="1008"/>
    </row>
    <row r="187" spans="2:6" s="2" customFormat="1" ht="26.1" customHeight="1">
      <c r="B187" s="1007"/>
      <c r="E187" s="1008"/>
      <c r="F187" s="1008"/>
    </row>
    <row r="188" spans="2:6" s="2" customFormat="1" ht="26.1" customHeight="1">
      <c r="B188" s="1007"/>
      <c r="E188" s="1008"/>
      <c r="F188" s="1008"/>
    </row>
    <row r="189" spans="2:6" s="2" customFormat="1" ht="26.1" customHeight="1">
      <c r="B189" s="1007"/>
      <c r="E189" s="1008"/>
      <c r="F189" s="1008"/>
    </row>
    <row r="190" spans="2:6" s="2" customFormat="1" ht="26.1" customHeight="1">
      <c r="B190" s="1007"/>
      <c r="E190" s="1008"/>
      <c r="F190" s="1008"/>
    </row>
    <row r="191" spans="2:6" s="2" customFormat="1" ht="26.1" customHeight="1">
      <c r="B191" s="1007"/>
      <c r="E191" s="1008"/>
      <c r="F191" s="1008"/>
    </row>
    <row r="192" spans="2:6" s="2" customFormat="1" ht="26.1" customHeight="1">
      <c r="B192" s="1007"/>
      <c r="E192" s="1008"/>
      <c r="F192" s="1008"/>
    </row>
    <row r="193" spans="2:6" s="2" customFormat="1" ht="26.1" customHeight="1">
      <c r="B193" s="1007"/>
      <c r="E193" s="1008"/>
      <c r="F193" s="1008"/>
    </row>
    <row r="194" spans="2:6" s="2" customFormat="1" ht="26.1" customHeight="1">
      <c r="B194" s="1007"/>
      <c r="E194" s="1008"/>
      <c r="F194" s="1008"/>
    </row>
    <row r="195" spans="2:6" s="2" customFormat="1" ht="26.1" customHeight="1">
      <c r="B195" s="1007"/>
      <c r="E195" s="1008"/>
      <c r="F195" s="1008"/>
    </row>
    <row r="196" spans="2:6" s="2" customFormat="1" ht="26.1" customHeight="1">
      <c r="B196" s="1007"/>
      <c r="E196" s="1008"/>
      <c r="F196" s="1008"/>
    </row>
    <row r="197" spans="2:6" s="2" customFormat="1" ht="26.1" customHeight="1">
      <c r="B197" s="1007"/>
      <c r="E197" s="1008"/>
      <c r="F197" s="1008"/>
    </row>
    <row r="198" spans="2:6" s="2" customFormat="1" ht="26.1" customHeight="1">
      <c r="B198" s="1007"/>
      <c r="E198" s="1008"/>
      <c r="F198" s="1008"/>
    </row>
    <row r="199" spans="2:6" s="2" customFormat="1" ht="26.1" customHeight="1">
      <c r="B199" s="1007"/>
      <c r="E199" s="1008"/>
      <c r="F199" s="1008"/>
    </row>
    <row r="200" spans="2:6" s="2" customFormat="1" ht="26.1" customHeight="1">
      <c r="B200" s="1007"/>
      <c r="E200" s="1008"/>
      <c r="F200" s="1008"/>
    </row>
    <row r="201" spans="2:6" s="2" customFormat="1" ht="26.1" customHeight="1">
      <c r="B201" s="1007"/>
      <c r="E201" s="1008"/>
      <c r="F201" s="1008"/>
    </row>
    <row r="202" spans="2:6" s="2" customFormat="1" ht="26.1" customHeight="1">
      <c r="B202" s="1007"/>
      <c r="E202" s="1008"/>
      <c r="F202" s="1008"/>
    </row>
    <row r="203" spans="2:6" s="2" customFormat="1" ht="26.1" customHeight="1">
      <c r="B203" s="1007"/>
      <c r="E203" s="1008"/>
      <c r="F203" s="1008"/>
    </row>
    <row r="204" spans="2:6" s="2" customFormat="1" ht="26.1" customHeight="1">
      <c r="B204" s="1007"/>
      <c r="E204" s="1008"/>
      <c r="F204" s="1008"/>
    </row>
    <row r="205" spans="2:6" s="2" customFormat="1" ht="26.1" customHeight="1">
      <c r="B205" s="1007"/>
      <c r="E205" s="1008"/>
      <c r="F205" s="1008"/>
    </row>
    <row r="206" spans="2:6" s="2" customFormat="1" ht="26.1" customHeight="1">
      <c r="B206" s="1007"/>
      <c r="E206" s="1008"/>
      <c r="F206" s="1008"/>
    </row>
    <row r="207" spans="2:6" s="2" customFormat="1" ht="26.1" customHeight="1">
      <c r="B207" s="1007"/>
      <c r="E207" s="1008"/>
      <c r="F207" s="1008"/>
    </row>
    <row r="208" spans="2:6" s="2" customFormat="1" ht="26.1" customHeight="1">
      <c r="B208" s="1007"/>
      <c r="E208" s="1008"/>
      <c r="F208" s="1008"/>
    </row>
    <row r="209" spans="2:6" s="2" customFormat="1" ht="26.1" customHeight="1">
      <c r="B209" s="1007"/>
      <c r="E209" s="1008"/>
      <c r="F209" s="1008"/>
    </row>
    <row r="210" spans="2:6" s="2" customFormat="1" ht="26.1" customHeight="1">
      <c r="B210" s="1007"/>
      <c r="E210" s="1008"/>
      <c r="F210" s="1008"/>
    </row>
    <row r="211" spans="2:6" s="2" customFormat="1" ht="26.1" customHeight="1">
      <c r="B211" s="1007"/>
      <c r="E211" s="1008"/>
      <c r="F211" s="1008"/>
    </row>
    <row r="212" spans="2:6" s="2" customFormat="1" ht="26.1" customHeight="1">
      <c r="B212" s="1007"/>
      <c r="E212" s="1008"/>
      <c r="F212" s="1008"/>
    </row>
    <row r="213" spans="2:6" s="2" customFormat="1" ht="26.1" customHeight="1">
      <c r="B213" s="1007"/>
      <c r="E213" s="1008"/>
      <c r="F213" s="1008"/>
    </row>
    <row r="214" spans="2:6" s="2" customFormat="1" ht="26.1" customHeight="1">
      <c r="B214" s="1007"/>
      <c r="E214" s="1008"/>
      <c r="F214" s="1008"/>
    </row>
    <row r="215" spans="2:6" s="2" customFormat="1" ht="26.1" customHeight="1">
      <c r="B215" s="1007"/>
      <c r="E215" s="1008"/>
      <c r="F215" s="1008"/>
    </row>
    <row r="216" spans="2:6" s="2" customFormat="1" ht="26.1" customHeight="1">
      <c r="B216" s="1007"/>
      <c r="E216" s="1008"/>
      <c r="F216" s="1008"/>
    </row>
    <row r="217" spans="2:6" s="2" customFormat="1" ht="26.1" customHeight="1">
      <c r="B217" s="1007"/>
      <c r="E217" s="1008"/>
      <c r="F217" s="1008"/>
    </row>
    <row r="218" spans="2:6" s="2" customFormat="1" ht="26.1" customHeight="1">
      <c r="B218" s="1007"/>
      <c r="E218" s="1008"/>
      <c r="F218" s="1008"/>
    </row>
    <row r="219" spans="2:6" s="2" customFormat="1" ht="26.1" customHeight="1">
      <c r="B219" s="1007"/>
      <c r="E219" s="1008"/>
      <c r="F219" s="1008"/>
    </row>
    <row r="220" spans="2:6" s="2" customFormat="1" ht="26.1" customHeight="1">
      <c r="B220" s="1007"/>
      <c r="E220" s="1008"/>
      <c r="F220" s="1008"/>
    </row>
    <row r="221" spans="2:6" s="2" customFormat="1" ht="26.1" customHeight="1">
      <c r="B221" s="1007"/>
      <c r="E221" s="1008"/>
      <c r="F221" s="1008"/>
    </row>
    <row r="222" spans="2:6" s="2" customFormat="1" ht="26.1" customHeight="1">
      <c r="B222" s="1007"/>
      <c r="E222" s="1008"/>
      <c r="F222" s="1008"/>
    </row>
    <row r="223" spans="2:6" s="2" customFormat="1" ht="26.1" customHeight="1">
      <c r="B223" s="1007"/>
      <c r="E223" s="1008"/>
      <c r="F223" s="1008"/>
    </row>
    <row r="224" spans="2:6" s="2" customFormat="1" ht="26.1" customHeight="1">
      <c r="B224" s="1007"/>
      <c r="E224" s="1008"/>
      <c r="F224" s="1008"/>
    </row>
    <row r="225" spans="2:6" s="2" customFormat="1" ht="26.1" customHeight="1">
      <c r="B225" s="1007"/>
      <c r="E225" s="1008"/>
      <c r="F225" s="1008"/>
    </row>
    <row r="226" spans="2:6" s="2" customFormat="1" ht="26.1" customHeight="1">
      <c r="B226" s="1007"/>
      <c r="E226" s="1008"/>
      <c r="F226" s="1008"/>
    </row>
    <row r="227" spans="2:6" s="2" customFormat="1" ht="26.1" customHeight="1">
      <c r="B227" s="1007"/>
      <c r="E227" s="1008"/>
      <c r="F227" s="1008"/>
    </row>
    <row r="228" spans="2:6" s="2" customFormat="1" ht="26.1" customHeight="1">
      <c r="B228" s="1007"/>
      <c r="E228" s="1008"/>
      <c r="F228" s="1008"/>
    </row>
    <row r="229" spans="2:6" s="2" customFormat="1" ht="26.1" customHeight="1">
      <c r="B229" s="1007"/>
      <c r="E229" s="1008"/>
      <c r="F229" s="1008"/>
    </row>
    <row r="230" spans="2:6" s="2" customFormat="1" ht="26.1" customHeight="1">
      <c r="B230" s="1007"/>
      <c r="E230" s="1008"/>
      <c r="F230" s="1008"/>
    </row>
    <row r="231" spans="2:6" s="2" customFormat="1" ht="26.1" customHeight="1">
      <c r="B231" s="1007"/>
      <c r="E231" s="1008"/>
      <c r="F231" s="1008"/>
    </row>
    <row r="232" spans="2:6" s="2" customFormat="1" ht="26.1" customHeight="1">
      <c r="B232" s="1007"/>
      <c r="E232" s="1008"/>
      <c r="F232" s="1008"/>
    </row>
    <row r="233" spans="2:6" s="2" customFormat="1" ht="26.1" customHeight="1">
      <c r="B233" s="1007"/>
      <c r="E233" s="1008"/>
      <c r="F233" s="1008"/>
    </row>
    <row r="234" spans="2:6" s="2" customFormat="1" ht="26.1" customHeight="1">
      <c r="B234" s="1007"/>
      <c r="E234" s="1008"/>
      <c r="F234" s="1008"/>
    </row>
    <row r="235" spans="2:6" s="2" customFormat="1" ht="26.1" customHeight="1">
      <c r="B235" s="1007"/>
      <c r="E235" s="1008"/>
      <c r="F235" s="1008"/>
    </row>
    <row r="236" spans="2:6" s="2" customFormat="1" ht="26.1" customHeight="1">
      <c r="B236" s="1007"/>
      <c r="E236" s="1008"/>
      <c r="F236" s="1008"/>
    </row>
    <row r="237" spans="2:6" s="2" customFormat="1" ht="26.1" customHeight="1">
      <c r="B237" s="1007"/>
      <c r="E237" s="1008"/>
      <c r="F237" s="1008"/>
    </row>
    <row r="238" spans="2:6" s="2" customFormat="1" ht="26.1" customHeight="1">
      <c r="B238" s="1007"/>
      <c r="E238" s="1008"/>
      <c r="F238" s="1008"/>
    </row>
    <row r="239" spans="2:6" s="2" customFormat="1" ht="26.1" customHeight="1">
      <c r="B239" s="1007"/>
      <c r="E239" s="1008"/>
      <c r="F239" s="1008"/>
    </row>
    <row r="240" spans="2:6" s="2" customFormat="1" ht="26.1" customHeight="1">
      <c r="B240" s="1007"/>
      <c r="E240" s="1008"/>
      <c r="F240" s="1008"/>
    </row>
    <row r="241" spans="2:6" s="2" customFormat="1" ht="26.1" customHeight="1">
      <c r="B241" s="1007"/>
      <c r="E241" s="1008"/>
      <c r="F241" s="1008"/>
    </row>
    <row r="242" spans="2:6" s="2" customFormat="1" ht="26.1" customHeight="1">
      <c r="B242" s="1007"/>
      <c r="E242" s="1008"/>
      <c r="F242" s="1008"/>
    </row>
    <row r="243" spans="2:6" s="2" customFormat="1" ht="26.1" customHeight="1">
      <c r="B243" s="1007"/>
      <c r="E243" s="1008"/>
      <c r="F243" s="1008"/>
    </row>
    <row r="244" spans="2:6" s="2" customFormat="1" ht="26.1" customHeight="1">
      <c r="B244" s="1007"/>
      <c r="E244" s="1008"/>
      <c r="F244" s="1008"/>
    </row>
    <row r="245" spans="2:6" s="2" customFormat="1" ht="26.1" customHeight="1">
      <c r="B245" s="1007"/>
      <c r="E245" s="1008"/>
      <c r="F245" s="1008"/>
    </row>
    <row r="246" spans="2:6" s="2" customFormat="1" ht="26.1" customHeight="1">
      <c r="B246" s="1007"/>
      <c r="E246" s="1008"/>
      <c r="F246" s="1008"/>
    </row>
    <row r="247" spans="2:6" s="2" customFormat="1" ht="26.1" customHeight="1">
      <c r="B247" s="1007"/>
      <c r="E247" s="1008"/>
      <c r="F247" s="1008"/>
    </row>
    <row r="248" spans="2:6" s="2" customFormat="1" ht="26.1" customHeight="1">
      <c r="B248" s="1007"/>
      <c r="E248" s="1008"/>
      <c r="F248" s="1008"/>
    </row>
    <row r="249" spans="2:6" s="2" customFormat="1" ht="26.1" customHeight="1">
      <c r="B249" s="1007"/>
      <c r="E249" s="1008"/>
      <c r="F249" s="1008"/>
    </row>
    <row r="250" spans="2:6" s="2" customFormat="1" ht="26.1" customHeight="1">
      <c r="B250" s="1007"/>
      <c r="E250" s="1008"/>
      <c r="F250" s="1008"/>
    </row>
    <row r="251" spans="2:6" s="2" customFormat="1" ht="26.1" customHeight="1">
      <c r="B251" s="1007"/>
      <c r="E251" s="1008"/>
      <c r="F251" s="1008"/>
    </row>
    <row r="252" spans="2:6" s="2" customFormat="1" ht="26.1" customHeight="1">
      <c r="B252" s="1007"/>
      <c r="E252" s="1008"/>
      <c r="F252" s="1008"/>
    </row>
    <row r="253" spans="2:6" s="2" customFormat="1" ht="26.1" customHeight="1">
      <c r="B253" s="1007"/>
      <c r="E253" s="1008"/>
      <c r="F253" s="1008"/>
    </row>
    <row r="254" spans="2:6" s="2" customFormat="1" ht="26.1" customHeight="1">
      <c r="B254" s="1007"/>
      <c r="E254" s="1008"/>
      <c r="F254" s="1008"/>
    </row>
    <row r="255" spans="2:6" s="2" customFormat="1" ht="26.1" customHeight="1">
      <c r="B255" s="1007"/>
      <c r="E255" s="1008"/>
      <c r="F255" s="1008"/>
    </row>
    <row r="256" spans="2:6" s="2" customFormat="1" ht="26.1" customHeight="1">
      <c r="B256" s="1007"/>
      <c r="E256" s="1008"/>
      <c r="F256" s="1008"/>
    </row>
    <row r="257" spans="2:6" s="2" customFormat="1" ht="26.1" customHeight="1">
      <c r="B257" s="1007"/>
      <c r="E257" s="1008"/>
      <c r="F257" s="1008"/>
    </row>
    <row r="258" spans="2:6" s="2" customFormat="1" ht="26.1" customHeight="1">
      <c r="B258" s="1007"/>
      <c r="E258" s="1008"/>
      <c r="F258" s="1008"/>
    </row>
    <row r="259" spans="2:6" s="2" customFormat="1" ht="26.1" customHeight="1">
      <c r="B259" s="1007"/>
      <c r="E259" s="1008"/>
      <c r="F259" s="1008"/>
    </row>
    <row r="260" spans="2:6" s="2" customFormat="1" ht="26.1" customHeight="1">
      <c r="B260" s="1007"/>
      <c r="E260" s="1008"/>
      <c r="F260" s="1008"/>
    </row>
    <row r="261" spans="2:6" s="2" customFormat="1" ht="26.1" customHeight="1">
      <c r="B261" s="1007"/>
      <c r="E261" s="1008"/>
      <c r="F261" s="1008"/>
    </row>
    <row r="262" spans="2:6" s="2" customFormat="1" ht="26.1" customHeight="1">
      <c r="B262" s="1007"/>
      <c r="E262" s="1008"/>
      <c r="F262" s="1008"/>
    </row>
    <row r="263" spans="2:6" s="2" customFormat="1" ht="26.1" customHeight="1">
      <c r="B263" s="1007"/>
      <c r="E263" s="1008"/>
      <c r="F263" s="1008"/>
    </row>
    <row r="264" spans="2:6" s="2" customFormat="1" ht="26.1" customHeight="1">
      <c r="B264" s="1007"/>
      <c r="E264" s="1008"/>
      <c r="F264" s="1008"/>
    </row>
    <row r="265" spans="2:6" s="2" customFormat="1" ht="26.1" customHeight="1">
      <c r="B265" s="1007"/>
      <c r="E265" s="1008"/>
      <c r="F265" s="1008"/>
    </row>
    <row r="266" spans="2:6" s="2" customFormat="1" ht="26.1" customHeight="1">
      <c r="B266" s="1007"/>
      <c r="E266" s="1008"/>
      <c r="F266" s="1008"/>
    </row>
    <row r="267" spans="2:6" s="2" customFormat="1" ht="26.1" customHeight="1">
      <c r="B267" s="1007"/>
      <c r="E267" s="1008"/>
      <c r="F267" s="1008"/>
    </row>
    <row r="268" spans="2:6" s="2" customFormat="1" ht="26.1" customHeight="1">
      <c r="B268" s="1007"/>
      <c r="E268" s="1008"/>
      <c r="F268" s="1008"/>
    </row>
    <row r="269" spans="2:6" s="2" customFormat="1" ht="26.1" customHeight="1">
      <c r="B269" s="1007"/>
      <c r="E269" s="1008"/>
      <c r="F269" s="1008"/>
    </row>
    <row r="270" spans="2:6" s="2" customFormat="1" ht="26.1" customHeight="1">
      <c r="B270" s="1007"/>
      <c r="E270" s="1008"/>
      <c r="F270" s="1008"/>
    </row>
    <row r="271" spans="2:6" s="2" customFormat="1" ht="26.1" customHeight="1">
      <c r="B271" s="1007"/>
      <c r="E271" s="1008"/>
      <c r="F271" s="1008"/>
    </row>
    <row r="272" spans="2:6" s="2" customFormat="1" ht="26.1" customHeight="1">
      <c r="B272" s="1007"/>
      <c r="E272" s="1008"/>
      <c r="F272" s="1008"/>
    </row>
    <row r="273" spans="2:6" s="2" customFormat="1" ht="26.1" customHeight="1">
      <c r="B273" s="1007"/>
      <c r="E273" s="1008"/>
      <c r="F273" s="1008"/>
    </row>
    <row r="274" spans="2:6" s="2" customFormat="1" ht="26.1" customHeight="1">
      <c r="B274" s="1007"/>
      <c r="E274" s="1008"/>
      <c r="F274" s="1008"/>
    </row>
    <row r="275" spans="2:6" s="2" customFormat="1" ht="26.1" customHeight="1">
      <c r="B275" s="1007"/>
      <c r="E275" s="1008"/>
      <c r="F275" s="1008"/>
    </row>
    <row r="276" spans="2:6" s="2" customFormat="1" ht="26.1" customHeight="1">
      <c r="B276" s="1007"/>
      <c r="E276" s="1008"/>
      <c r="F276" s="1008"/>
    </row>
    <row r="277" spans="2:6" s="2" customFormat="1" ht="26.1" customHeight="1">
      <c r="B277" s="1007"/>
      <c r="E277" s="1008"/>
      <c r="F277" s="1008"/>
    </row>
    <row r="278" spans="2:6" s="2" customFormat="1" ht="26.1" customHeight="1">
      <c r="B278" s="1007"/>
      <c r="E278" s="1008"/>
      <c r="F278" s="1008"/>
    </row>
    <row r="279" spans="2:6" s="2" customFormat="1" ht="26.1" customHeight="1">
      <c r="B279" s="1007"/>
      <c r="E279" s="1008"/>
      <c r="F279" s="1008"/>
    </row>
    <row r="280" spans="2:6" s="2" customFormat="1" ht="26.1" customHeight="1">
      <c r="B280" s="1007"/>
      <c r="E280" s="1008"/>
      <c r="F280" s="1008"/>
    </row>
    <row r="281" spans="2:6" s="2" customFormat="1" ht="26.1" customHeight="1">
      <c r="B281" s="1007"/>
      <c r="E281" s="1008"/>
      <c r="F281" s="1008"/>
    </row>
    <row r="282" spans="2:6" s="2" customFormat="1" ht="26.1" customHeight="1">
      <c r="B282" s="1007"/>
      <c r="E282" s="1008"/>
      <c r="F282" s="1008"/>
    </row>
    <row r="283" spans="2:6" s="2" customFormat="1" ht="26.1" customHeight="1">
      <c r="B283" s="1009"/>
      <c r="E283" s="1008"/>
      <c r="F283" s="1008"/>
    </row>
    <row r="284" spans="2:6" s="2" customFormat="1" ht="26.1" customHeight="1">
      <c r="B284" s="1009"/>
      <c r="E284" s="1008"/>
      <c r="F284" s="1008"/>
    </row>
    <row r="285" spans="2:6" s="2" customFormat="1" ht="26.1" customHeight="1">
      <c r="B285" s="1009"/>
      <c r="E285" s="1008"/>
      <c r="F285" s="1010"/>
    </row>
    <row r="286" spans="2:6" s="2" customFormat="1" ht="26.1" customHeight="1">
      <c r="B286" s="1009"/>
      <c r="E286" s="1008"/>
      <c r="F286" s="1010"/>
    </row>
    <row r="287" spans="2:6" s="2" customFormat="1" ht="26.1" customHeight="1">
      <c r="B287" s="1009"/>
      <c r="E287" s="1008"/>
      <c r="F287" s="1010"/>
    </row>
    <row r="288" spans="2:6" s="2" customFormat="1" ht="26.1" customHeight="1">
      <c r="B288" s="1007"/>
      <c r="E288" s="1008"/>
      <c r="F288" s="1010"/>
    </row>
    <row r="289" spans="2:6" s="2" customFormat="1" ht="26.1" customHeight="1">
      <c r="B289" s="1007"/>
      <c r="E289" s="1008"/>
      <c r="F289" s="1010"/>
    </row>
    <row r="290" spans="2:6" s="2" customFormat="1" ht="26.1" customHeight="1">
      <c r="B290" s="1007"/>
      <c r="E290" s="1008"/>
      <c r="F290" s="1010"/>
    </row>
    <row r="291" spans="2:6" s="2" customFormat="1" ht="26.1" customHeight="1">
      <c r="B291" s="1007"/>
      <c r="E291" s="1008"/>
      <c r="F291" s="1010"/>
    </row>
    <row r="292" spans="2:6" s="2" customFormat="1" ht="26.1" customHeight="1">
      <c r="B292" s="1007"/>
      <c r="E292" s="1008"/>
      <c r="F292" s="1010"/>
    </row>
    <row r="293" spans="2:6" s="2" customFormat="1" ht="26.1" customHeight="1">
      <c r="B293" s="1007"/>
      <c r="E293" s="1008"/>
      <c r="F293" s="1010"/>
    </row>
    <row r="294" spans="2:6" s="2" customFormat="1" ht="26.1" customHeight="1">
      <c r="B294" s="1007"/>
      <c r="E294" s="1008"/>
      <c r="F294" s="1010"/>
    </row>
    <row r="295" spans="2:6" s="2" customFormat="1" ht="26.1" customHeight="1">
      <c r="B295" s="1007"/>
      <c r="E295" s="1008"/>
      <c r="F295" s="1010"/>
    </row>
    <row r="296" spans="2:6" s="2" customFormat="1" ht="26.1" customHeight="1">
      <c r="B296" s="1007"/>
      <c r="E296" s="1008"/>
      <c r="F296" s="1010"/>
    </row>
    <row r="297" spans="2:6" s="2" customFormat="1" ht="26.1" customHeight="1">
      <c r="B297" s="1007"/>
      <c r="E297" s="1008"/>
      <c r="F297" s="1010"/>
    </row>
    <row r="298" spans="2:6" s="2" customFormat="1" ht="26.1" customHeight="1">
      <c r="B298" s="1007"/>
      <c r="E298" s="1008"/>
      <c r="F298" s="1010"/>
    </row>
    <row r="299" spans="2:6" s="2" customFormat="1" ht="26.1" customHeight="1">
      <c r="B299" s="1007"/>
      <c r="E299" s="1008"/>
      <c r="F299" s="1010"/>
    </row>
    <row r="300" spans="2:6" s="2" customFormat="1" ht="26.1" customHeight="1">
      <c r="B300" s="1007"/>
      <c r="E300" s="1008"/>
      <c r="F300" s="1010"/>
    </row>
    <row r="301" spans="2:6" s="2" customFormat="1" ht="26.1" customHeight="1">
      <c r="B301" s="1007"/>
      <c r="E301" s="1008"/>
      <c r="F301" s="1010"/>
    </row>
    <row r="302" spans="2:6" s="2" customFormat="1" ht="26.1" customHeight="1">
      <c r="B302" s="1007"/>
      <c r="E302" s="1008"/>
      <c r="F302" s="1010"/>
    </row>
    <row r="303" spans="2:6" s="2" customFormat="1" ht="26.1" customHeight="1">
      <c r="B303" s="1007"/>
      <c r="E303" s="1008"/>
      <c r="F303" s="1010"/>
    </row>
    <row r="304" spans="2:6" s="2" customFormat="1" ht="26.1" customHeight="1">
      <c r="B304" s="1007"/>
      <c r="E304" s="1008"/>
      <c r="F304" s="1010"/>
    </row>
    <row r="305" spans="2:6" s="2" customFormat="1" ht="26.1" customHeight="1">
      <c r="B305" s="1007"/>
      <c r="E305" s="1008"/>
      <c r="F305" s="1010"/>
    </row>
    <row r="306" spans="2:6" s="2" customFormat="1" ht="26.1" customHeight="1">
      <c r="B306" s="1007"/>
      <c r="E306" s="1008"/>
      <c r="F306" s="1010"/>
    </row>
    <row r="307" spans="2:6" s="2" customFormat="1" ht="26.1" customHeight="1">
      <c r="B307" s="1007"/>
      <c r="E307" s="1008"/>
      <c r="F307" s="1010"/>
    </row>
    <row r="308" spans="2:6" s="2" customFormat="1" ht="26.1" customHeight="1">
      <c r="B308" s="1007"/>
      <c r="E308" s="1008"/>
      <c r="F308" s="1010"/>
    </row>
    <row r="309" spans="2:6" s="2" customFormat="1" ht="26.1" customHeight="1">
      <c r="B309" s="1007"/>
      <c r="E309" s="1008"/>
      <c r="F309" s="1010"/>
    </row>
    <row r="310" spans="2:6" s="2" customFormat="1" ht="26.1" customHeight="1">
      <c r="B310" s="1007"/>
      <c r="E310" s="1008"/>
      <c r="F310" s="1010"/>
    </row>
    <row r="311" spans="2:6" s="2" customFormat="1" ht="26.1" customHeight="1">
      <c r="B311" s="1007"/>
      <c r="E311" s="1008"/>
      <c r="F311" s="1010"/>
    </row>
    <row r="312" spans="2:6" s="2" customFormat="1" ht="26.1" customHeight="1">
      <c r="B312" s="1007"/>
      <c r="E312" s="1008"/>
      <c r="F312" s="1010"/>
    </row>
    <row r="313" spans="2:6" s="2" customFormat="1" ht="26.1" customHeight="1">
      <c r="B313" s="1007"/>
      <c r="E313" s="1008"/>
      <c r="F313" s="1010"/>
    </row>
    <row r="314" spans="2:6" s="2" customFormat="1" ht="26.1" customHeight="1">
      <c r="B314" s="1007"/>
      <c r="E314" s="1008"/>
      <c r="F314" s="1010"/>
    </row>
    <row r="315" spans="2:6" s="2" customFormat="1" ht="26.1" customHeight="1">
      <c r="B315" s="1007"/>
      <c r="E315" s="1008"/>
      <c r="F315" s="1010"/>
    </row>
    <row r="316" spans="2:6" s="2" customFormat="1" ht="26.1" customHeight="1">
      <c r="B316" s="1007"/>
      <c r="E316" s="1008"/>
      <c r="F316" s="1010"/>
    </row>
    <row r="317" spans="2:6" s="2" customFormat="1" ht="26.1" customHeight="1">
      <c r="B317" s="1007"/>
      <c r="E317" s="1008"/>
      <c r="F317" s="1010"/>
    </row>
    <row r="318" spans="2:6" s="2" customFormat="1" ht="26.1" customHeight="1">
      <c r="B318" s="1007"/>
      <c r="E318" s="1008"/>
      <c r="F318" s="1010"/>
    </row>
    <row r="319" spans="2:6" s="2" customFormat="1" ht="26.1" customHeight="1">
      <c r="B319" s="1007"/>
      <c r="E319" s="1008"/>
      <c r="F319" s="1010"/>
    </row>
    <row r="320" spans="2:6" s="2" customFormat="1" ht="26.1" customHeight="1">
      <c r="B320" s="1007"/>
      <c r="E320" s="1008"/>
      <c r="F320" s="1010"/>
    </row>
    <row r="321" spans="2:6" s="2" customFormat="1" ht="26.1" customHeight="1">
      <c r="B321" s="1007"/>
      <c r="E321" s="1008"/>
      <c r="F321" s="1010"/>
    </row>
    <row r="322" spans="2:6" s="2" customFormat="1" ht="26.1" customHeight="1">
      <c r="B322" s="1007"/>
      <c r="E322" s="1008"/>
      <c r="F322" s="1010"/>
    </row>
    <row r="323" spans="2:6" s="2" customFormat="1" ht="26.1" customHeight="1">
      <c r="B323" s="1007"/>
      <c r="E323" s="1008"/>
      <c r="F323" s="1010"/>
    </row>
    <row r="324" spans="2:6" s="2" customFormat="1" ht="26.1" customHeight="1">
      <c r="B324" s="1007"/>
      <c r="E324" s="1008"/>
      <c r="F324" s="1010"/>
    </row>
    <row r="325" spans="2:6" s="2" customFormat="1" ht="26.1" customHeight="1">
      <c r="B325" s="1007"/>
      <c r="E325" s="1008"/>
      <c r="F325" s="1010"/>
    </row>
    <row r="326" spans="2:6" s="2" customFormat="1" ht="26.1" customHeight="1">
      <c r="B326" s="1007"/>
      <c r="E326" s="1008"/>
      <c r="F326" s="1010"/>
    </row>
    <row r="327" spans="2:6" s="2" customFormat="1" ht="26.1" customHeight="1">
      <c r="B327" s="1007"/>
      <c r="E327" s="1008"/>
      <c r="F327" s="1010"/>
    </row>
    <row r="328" spans="2:6" s="2" customFormat="1" ht="26.1" customHeight="1">
      <c r="B328" s="1007"/>
      <c r="E328" s="1008"/>
      <c r="F328" s="1010"/>
    </row>
    <row r="329" spans="2:6" s="2" customFormat="1" ht="26.1" customHeight="1">
      <c r="B329" s="1007"/>
      <c r="E329" s="1008"/>
      <c r="F329" s="1010"/>
    </row>
    <row r="330" spans="2:6" s="2" customFormat="1" ht="26.1" customHeight="1">
      <c r="B330" s="1007"/>
      <c r="E330" s="1008"/>
      <c r="F330" s="1010"/>
    </row>
    <row r="331" spans="2:6" s="2" customFormat="1" ht="26.1" customHeight="1">
      <c r="B331" s="1007"/>
      <c r="E331" s="1008"/>
      <c r="F331" s="1010"/>
    </row>
    <row r="332" spans="2:6" s="2" customFormat="1" ht="26.1" customHeight="1">
      <c r="B332" s="1007"/>
      <c r="E332" s="1008"/>
      <c r="F332" s="1010"/>
    </row>
    <row r="333" spans="2:6" s="2" customFormat="1" ht="26.1" customHeight="1">
      <c r="B333" s="1007"/>
      <c r="E333" s="1008"/>
      <c r="F333" s="1010"/>
    </row>
    <row r="334" spans="2:6" s="2" customFormat="1" ht="26.1" customHeight="1">
      <c r="B334" s="1007"/>
      <c r="E334" s="1008"/>
      <c r="F334" s="1010"/>
    </row>
    <row r="335" spans="2:6" s="2" customFormat="1" ht="26.1" customHeight="1">
      <c r="B335" s="1007"/>
      <c r="E335" s="1008"/>
      <c r="F335" s="1010"/>
    </row>
    <row r="336" spans="2:6" s="2" customFormat="1" ht="26.1" customHeight="1">
      <c r="B336" s="1007"/>
      <c r="E336" s="1008"/>
      <c r="F336" s="1010"/>
    </row>
    <row r="337" spans="2:6" s="2" customFormat="1" ht="26.1" customHeight="1">
      <c r="B337" s="1007"/>
      <c r="E337" s="1008"/>
      <c r="F337" s="1010"/>
    </row>
    <row r="338" spans="2:6" s="2" customFormat="1" ht="26.1" customHeight="1">
      <c r="B338" s="1007"/>
      <c r="E338" s="1008"/>
      <c r="F338" s="1010"/>
    </row>
    <row r="339" spans="2:6" s="2" customFormat="1" ht="26.1" customHeight="1">
      <c r="B339" s="1007"/>
      <c r="E339" s="1008"/>
      <c r="F339" s="1010"/>
    </row>
    <row r="340" spans="2:6" s="2" customFormat="1" ht="26.1" customHeight="1">
      <c r="B340" s="1007"/>
      <c r="E340" s="1008"/>
      <c r="F340" s="1010"/>
    </row>
    <row r="341" spans="2:6" s="2" customFormat="1" ht="26.1" customHeight="1">
      <c r="B341" s="1007"/>
      <c r="E341" s="1008"/>
      <c r="F341" s="1010"/>
    </row>
    <row r="342" spans="2:6" s="2" customFormat="1" ht="26.1" customHeight="1">
      <c r="B342" s="1007"/>
      <c r="E342" s="1008"/>
      <c r="F342" s="1010"/>
    </row>
    <row r="343" spans="2:6" s="2" customFormat="1" ht="26.1" customHeight="1">
      <c r="B343" s="1007"/>
      <c r="E343" s="1008"/>
      <c r="F343" s="1010"/>
    </row>
    <row r="344" spans="2:6" s="2" customFormat="1" ht="26.1" customHeight="1">
      <c r="B344" s="1007"/>
      <c r="E344" s="1008"/>
      <c r="F344" s="1008"/>
    </row>
    <row r="345" spans="2:6" s="2" customFormat="1" ht="26.1" customHeight="1">
      <c r="B345" s="1007"/>
      <c r="E345" s="1008"/>
      <c r="F345" s="1008"/>
    </row>
    <row r="346" spans="2:6" s="2" customFormat="1" ht="26.1" customHeight="1">
      <c r="B346" s="1007"/>
      <c r="E346" s="1008"/>
      <c r="F346" s="1008"/>
    </row>
    <row r="347" spans="2:6" s="2" customFormat="1" ht="26.1" customHeight="1">
      <c r="B347" s="1007"/>
      <c r="E347" s="1008"/>
      <c r="F347" s="1008"/>
    </row>
    <row r="348" spans="2:6" s="2" customFormat="1" ht="26.1" customHeight="1">
      <c r="B348" s="1007"/>
      <c r="E348" s="1008"/>
      <c r="F348" s="1008"/>
    </row>
    <row r="349" spans="2:6" s="2" customFormat="1" ht="26.1" customHeight="1">
      <c r="B349" s="1007"/>
      <c r="E349" s="1008"/>
      <c r="F349" s="1008"/>
    </row>
    <row r="350" spans="2:6" s="2" customFormat="1" ht="26.1" customHeight="1">
      <c r="B350" s="1007"/>
      <c r="E350" s="1008"/>
      <c r="F350" s="1008"/>
    </row>
    <row r="351" spans="2:6" s="2" customFormat="1" ht="26.1" customHeight="1">
      <c r="B351" s="1007"/>
      <c r="E351" s="1008"/>
      <c r="F351" s="1008"/>
    </row>
    <row r="352" spans="2:6" s="2" customFormat="1" ht="26.1" customHeight="1">
      <c r="B352" s="1007"/>
      <c r="E352" s="1008"/>
      <c r="F352" s="1008"/>
    </row>
    <row r="353" spans="2:6" s="2" customFormat="1" ht="26.1" customHeight="1">
      <c r="B353" s="1007"/>
      <c r="E353" s="1008"/>
      <c r="F353" s="1008"/>
    </row>
    <row r="354" spans="2:6" s="2" customFormat="1" ht="26.1" customHeight="1">
      <c r="B354" s="1007"/>
      <c r="E354" s="1008"/>
      <c r="F354" s="1008"/>
    </row>
    <row r="355" spans="2:6" s="2" customFormat="1" ht="26.1" customHeight="1">
      <c r="B355" s="1007"/>
      <c r="E355" s="1008"/>
      <c r="F355" s="1008"/>
    </row>
    <row r="356" spans="2:6" s="2" customFormat="1" ht="26.1" customHeight="1">
      <c r="B356" s="1007"/>
      <c r="E356" s="1008"/>
      <c r="F356" s="1008"/>
    </row>
    <row r="357" spans="2:6" s="2" customFormat="1" ht="26.1" customHeight="1">
      <c r="B357" s="1007"/>
      <c r="E357" s="1008"/>
      <c r="F357" s="1008"/>
    </row>
    <row r="358" spans="2:6" s="2" customFormat="1" ht="26.1" customHeight="1">
      <c r="B358" s="1007"/>
      <c r="E358" s="1008"/>
      <c r="F358" s="1008"/>
    </row>
    <row r="359" spans="2:6" s="2" customFormat="1" ht="26.1" customHeight="1">
      <c r="B359" s="1007"/>
      <c r="E359" s="1008"/>
      <c r="F359" s="1008"/>
    </row>
    <row r="360" spans="2:6" s="2" customFormat="1" ht="26.1" customHeight="1">
      <c r="B360" s="1007"/>
      <c r="E360" s="1008"/>
      <c r="F360" s="1008"/>
    </row>
    <row r="361" spans="2:6" s="2" customFormat="1" ht="26.1" customHeight="1">
      <c r="B361" s="1007"/>
      <c r="E361" s="1008"/>
      <c r="F361" s="1008"/>
    </row>
    <row r="362" spans="2:6" s="2" customFormat="1" ht="26.1" customHeight="1">
      <c r="B362" s="1007"/>
      <c r="E362" s="1008"/>
      <c r="F362" s="1008"/>
    </row>
    <row r="363" spans="2:6" s="2" customFormat="1" ht="26.1" customHeight="1">
      <c r="B363" s="1007"/>
      <c r="E363" s="1008"/>
      <c r="F363" s="1008"/>
    </row>
    <row r="364" spans="2:6" s="2" customFormat="1" ht="26.1" customHeight="1">
      <c r="B364" s="1007"/>
      <c r="E364" s="1008"/>
      <c r="F364" s="1008"/>
    </row>
    <row r="365" spans="2:6" s="2" customFormat="1" ht="26.1" customHeight="1">
      <c r="B365" s="1007"/>
      <c r="E365" s="1008"/>
      <c r="F365" s="1008"/>
    </row>
    <row r="366" spans="2:6" s="2" customFormat="1" ht="26.1" customHeight="1">
      <c r="B366" s="1007"/>
      <c r="E366" s="1008"/>
      <c r="F366" s="1008"/>
    </row>
    <row r="367" spans="2:6" s="2" customFormat="1" ht="26.1" customHeight="1">
      <c r="B367" s="1007"/>
      <c r="E367" s="1008"/>
      <c r="F367" s="1008"/>
    </row>
    <row r="368" spans="2:6" s="2" customFormat="1" ht="26.1" customHeight="1">
      <c r="B368" s="1007"/>
      <c r="E368" s="1008"/>
      <c r="F368" s="1008"/>
    </row>
    <row r="369" spans="2:6" s="2" customFormat="1" ht="26.1" customHeight="1">
      <c r="B369" s="1007"/>
      <c r="E369" s="1008"/>
      <c r="F369" s="1008"/>
    </row>
    <row r="370" spans="2:6" s="2" customFormat="1" ht="26.1" customHeight="1">
      <c r="B370" s="1007"/>
      <c r="E370" s="1008"/>
      <c r="F370" s="1008"/>
    </row>
    <row r="371" spans="2:6" s="2" customFormat="1" ht="26.1" customHeight="1">
      <c r="B371" s="1007"/>
      <c r="E371" s="1008"/>
      <c r="F371" s="1008"/>
    </row>
    <row r="372" spans="2:6" s="2" customFormat="1" ht="26.1" customHeight="1">
      <c r="B372" s="1007"/>
      <c r="E372" s="1008"/>
      <c r="F372" s="1008"/>
    </row>
    <row r="373" spans="2:6" s="2" customFormat="1" ht="26.1" customHeight="1">
      <c r="B373" s="1007"/>
      <c r="E373" s="1008"/>
      <c r="F373" s="1008"/>
    </row>
    <row r="374" spans="2:6" s="2" customFormat="1" ht="26.1" customHeight="1">
      <c r="B374" s="1007"/>
      <c r="E374" s="1008"/>
      <c r="F374" s="1008"/>
    </row>
    <row r="375" spans="2:6" s="2" customFormat="1" ht="26.1" customHeight="1">
      <c r="B375" s="1007"/>
      <c r="E375" s="1008"/>
      <c r="F375" s="1008"/>
    </row>
    <row r="376" spans="2:6" s="2" customFormat="1" ht="26.1" customHeight="1">
      <c r="B376" s="1007"/>
      <c r="E376" s="1008"/>
      <c r="F376" s="1008"/>
    </row>
    <row r="377" spans="2:6" s="2" customFormat="1" ht="26.1" customHeight="1">
      <c r="B377" s="1007"/>
      <c r="E377" s="1008"/>
      <c r="F377" s="1008"/>
    </row>
    <row r="378" spans="2:6" s="2" customFormat="1" ht="26.1" customHeight="1">
      <c r="B378" s="1007"/>
      <c r="E378" s="1008"/>
      <c r="F378" s="1008"/>
    </row>
    <row r="379" spans="2:6" s="2" customFormat="1" ht="26.1" customHeight="1">
      <c r="B379" s="1009"/>
      <c r="E379" s="1008"/>
      <c r="F379" s="1008"/>
    </row>
    <row r="380" spans="2:6" s="2" customFormat="1" ht="26.1" customHeight="1">
      <c r="B380" s="1009"/>
      <c r="E380" s="1008"/>
      <c r="F380" s="1008"/>
    </row>
    <row r="381" spans="2:6" s="2" customFormat="1" ht="26.1" customHeight="1">
      <c r="B381" s="1009"/>
      <c r="E381" s="1008"/>
      <c r="F381" s="1008"/>
    </row>
    <row r="382" spans="2:6" s="2" customFormat="1" ht="26.1" customHeight="1">
      <c r="B382" s="1007"/>
      <c r="E382" s="1008"/>
      <c r="F382" s="1010"/>
    </row>
    <row r="383" spans="2:6" s="2" customFormat="1" ht="26.1" customHeight="1">
      <c r="B383" s="1007"/>
      <c r="E383" s="1008"/>
      <c r="F383" s="1008"/>
    </row>
    <row r="384" spans="2:6" s="2" customFormat="1" ht="26.1" customHeight="1">
      <c r="B384" s="1007"/>
      <c r="E384" s="1008"/>
      <c r="F384" s="1008"/>
    </row>
    <row r="385" spans="2:6" s="2" customFormat="1" ht="26.1" customHeight="1">
      <c r="B385" s="1007"/>
      <c r="E385" s="1008"/>
      <c r="F385" s="1008"/>
    </row>
    <row r="386" spans="2:6" s="2" customFormat="1" ht="26.1" customHeight="1">
      <c r="B386" s="1007"/>
      <c r="E386" s="1008"/>
      <c r="F386" s="1008"/>
    </row>
    <row r="387" spans="2:6" s="2" customFormat="1" ht="26.1" customHeight="1">
      <c r="B387" s="1007"/>
      <c r="E387" s="1008"/>
      <c r="F387" s="1008"/>
    </row>
    <row r="388" spans="2:6" s="2" customFormat="1" ht="26.1" customHeight="1">
      <c r="B388" s="1007"/>
      <c r="E388" s="1008"/>
      <c r="F388" s="1008"/>
    </row>
    <row r="389" spans="2:6" s="2" customFormat="1" ht="26.1" customHeight="1">
      <c r="B389" s="1007"/>
      <c r="E389" s="1008"/>
      <c r="F389" s="1008"/>
    </row>
    <row r="390" spans="2:6" s="2" customFormat="1" ht="26.1" customHeight="1">
      <c r="B390" s="1007"/>
      <c r="E390" s="1008"/>
      <c r="F390" s="1008"/>
    </row>
    <row r="391" spans="2:6" s="2" customFormat="1" ht="26.1" customHeight="1">
      <c r="B391" s="1007"/>
      <c r="E391" s="1008"/>
      <c r="F391" s="1008"/>
    </row>
    <row r="392" spans="2:6" s="2" customFormat="1" ht="26.1" customHeight="1">
      <c r="B392" s="1007"/>
      <c r="E392" s="1008"/>
      <c r="F392" s="1008"/>
    </row>
    <row r="393" spans="2:6" s="2" customFormat="1" ht="26.1" customHeight="1">
      <c r="B393" s="1007"/>
      <c r="E393" s="1008"/>
      <c r="F393" s="1008"/>
    </row>
    <row r="394" spans="2:6" s="2" customFormat="1" ht="26.1" customHeight="1">
      <c r="B394" s="1007"/>
      <c r="E394" s="1008"/>
      <c r="F394" s="1008"/>
    </row>
    <row r="395" spans="2:6" s="2" customFormat="1" ht="26.1" customHeight="1">
      <c r="B395" s="1007"/>
      <c r="E395" s="1008"/>
      <c r="F395" s="1008"/>
    </row>
    <row r="396" spans="2:6" s="2" customFormat="1" ht="26.1" customHeight="1">
      <c r="B396" s="1007"/>
      <c r="E396" s="1008"/>
      <c r="F396" s="1008"/>
    </row>
    <row r="397" spans="2:6" s="2" customFormat="1" ht="26.1" customHeight="1">
      <c r="B397" s="1007"/>
      <c r="E397" s="1008"/>
      <c r="F397" s="1008"/>
    </row>
    <row r="398" spans="2:6" s="2" customFormat="1" ht="26.1" customHeight="1">
      <c r="B398" s="1007"/>
      <c r="E398" s="1008"/>
      <c r="F398" s="1008"/>
    </row>
    <row r="399" spans="2:6" s="2" customFormat="1" ht="26.1" customHeight="1">
      <c r="B399" s="1007"/>
      <c r="E399" s="1008"/>
      <c r="F399" s="1008"/>
    </row>
    <row r="400" spans="2:6" s="2" customFormat="1" ht="26.1" customHeight="1">
      <c r="B400" s="1007"/>
      <c r="E400" s="1008"/>
      <c r="F400" s="1008"/>
    </row>
    <row r="401" spans="2:6" s="2" customFormat="1" ht="26.1" customHeight="1">
      <c r="B401" s="1007"/>
      <c r="E401" s="1008"/>
      <c r="F401" s="1008"/>
    </row>
    <row r="402" spans="2:6" s="2" customFormat="1" ht="26.1" customHeight="1">
      <c r="B402" s="1007"/>
      <c r="E402" s="1008"/>
      <c r="F402" s="1008"/>
    </row>
    <row r="403" spans="2:6" s="2" customFormat="1" ht="26.1" customHeight="1">
      <c r="B403" s="1007"/>
      <c r="C403" s="1011"/>
      <c r="D403" s="1012"/>
      <c r="E403" s="1008"/>
      <c r="F403" s="1008"/>
    </row>
    <row r="404" spans="2:6" s="2" customFormat="1" ht="26.1" customHeight="1">
      <c r="B404" s="1007"/>
      <c r="C404" s="1012"/>
      <c r="D404" s="1012"/>
      <c r="E404" s="1017"/>
      <c r="F404" s="1008"/>
    </row>
    <row r="405" spans="2:6" s="1012" customFormat="1" ht="26.1" customHeight="1">
      <c r="B405" s="1013"/>
      <c r="E405" s="1017"/>
      <c r="F405" s="1008"/>
    </row>
    <row r="406" spans="2:6" s="1012" customFormat="1" ht="26.1" customHeight="1">
      <c r="B406" s="1013"/>
      <c r="E406" s="1017"/>
      <c r="F406" s="1008"/>
    </row>
    <row r="407" spans="2:6" s="1012" customFormat="1" ht="26.1" customHeight="1">
      <c r="B407" s="1013"/>
      <c r="E407" s="1017"/>
      <c r="F407" s="1008"/>
    </row>
    <row r="408" spans="2:6" s="1012" customFormat="1" ht="26.1" customHeight="1">
      <c r="B408" s="1013"/>
      <c r="E408" s="1017"/>
      <c r="F408" s="1008"/>
    </row>
    <row r="409" spans="2:6" s="1012" customFormat="1" ht="26.1" customHeight="1">
      <c r="B409" s="1013"/>
      <c r="E409" s="1017"/>
      <c r="F409" s="1008"/>
    </row>
    <row r="410" spans="2:6" s="1012" customFormat="1" ht="26.1" customHeight="1">
      <c r="B410" s="1013"/>
      <c r="E410" s="1017"/>
      <c r="F410" s="1008"/>
    </row>
    <row r="411" spans="2:6" s="1012" customFormat="1" ht="26.1" customHeight="1">
      <c r="B411" s="1013"/>
      <c r="E411" s="1017"/>
      <c r="F411" s="1008"/>
    </row>
    <row r="412" spans="2:6" s="1012" customFormat="1" ht="26.1" customHeight="1">
      <c r="B412" s="1013"/>
      <c r="E412" s="1017"/>
      <c r="F412" s="1008"/>
    </row>
    <row r="413" spans="2:6" s="1012" customFormat="1" ht="26.1" customHeight="1">
      <c r="B413" s="1013"/>
      <c r="E413" s="1017"/>
      <c r="F413" s="1008"/>
    </row>
    <row r="414" spans="2:6" s="2" customFormat="1" ht="26.1" customHeight="1">
      <c r="B414" s="1007"/>
      <c r="C414" s="1012"/>
      <c r="E414" s="1017"/>
      <c r="F414" s="1008"/>
    </row>
    <row r="415" spans="2:6" s="2" customFormat="1" ht="26.1" customHeight="1">
      <c r="B415" s="1007"/>
      <c r="C415" s="1012"/>
      <c r="E415" s="1017"/>
      <c r="F415" s="1008"/>
    </row>
    <row r="416" spans="2:6" s="2" customFormat="1" ht="26.1" customHeight="1">
      <c r="B416" s="1007"/>
      <c r="C416" s="1012"/>
      <c r="E416" s="1017"/>
      <c r="F416" s="1008"/>
    </row>
    <row r="417" spans="2:6" s="2" customFormat="1" ht="26.1" customHeight="1">
      <c r="B417" s="1007"/>
      <c r="C417" s="1012"/>
      <c r="E417" s="1017"/>
      <c r="F417" s="1008"/>
    </row>
  </sheetData>
  <sheetProtection password="C616" sheet="1" objects="1" scenarios="1"/>
  <phoneticPr fontId="6"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AK834"/>
  <sheetViews>
    <sheetView showZeros="0" zoomScaleNormal="100" workbookViewId="0"/>
  </sheetViews>
  <sheetFormatPr baseColWidth="10" defaultColWidth="11.44140625" defaultRowHeight="12"/>
  <cols>
    <col min="1" max="1" width="3.44140625" style="1696" customWidth="1"/>
    <col min="2" max="2" width="25.6640625" style="5" customWidth="1"/>
    <col min="3" max="3" width="13.6640625" style="5" customWidth="1"/>
    <col min="4" max="5" width="6.6640625" style="5" customWidth="1"/>
    <col min="6" max="9" width="10.44140625" style="5" customWidth="1"/>
    <col min="10" max="10" width="0.6640625" style="5" customWidth="1"/>
    <col min="11" max="11" width="8.6640625" style="5" customWidth="1"/>
    <col min="12" max="12" width="1.6640625" style="325" customWidth="1"/>
    <col min="13" max="13" width="3.109375" style="325" hidden="1" customWidth="1"/>
    <col min="14" max="14" width="28.109375" style="5" hidden="1" customWidth="1"/>
    <col min="15" max="37" width="11.44140625" style="5" hidden="1" customWidth="1"/>
    <col min="38" max="16384" width="11.44140625" style="5"/>
  </cols>
  <sheetData>
    <row r="1" spans="1:35" ht="9.9" customHeight="1">
      <c r="B1" s="1029" t="str">
        <f>Uebersetzung!D4</f>
        <v>v2.02</v>
      </c>
      <c r="C1" s="3"/>
      <c r="D1" s="3"/>
      <c r="E1" s="367"/>
      <c r="F1" s="3"/>
      <c r="G1" s="3"/>
      <c r="H1" s="3"/>
      <c r="I1" s="169"/>
      <c r="J1" s="3"/>
      <c r="K1" s="7" t="str">
        <f>Uebersetzung!D5</f>
        <v>Formulario EN101b, v2.02, da utilizzare fino al 31.12.2018</v>
      </c>
    </row>
    <row r="2" spans="1:35" ht="17.100000000000001" customHeight="1">
      <c r="B2" s="36"/>
      <c r="C2" s="35"/>
      <c r="D2" s="119"/>
      <c r="E2" s="36"/>
      <c r="F2" s="119"/>
      <c r="G2" s="1921" t="str">
        <f>Uebersetzung!D375</f>
        <v>Dati supplementari per</v>
      </c>
      <c r="H2" s="1922"/>
      <c r="I2" s="1922"/>
      <c r="J2" s="1922"/>
      <c r="K2" s="1923"/>
    </row>
    <row r="3" spans="1:35" ht="17.100000000000001" customHeight="1">
      <c r="B3" s="43"/>
      <c r="C3" s="42"/>
      <c r="D3" s="53"/>
      <c r="E3" s="1924"/>
      <c r="F3" s="1925"/>
      <c r="G3" s="1926" t="str">
        <f>Uebersetzung!D376</f>
        <v>Verifica Minergie</v>
      </c>
      <c r="H3" s="1927"/>
      <c r="I3" s="1927"/>
      <c r="J3" s="1927"/>
      <c r="K3" s="1928"/>
      <c r="N3" s="325" t="s">
        <v>1912</v>
      </c>
      <c r="U3" s="325" t="s">
        <v>1941</v>
      </c>
      <c r="AC3" s="325" t="s">
        <v>2751</v>
      </c>
    </row>
    <row r="4" spans="1:35" ht="9.9" customHeight="1">
      <c r="B4" s="95"/>
      <c r="C4" s="60"/>
      <c r="D4" s="120"/>
      <c r="E4" s="95"/>
      <c r="F4" s="120"/>
      <c r="G4" s="1929"/>
      <c r="H4" s="1930"/>
      <c r="I4" s="1930"/>
      <c r="J4" s="1930"/>
      <c r="K4" s="1931"/>
      <c r="U4" s="1970" t="s">
        <v>1948</v>
      </c>
      <c r="V4" s="1970"/>
      <c r="W4" s="1970"/>
      <c r="AC4" s="1965" t="s">
        <v>2700</v>
      </c>
      <c r="AD4" s="1965"/>
      <c r="AE4" s="1965"/>
      <c r="AF4" s="1965"/>
      <c r="AG4" s="1965"/>
      <c r="AH4" s="1965"/>
    </row>
    <row r="5" spans="1:35" ht="9.9" hidden="1" customHeight="1">
      <c r="B5" s="3"/>
      <c r="C5" s="3"/>
      <c r="D5" s="3"/>
      <c r="E5" s="367"/>
      <c r="F5" s="3"/>
      <c r="G5" s="3"/>
      <c r="H5" s="3"/>
      <c r="I5" s="169"/>
      <c r="J5" s="3"/>
      <c r="K5" s="4"/>
      <c r="U5" s="1970"/>
      <c r="V5" s="1970"/>
      <c r="W5" s="1970"/>
      <c r="AC5" s="1965"/>
      <c r="AD5" s="1965"/>
      <c r="AE5" s="1965"/>
      <c r="AF5" s="1965"/>
      <c r="AG5" s="1965"/>
      <c r="AH5" s="1965"/>
    </row>
    <row r="6" spans="1:35" ht="9.9" hidden="1" customHeight="1">
      <c r="B6" s="6"/>
      <c r="C6" s="6"/>
      <c r="D6" s="3"/>
      <c r="E6" s="3"/>
      <c r="F6" s="3"/>
      <c r="G6" s="3"/>
      <c r="H6" s="3"/>
      <c r="I6" s="3"/>
      <c r="J6" s="3"/>
      <c r="U6" s="1970"/>
      <c r="V6" s="1970"/>
      <c r="W6" s="1970"/>
      <c r="AC6" s="1965"/>
      <c r="AD6" s="1965"/>
      <c r="AE6" s="1965"/>
      <c r="AF6" s="1965"/>
      <c r="AG6" s="1965"/>
      <c r="AH6" s="1965"/>
    </row>
    <row r="7" spans="1:35" ht="20.100000000000001" hidden="1" customHeight="1">
      <c r="B7" s="822" t="str">
        <f>Dati!B7</f>
        <v>Nome del progetto:</v>
      </c>
      <c r="C7" s="1977" t="str">
        <f>IF(Projekt1="","",Projekt1)</f>
        <v/>
      </c>
      <c r="D7" s="1977"/>
      <c r="E7" s="1977"/>
      <c r="F7" s="1977"/>
      <c r="G7" s="930" t="str">
        <f>Dati!G7</f>
        <v>Part. n.:</v>
      </c>
      <c r="H7" s="1060" t="str">
        <f>IF(Projekt2="","",Projekt2)</f>
        <v/>
      </c>
      <c r="I7" s="930" t="str">
        <f>Dati!I7</f>
        <v xml:space="preserve">n. MOP: </v>
      </c>
      <c r="J7" s="1978" t="str">
        <f>IF(Projekt3="","",Projekt3)</f>
        <v/>
      </c>
      <c r="K7" s="1979"/>
      <c r="U7" s="1970"/>
      <c r="V7" s="1970"/>
      <c r="W7" s="1970"/>
      <c r="AC7" s="1965"/>
      <c r="AD7" s="1965"/>
      <c r="AE7" s="1965"/>
      <c r="AF7" s="1965"/>
      <c r="AG7" s="1965"/>
      <c r="AH7" s="1965"/>
    </row>
    <row r="8" spans="1:35" ht="20.100000000000001" hidden="1" customHeight="1">
      <c r="B8" s="823" t="str">
        <f>Dati!B8</f>
        <v>Indirizzo dell'edificio</v>
      </c>
      <c r="C8" s="1966" t="str">
        <f>IF(Projekt4="","",Projekt4)</f>
        <v/>
      </c>
      <c r="D8" s="1966"/>
      <c r="E8" s="1966"/>
      <c r="F8" s="1966"/>
      <c r="G8" s="1966"/>
      <c r="H8" s="1966"/>
      <c r="I8" s="1040"/>
      <c r="J8" s="1967" t="str">
        <f>IF(Dati!J8="","",Dati!J8)</f>
        <v/>
      </c>
      <c r="K8" s="1968"/>
      <c r="U8" s="1970"/>
      <c r="V8" s="1970"/>
      <c r="W8" s="1970"/>
      <c r="AC8" s="1965"/>
      <c r="AD8" s="1965"/>
      <c r="AE8" s="1965"/>
      <c r="AF8" s="1965"/>
      <c r="AG8" s="1965"/>
      <c r="AH8" s="1965"/>
    </row>
    <row r="9" spans="1:35" ht="20.100000000000001" hidden="1" customHeight="1">
      <c r="U9" s="1970"/>
      <c r="V9" s="1970"/>
      <c r="W9" s="1970"/>
      <c r="AC9" s="1965"/>
      <c r="AD9" s="1965"/>
      <c r="AE9" s="1965"/>
      <c r="AF9" s="1965"/>
      <c r="AG9" s="1965"/>
      <c r="AH9" s="1965"/>
    </row>
    <row r="10" spans="1:35" ht="1.2" customHeight="1">
      <c r="B10" s="8"/>
      <c r="C10" s="8"/>
      <c r="D10" s="9"/>
      <c r="E10" s="9"/>
      <c r="F10" s="9"/>
      <c r="G10" s="9"/>
      <c r="U10" s="1970"/>
      <c r="V10" s="1970"/>
      <c r="W10" s="1970"/>
      <c r="AC10" s="1965"/>
      <c r="AD10" s="1965"/>
      <c r="AE10" s="1965"/>
      <c r="AF10" s="1965"/>
      <c r="AG10" s="1965"/>
      <c r="AH10" s="1965"/>
    </row>
    <row r="11" spans="1:35" ht="6" customHeight="1">
      <c r="A11" s="1697"/>
      <c r="F11" s="9"/>
      <c r="G11" s="9"/>
      <c r="N11" s="1231"/>
      <c r="O11" s="1091"/>
      <c r="P11" s="1091">
        <v>1</v>
      </c>
      <c r="Q11" s="1231"/>
      <c r="R11" s="1091"/>
      <c r="S11" s="1233">
        <v>1</v>
      </c>
      <c r="U11" s="1971"/>
      <c r="V11" s="1971"/>
      <c r="W11" s="1971"/>
      <c r="AC11" s="1965"/>
      <c r="AD11" s="1965"/>
      <c r="AE11" s="1965"/>
      <c r="AF11" s="1965"/>
      <c r="AG11" s="1965"/>
      <c r="AH11" s="1965"/>
    </row>
    <row r="12" spans="1:35" ht="18" customHeight="1">
      <c r="A12" s="1697" t="s">
        <v>3041</v>
      </c>
      <c r="B12" s="1055" t="str">
        <f>Uebersetzung!D14</f>
        <v>Dati dell'edificio</v>
      </c>
      <c r="C12" s="1062"/>
      <c r="D12" s="1063"/>
      <c r="E12" s="1064" t="str">
        <f>Uebersetzung!D15</f>
        <v>Altitudine:</v>
      </c>
      <c r="F12" s="1065">
        <f>Hoehe</f>
        <v>0</v>
      </c>
      <c r="G12" s="1066" t="str">
        <f>Uebersetzung!D16</f>
        <v>msm</v>
      </c>
      <c r="H12" s="1067" t="str">
        <f>Uebersetzung!D12</f>
        <v>Cantone:</v>
      </c>
      <c r="I12" s="1071">
        <f>Dati!I13</f>
        <v>0</v>
      </c>
      <c r="J12" s="1068"/>
      <c r="K12" s="1069"/>
      <c r="N12" s="1200" t="str">
        <f>Uebersetzung!D25</f>
        <v>si</v>
      </c>
      <c r="O12" s="148" t="str">
        <f>Uebersetzung!D26</f>
        <v>no</v>
      </c>
      <c r="P12" s="148">
        <v>2</v>
      </c>
      <c r="Q12" s="1200" t="str">
        <f>Uebersetzung!D23</f>
        <v>rispettato</v>
      </c>
      <c r="R12" s="148" t="str">
        <f>Uebersetzung!D24</f>
        <v>non rispettato</v>
      </c>
      <c r="S12" s="1234">
        <v>2</v>
      </c>
      <c r="U12" s="796" t="s">
        <v>1858</v>
      </c>
      <c r="V12" s="1238">
        <v>1</v>
      </c>
      <c r="W12" s="1232">
        <v>2</v>
      </c>
      <c r="X12" s="1232">
        <v>3</v>
      </c>
      <c r="Y12" s="406">
        <v>4</v>
      </c>
      <c r="Z12" s="1377" t="s">
        <v>1884</v>
      </c>
      <c r="AC12" s="1585" t="s">
        <v>651</v>
      </c>
      <c r="AD12" s="1232" t="b">
        <f>_neu1</f>
        <v>0</v>
      </c>
      <c r="AE12" s="1232" t="b">
        <f>_neu2</f>
        <v>0</v>
      </c>
      <c r="AF12" s="1232" t="b">
        <f>_neu3</f>
        <v>0</v>
      </c>
      <c r="AG12" s="1555" t="b">
        <f>_neu4</f>
        <v>0</v>
      </c>
      <c r="AH12" s="1573"/>
    </row>
    <row r="13" spans="1:35" ht="18" customHeight="1">
      <c r="A13" s="1697" t="s">
        <v>3042</v>
      </c>
      <c r="B13" s="10" t="str">
        <f>Uebersetzung!D17</f>
        <v>(secondo la SIA 380/1)</v>
      </c>
      <c r="C13" s="156"/>
      <c r="D13" s="11"/>
      <c r="E13" s="920" t="str">
        <f>Uebersetzung!D18</f>
        <v>Tipo di verifica</v>
      </c>
      <c r="F13" s="818" t="str">
        <f>Dati!F14</f>
        <v>MINERGIE</v>
      </c>
      <c r="G13" s="156"/>
      <c r="H13" s="15" t="str">
        <f>Uebersetzung!D28</f>
        <v>Staz. climatica</v>
      </c>
      <c r="I13" s="1072">
        <f>Dati!I14</f>
        <v>0</v>
      </c>
      <c r="J13" s="1061"/>
      <c r="K13" s="1070"/>
      <c r="N13" s="957" t="str">
        <f>O12</f>
        <v>no</v>
      </c>
      <c r="O13" s="156"/>
      <c r="P13" s="156">
        <v>3</v>
      </c>
      <c r="Q13" s="957" t="str">
        <f>R12</f>
        <v>non rispettato</v>
      </c>
      <c r="R13" s="156"/>
      <c r="S13" s="639">
        <v>3</v>
      </c>
      <c r="U13" s="1231" t="s">
        <v>651</v>
      </c>
      <c r="V13" s="1731" t="b">
        <f>IF(OR(_neu1,Kategorie1=13),TRUE,FALSE)</f>
        <v>0</v>
      </c>
      <c r="W13" s="1232" t="b">
        <f>IF(OR(_neu2,Kategorie2=13),TRUE,FALSE)</f>
        <v>0</v>
      </c>
      <c r="X13" s="1232" t="b">
        <f>IF(OR(_neu3,Kategorie3=13),TRUE,FALSE)</f>
        <v>0</v>
      </c>
      <c r="Y13" s="1732" t="b">
        <f>IF(OR(_neu4,Kategorie4=13),TRUE,FALSE)</f>
        <v>0</v>
      </c>
      <c r="Z13" s="1233"/>
      <c r="AC13" s="1576" t="s">
        <v>494</v>
      </c>
      <c r="AD13" s="1557">
        <f>F23</f>
        <v>0</v>
      </c>
      <c r="AE13" s="1557">
        <f>IF(Zonen&gt;1,G23,0)</f>
        <v>0</v>
      </c>
      <c r="AF13" s="1557">
        <f>IF(Zonen&gt;2,H23,0)</f>
        <v>0</v>
      </c>
      <c r="AG13" s="1556">
        <f>IF(Zonen&gt;3,I23,0)</f>
        <v>0</v>
      </c>
      <c r="AH13" s="1574">
        <f>SUM(AD13:AG13)</f>
        <v>0</v>
      </c>
      <c r="AI13" s="5" t="s">
        <v>321</v>
      </c>
    </row>
    <row r="14" spans="1:35" ht="18" customHeight="1">
      <c r="A14" s="1697"/>
      <c r="B14" s="820" t="str">
        <f>Uebersetzung!D29</f>
        <v>Zone</v>
      </c>
      <c r="C14" s="11"/>
      <c r="D14" s="11"/>
      <c r="E14" s="11"/>
      <c r="F14" s="197">
        <v>1</v>
      </c>
      <c r="G14" s="197">
        <v>2</v>
      </c>
      <c r="H14" s="197">
        <v>3</v>
      </c>
      <c r="I14" s="197">
        <v>4</v>
      </c>
      <c r="J14" s="818"/>
      <c r="K14" s="819" t="str">
        <f>Uebersetzung!D30</f>
        <v>Somma</v>
      </c>
      <c r="N14" s="957" t="s">
        <v>1858</v>
      </c>
      <c r="O14" s="1417">
        <v>1</v>
      </c>
      <c r="P14" s="1243">
        <v>2</v>
      </c>
      <c r="Q14" s="1243">
        <v>3</v>
      </c>
      <c r="R14" s="1416">
        <v>4</v>
      </c>
      <c r="S14" s="1416" t="s">
        <v>1868</v>
      </c>
      <c r="U14" s="1200" t="s">
        <v>494</v>
      </c>
      <c r="V14" s="1733">
        <f>F23</f>
        <v>0</v>
      </c>
      <c r="W14" s="1735">
        <f>IF(Zonen&gt;1,G23,0)</f>
        <v>0</v>
      </c>
      <c r="X14" s="1735">
        <f>IF(Zonen&gt;2,H23,0)</f>
        <v>0</v>
      </c>
      <c r="Y14" s="1734">
        <f>IF(Zonen&gt;3,I23,0)</f>
        <v>0</v>
      </c>
      <c r="Z14" s="1323">
        <f>IF(V17&gt;0,V14,0)+IF(W17&gt;0,W14,0)+IF(X17&gt;0,X14,0)+IF(Y17&gt;0,Y14,0)</f>
        <v>0</v>
      </c>
      <c r="AA14" s="5" t="s">
        <v>321</v>
      </c>
      <c r="AC14" s="1588" t="s">
        <v>2688</v>
      </c>
      <c r="AD14" s="1557">
        <f>IF(AD12,AD13,0)</f>
        <v>0</v>
      </c>
      <c r="AE14" s="1557">
        <f>IF(Zonen&gt;1,IF(AE12,AE13,0),0)</f>
        <v>0</v>
      </c>
      <c r="AF14" s="1557">
        <f>IF(Zonen&gt;2,IF(AF12,AF13,0),0)</f>
        <v>0</v>
      </c>
      <c r="AG14" s="1556">
        <f>IF(Zonen&gt;3,IF(AG12,AG13,0),0)</f>
        <v>0</v>
      </c>
      <c r="AH14" s="1587">
        <f>SUM(AD14:AG14)</f>
        <v>0</v>
      </c>
      <c r="AI14" s="5" t="s">
        <v>321</v>
      </c>
    </row>
    <row r="15" spans="1:35" ht="24" customHeight="1">
      <c r="A15" s="1697" t="s">
        <v>3043</v>
      </c>
      <c r="B15" s="1871" t="str">
        <f>Dati!B16</f>
        <v>Categoria d'edificio</v>
      </c>
      <c r="C15" s="1872"/>
      <c r="D15" s="1932" t="str">
        <f>IF(minergiep,IF(AND(Standardwerte!BO55,Standardwerte!BO56,Standardwerte!BO57,Standardwerte!BO58),"","mit MINERGIE-P nicht möglich"),"")</f>
        <v/>
      </c>
      <c r="E15" s="1969"/>
      <c r="F15" s="1425">
        <f>Dati!F16</f>
        <v>0</v>
      </c>
      <c r="G15" s="1425">
        <f>Dati!G16</f>
        <v>0</v>
      </c>
      <c r="H15" s="1425">
        <f>Dati!H16</f>
        <v>0</v>
      </c>
      <c r="I15" s="1425">
        <f>Dati!I16</f>
        <v>0</v>
      </c>
      <c r="J15" s="1085"/>
      <c r="K15" s="215" t="str">
        <f>Uebersetzung!D35</f>
        <v>(media)</v>
      </c>
      <c r="N15" s="1262" t="s">
        <v>1857</v>
      </c>
      <c r="O15" s="1236">
        <f>IF(Kategorie1&lt;&gt;13,Verifica!G34*Verifica!$N$52+(Verifica!G39+Verifica!G40)*2,0)</f>
        <v>0</v>
      </c>
      <c r="P15" s="1230">
        <f>IF(Kategorie2&lt;&gt;13,Verifica!H34*Verifica!$N$52+(Verifica!H39+Verifica!H40)*2,0)</f>
        <v>0</v>
      </c>
      <c r="Q15" s="1230">
        <f>IF(Kategorie3&lt;&gt;13,Verifica!I34*Verifica!$N$52+(Verifica!I39+Verifica!I40)*2,0)</f>
        <v>0</v>
      </c>
      <c r="R15" s="1237">
        <f>IF(Kategorie4&lt;&gt;13,Verifica!J34*Verifica!$N$52+(Verifica!J39+Verifica!J40)*2,0)</f>
        <v>0</v>
      </c>
      <c r="S15" s="1265">
        <f>IF(EBF=0,0,(O15*_EBF1+P15*_EBF2+Q15*_EBF3+R15*_EBF4)/(_EBF1+_EBF2+_EBF3+_EBF4))</f>
        <v>0</v>
      </c>
      <c r="T15" s="5" t="s">
        <v>525</v>
      </c>
      <c r="U15" s="1200" t="s">
        <v>1947</v>
      </c>
      <c r="V15" s="1317">
        <f>Standardwerte!J47</f>
        <v>0</v>
      </c>
      <c r="W15" s="1314">
        <f>Standardwerte!J48</f>
        <v>0</v>
      </c>
      <c r="X15" s="1314">
        <f>Standardwerte!J49</f>
        <v>0</v>
      </c>
      <c r="Y15" s="1382">
        <f>Standardwerte!J50</f>
        <v>0</v>
      </c>
      <c r="Z15" s="1234"/>
      <c r="AA15" s="5" t="s">
        <v>525</v>
      </c>
      <c r="AC15" s="1576" t="s">
        <v>1947</v>
      </c>
      <c r="AD15" s="1314">
        <f>Standardwerte!J47</f>
        <v>0</v>
      </c>
      <c r="AE15" s="1314">
        <f>Standardwerte!J48</f>
        <v>0</v>
      </c>
      <c r="AF15" s="1314">
        <f>Standardwerte!J49</f>
        <v>0</v>
      </c>
      <c r="AG15" s="1382">
        <f>Standardwerte!J50</f>
        <v>0</v>
      </c>
      <c r="AH15" s="1575"/>
      <c r="AI15" s="5" t="s">
        <v>525</v>
      </c>
    </row>
    <row r="16" spans="1:35" ht="18" hidden="1" customHeight="1"/>
    <row r="17" spans="1:35" ht="18" customHeight="1">
      <c r="A17" s="1697" t="s">
        <v>3044</v>
      </c>
      <c r="B17" s="1875" t="str">
        <f>Uebersetzung!D467</f>
        <v>Acqua calda, valore utilizz.</v>
      </c>
      <c r="C17" s="1876"/>
      <c r="D17" s="271"/>
      <c r="E17" s="203" t="s">
        <v>525</v>
      </c>
      <c r="F17" s="1601">
        <f>IF(_qw1&gt;0,IF(F18&gt;0,F18,_qw1),0)*O17*O18*IF(AND(wohnen1,F21&gt;0.1),MAX(1-F21+0.1,0.3),1)</f>
        <v>0</v>
      </c>
      <c r="G17" s="1601">
        <f>IF(_qw2&gt;0,IF(G18&gt;0,G18,_qw2),0)*P17*P18*IF(AND(wohnen2,G21&gt;0.1),MAX(1-G21+0.1,0.3),1)</f>
        <v>0</v>
      </c>
      <c r="H17" s="1601">
        <f>IF(_qw3&gt;0,IF(H18&gt;0,H18,_qw3),0)*Q17*Q18*IF(AND(wohnen3,H21&gt;0.1),MAX(1-H21+0.1,0.3),1)</f>
        <v>0</v>
      </c>
      <c r="I17" s="1601">
        <f>IF(_qw4&gt;0,IF(I18&gt;0,I18,_qw4),0)*R17*R18*IF(AND(wohnen4,I21&gt;0.1),MAX(1-I21+0.1,0.3),1)</f>
        <v>0</v>
      </c>
      <c r="J17" s="202"/>
      <c r="K17" s="922"/>
      <c r="N17" s="1231" t="s">
        <v>1860</v>
      </c>
      <c r="O17" s="1504">
        <f>IF(F18&gt;0,1,IF(F19=$N$12,0.9,1))</f>
        <v>1</v>
      </c>
      <c r="P17" s="1232">
        <f>IF(G18&gt;0,1,IF(G19=$N$12,0.9,1))</f>
        <v>1</v>
      </c>
      <c r="Q17" s="1232">
        <f>IF(H18&gt;0,1,IF(H19=$N$12,0.9,1))</f>
        <v>1</v>
      </c>
      <c r="R17" s="1505">
        <f>IF(I18&gt;0,1,IF(I19=$N$12,0.9,1))</f>
        <v>1</v>
      </c>
      <c r="S17" s="1233"/>
      <c r="U17" s="957" t="s">
        <v>658</v>
      </c>
      <c r="V17" s="1383">
        <f>IF(V13,Standardwerte!$AB$93,Standardwerte!$AC$93)</f>
        <v>0</v>
      </c>
      <c r="W17" s="1371">
        <f>IF(W13,Standardwerte!$AB$93,Standardwerte!$AC$93)</f>
        <v>0</v>
      </c>
      <c r="X17" s="1371">
        <f>IF(X13,Standardwerte!$AB$93,Standardwerte!$AC$93)</f>
        <v>0</v>
      </c>
      <c r="Y17" s="1384">
        <f>IF(Y13,Standardwerte!$AB$93,Standardwerte!$AC$93)</f>
        <v>0</v>
      </c>
      <c r="Z17" s="639"/>
      <c r="AB17" s="1509" t="s">
        <v>2707</v>
      </c>
      <c r="AC17" s="1576" t="s">
        <v>2701</v>
      </c>
      <c r="AD17" s="1570">
        <f>IF($AH$14&gt;0,IF(Zonen&gt;0,IF(AD12,AD15*AD14*0.3,0),0)/$AH$14,0)</f>
        <v>0</v>
      </c>
      <c r="AE17" s="1570">
        <f>IF($AH$14&gt;0,IF(Zonen&gt;1,IF(AE12,AE15*AE14*0.3,0),0)/$AH$14,0)</f>
        <v>0</v>
      </c>
      <c r="AF17" s="1570">
        <f>IF($AH$14&gt;0,IF(Zonen&gt;2,IF(AF12,AF15*AF14*0.3,0),0)/$AH$14,0)</f>
        <v>0</v>
      </c>
      <c r="AG17" s="1581">
        <f>IF($AH$14&gt;0,IF(Zonen&gt;3,IF(AG12,AG15*AG14*0.3,0),0)/$AH$14,0)</f>
        <v>0</v>
      </c>
      <c r="AH17" s="1578">
        <f>SUM(AD17:AG17)</f>
        <v>0</v>
      </c>
      <c r="AI17" s="5" t="s">
        <v>525</v>
      </c>
    </row>
    <row r="18" spans="1:35" ht="18" customHeight="1">
      <c r="A18" s="1697" t="s">
        <v>3045</v>
      </c>
      <c r="B18" s="1875" t="str">
        <f>Uebersetzung!D468</f>
        <v>Acqua calda, SIA 385</v>
      </c>
      <c r="C18" s="1876"/>
      <c r="D18" s="271"/>
      <c r="E18" s="203" t="s">
        <v>525</v>
      </c>
      <c r="F18" s="1600"/>
      <c r="G18" s="1153"/>
      <c r="H18" s="1153"/>
      <c r="I18" s="1153"/>
      <c r="J18" s="202"/>
      <c r="K18" s="922"/>
      <c r="L18" s="326"/>
      <c r="N18" s="1200" t="s">
        <v>1861</v>
      </c>
      <c r="O18" s="1506">
        <f>IF(F18&gt;0,1,IF(F20=$N$12,0.9,1))</f>
        <v>1</v>
      </c>
      <c r="P18" s="1508">
        <f>IF(G18&gt;0,1,IF(G20=$N$12,0.9,1))</f>
        <v>1</v>
      </c>
      <c r="Q18" s="1508">
        <f>IF(H18&gt;0,1,IF(H20=$N$12,0.9,1))</f>
        <v>1</v>
      </c>
      <c r="R18" s="1507">
        <f>IF(I18&gt;0,1,IF(I20=$N$12,0.9,1))</f>
        <v>1</v>
      </c>
      <c r="S18" s="1234"/>
      <c r="U18" s="1266" t="s">
        <v>1946</v>
      </c>
      <c r="V18" s="1273">
        <f>IF(V17&lt;&gt;"",V17*V15,)</f>
        <v>0</v>
      </c>
      <c r="W18" s="1273">
        <f>IF(W17&lt;&gt;"",W17*W15,)</f>
        <v>0</v>
      </c>
      <c r="X18" s="1273">
        <f>IF(X17&lt;&gt;"",X17*X15,)</f>
        <v>0</v>
      </c>
      <c r="Y18" s="1273">
        <f>IF(Y17&lt;&gt;"",Y17*Y15,)</f>
        <v>0</v>
      </c>
      <c r="Z18" s="1267">
        <f>IF(Z14&gt;0,(V18*V14+W18*W14+X18*X14+Y18*Y14)/Z14,)</f>
        <v>0</v>
      </c>
      <c r="AA18" s="5" t="s">
        <v>525</v>
      </c>
      <c r="AB18" s="1509"/>
      <c r="AC18" s="1576" t="s">
        <v>2702</v>
      </c>
      <c r="AD18" s="1570">
        <f>IF($AH$14&gt;0,IF(Zonen&gt;0,IF(AD12,_qw1*AD14,0),0)/$AH$14,0)</f>
        <v>0</v>
      </c>
      <c r="AE18" s="1570">
        <f>IF($AH$14&gt;0,IF(Zonen&gt;1,IF(AE12,_qw2*AE14,0),0)/$AH$14,0)</f>
        <v>0</v>
      </c>
      <c r="AF18" s="1570">
        <f>IF($AH$14&gt;0,IF(Zonen&gt;2,IF(AF12,_qw3*AF14,0),0)/$AH$14,0)</f>
        <v>0</v>
      </c>
      <c r="AG18" s="1581">
        <f>IF($AH$14&gt;0,IF(Zonen&gt;3,IF(AG12,_qw4*AG14,0),0)/$AH$14,0)</f>
        <v>0</v>
      </c>
      <c r="AH18" s="1578">
        <f>SUM(AD18:AG18)</f>
        <v>0</v>
      </c>
      <c r="AI18" s="5" t="s">
        <v>525</v>
      </c>
    </row>
    <row r="19" spans="1:35" ht="18" customHeight="1">
      <c r="A19" s="1697" t="s">
        <v>3046</v>
      </c>
      <c r="B19" s="1875" t="str">
        <f>Uebersetzung!D362</f>
        <v>- riduttori di flusso per rubinetteria</v>
      </c>
      <c r="C19" s="1876"/>
      <c r="D19" s="212" t="s">
        <v>1863</v>
      </c>
      <c r="E19" s="272"/>
      <c r="F19" s="1089"/>
      <c r="G19" s="1089"/>
      <c r="H19" s="1089"/>
      <c r="I19" s="1089"/>
      <c r="J19" s="218"/>
      <c r="K19" s="922"/>
      <c r="N19" s="1263" t="s">
        <v>1859</v>
      </c>
      <c r="O19" s="1526">
        <f>F17*Verifica!$O$52</f>
        <v>0</v>
      </c>
      <c r="P19" s="1527">
        <f>G17*Verifica!$O$52</f>
        <v>0</v>
      </c>
      <c r="Q19" s="1527">
        <f>H17*Verifica!$O$52</f>
        <v>0</v>
      </c>
      <c r="R19" s="1528">
        <f>I17*Verifica!$O$52</f>
        <v>0</v>
      </c>
      <c r="S19" s="1264">
        <f>IF(EBF=0,0,(O19*_EBF1+P19*_EBF2+Q19*_EBF3+R19*_EBF4)/(_EBF1+_EBF2+_EBF3+_EBF4))</f>
        <v>0</v>
      </c>
      <c r="T19" s="5" t="s">
        <v>525</v>
      </c>
      <c r="AB19" s="1509" t="s">
        <v>2707</v>
      </c>
      <c r="AC19" s="1586" t="s">
        <v>2705</v>
      </c>
      <c r="AD19" s="1527">
        <f>AD18*0.3</f>
        <v>0</v>
      </c>
      <c r="AE19" s="1527">
        <f t="shared" ref="AE19:AG19" si="0">AE18*0.3</f>
        <v>0</v>
      </c>
      <c r="AF19" s="1527">
        <f t="shared" si="0"/>
        <v>0</v>
      </c>
      <c r="AG19" s="1528">
        <f t="shared" si="0"/>
        <v>0</v>
      </c>
      <c r="AH19" s="1579">
        <f>SUM(AD19:AG19)</f>
        <v>0</v>
      </c>
      <c r="AI19" s="5" t="s">
        <v>525</v>
      </c>
    </row>
    <row r="20" spans="1:35" ht="18" customHeight="1">
      <c r="A20" s="1697" t="s">
        <v>3047</v>
      </c>
      <c r="B20" s="1875" t="str">
        <f>Uebersetzung!D363</f>
        <v>- riduttori per mantenimento del calore</v>
      </c>
      <c r="C20" s="1876"/>
      <c r="D20" s="212" t="s">
        <v>1862</v>
      </c>
      <c r="E20" s="272"/>
      <c r="F20" s="1089"/>
      <c r="G20" s="1089"/>
      <c r="H20" s="1089"/>
      <c r="I20" s="1089"/>
      <c r="J20" s="1251"/>
      <c r="K20" s="922"/>
      <c r="N20" s="796" t="s">
        <v>1882</v>
      </c>
      <c r="O20" s="762">
        <f>IF(wohnen1,F22*20,0)</f>
        <v>0</v>
      </c>
      <c r="P20" s="826">
        <f>IF(wohnen2,G22*20,0)</f>
        <v>0</v>
      </c>
      <c r="Q20" s="826">
        <f>IF(wohnen3,H22*20,0)</f>
        <v>0</v>
      </c>
      <c r="R20" s="1222">
        <f>IF(wohnen4,I22*20,0)</f>
        <v>0</v>
      </c>
      <c r="S20" s="1218">
        <f>SUM(O20:R20)</f>
        <v>0</v>
      </c>
      <c r="T20" s="5" t="s">
        <v>673</v>
      </c>
      <c r="U20" s="1385" t="s">
        <v>2380</v>
      </c>
      <c r="AC20" s="1262" t="s">
        <v>2706</v>
      </c>
      <c r="AD20" s="1236">
        <f>AD19+AD17</f>
        <v>0</v>
      </c>
      <c r="AE20" s="1230">
        <f>AE19+AE17</f>
        <v>0</v>
      </c>
      <c r="AF20" s="1230">
        <f>AF19+AF17</f>
        <v>0</v>
      </c>
      <c r="AG20" s="1237">
        <f>AG19+AG17</f>
        <v>0</v>
      </c>
      <c r="AH20" s="1582">
        <f>SUM(AD20:AG20)</f>
        <v>0</v>
      </c>
      <c r="AI20" s="5" t="s">
        <v>525</v>
      </c>
    </row>
    <row r="21" spans="1:35" ht="18" customHeight="1">
      <c r="A21" s="1697" t="s">
        <v>3262</v>
      </c>
      <c r="B21" s="1974" t="str">
        <f>Uebersetzung!D521</f>
        <v>- Recupero termico acque di scarico in %</v>
      </c>
      <c r="C21" s="1879"/>
      <c r="D21" s="212"/>
      <c r="E21" s="212"/>
      <c r="F21" s="1794"/>
      <c r="G21" s="1794"/>
      <c r="H21" s="1794"/>
      <c r="I21" s="1794"/>
      <c r="J21" s="200"/>
      <c r="K21" s="1795">
        <f>IF(EBF&gt;0,(IF(wohnen1,F21,0)*Dati!F19+IF(wohnen2,G21,0)*Dati!G19+IF(wohnen3,H21,0)*Dati!H19+IF(wohnen4,I21,0)*Dati!I19)/EBF,0)</f>
        <v>0</v>
      </c>
      <c r="N21" s="1262" t="s">
        <v>1886</v>
      </c>
      <c r="O21" s="762">
        <v>1</v>
      </c>
      <c r="P21" s="826">
        <v>2</v>
      </c>
      <c r="Q21" s="826">
        <v>3</v>
      </c>
      <c r="R21" s="1222">
        <v>4</v>
      </c>
      <c r="S21" s="1255" t="s">
        <v>1884</v>
      </c>
      <c r="AC21" s="1796" t="s">
        <v>3275</v>
      </c>
      <c r="AH21" s="1797">
        <v>0.3</v>
      </c>
    </row>
    <row r="22" spans="1:35" ht="20.100000000000001" hidden="1" customHeight="1">
      <c r="A22" s="1697" t="s">
        <v>387</v>
      </c>
      <c r="B22" s="1875" t="str">
        <f>Uebersetzung!D411</f>
        <v>- lunghezza cavo riscaldante</v>
      </c>
      <c r="C22" s="1876"/>
      <c r="D22" s="212" t="s">
        <v>1521</v>
      </c>
      <c r="E22" s="212"/>
      <c r="F22" s="1427"/>
      <c r="G22" s="1250"/>
      <c r="H22" s="1250"/>
      <c r="I22" s="1250"/>
      <c r="J22" s="210"/>
      <c r="K22" s="244"/>
      <c r="N22" s="796" t="s">
        <v>119</v>
      </c>
      <c r="O22" s="796" t="b">
        <f>IF(F24=$N$12,TRUE,FALSE)</f>
        <v>0</v>
      </c>
      <c r="P22" s="711" t="b">
        <f>IF(G24=$N$12,TRUE,FALSE)</f>
        <v>0</v>
      </c>
      <c r="Q22" s="711" t="b">
        <f>IF(H24=$N$12,TRUE,FALSE)</f>
        <v>0</v>
      </c>
      <c r="R22" s="949" t="b">
        <f>IF(I24=$N$12,TRUE,FALSE)</f>
        <v>0</v>
      </c>
      <c r="S22" s="1470"/>
      <c r="AH22" s="1572">
        <f t="shared" ref="AH22:AH24" si="1">SUM(AD22:AG22)</f>
        <v>0</v>
      </c>
    </row>
    <row r="23" spans="1:35" ht="20.100000000000001" hidden="1" customHeight="1">
      <c r="A23" s="1697" t="s">
        <v>388</v>
      </c>
      <c r="B23" s="1772" t="str">
        <f>Dati!B19</f>
        <v>Superficie di riferimento energetico AE</v>
      </c>
      <c r="C23" s="1773"/>
      <c r="D23" s="223" t="s">
        <v>138</v>
      </c>
      <c r="E23" s="1252" t="s">
        <v>321</v>
      </c>
      <c r="F23" s="1253">
        <f>Dati!F19</f>
        <v>0</v>
      </c>
      <c r="G23" s="1253">
        <f>Dati!G19</f>
        <v>0</v>
      </c>
      <c r="H23" s="1253">
        <f>Dati!H19</f>
        <v>0</v>
      </c>
      <c r="I23" s="1253">
        <f>Dati!I19</f>
        <v>0</v>
      </c>
      <c r="J23" s="202"/>
      <c r="K23" s="1254">
        <f>Dati!K19</f>
        <v>0</v>
      </c>
      <c r="AH23" s="1572">
        <f t="shared" si="1"/>
        <v>0</v>
      </c>
    </row>
    <row r="24" spans="1:35" ht="20.100000000000001" hidden="1" customHeight="1">
      <c r="A24" s="1697" t="s">
        <v>389</v>
      </c>
      <c r="B24" s="1772" t="str">
        <f>Dati!B21</f>
        <v>Edificio nuovo</v>
      </c>
      <c r="C24" s="1773"/>
      <c r="D24" s="217"/>
      <c r="E24" s="218"/>
      <c r="F24" s="1086">
        <f>Dati!F21</f>
        <v>0</v>
      </c>
      <c r="G24" s="1086">
        <f>Dati!G21</f>
        <v>0</v>
      </c>
      <c r="H24" s="1086">
        <f>Dati!H21</f>
        <v>0</v>
      </c>
      <c r="I24" s="1086">
        <f>Dati!I21</f>
        <v>0</v>
      </c>
      <c r="J24" s="294"/>
      <c r="K24" s="1087"/>
      <c r="N24" s="1268" t="s">
        <v>1886</v>
      </c>
      <c r="O24" s="1269"/>
      <c r="P24" s="1269"/>
      <c r="Q24" s="1269"/>
      <c r="R24" s="1269"/>
      <c r="S24" s="1270"/>
      <c r="AH24" s="1572">
        <f t="shared" si="1"/>
        <v>0</v>
      </c>
    </row>
    <row r="25" spans="1:35" ht="18" customHeight="1">
      <c r="A25" s="1697" t="s">
        <v>3048</v>
      </c>
      <c r="B25" s="1875" t="str">
        <f>Uebersetzung!D410</f>
        <v>Numero unità abitative</v>
      </c>
      <c r="C25" s="1876"/>
      <c r="D25" s="212"/>
      <c r="E25" s="212"/>
      <c r="F25" s="1250"/>
      <c r="G25" s="1250"/>
      <c r="H25" s="1250"/>
      <c r="I25" s="1250"/>
      <c r="J25" s="1251"/>
      <c r="K25" s="1817">
        <f>SUM(F25:I25)</f>
        <v>0</v>
      </c>
      <c r="N25" s="1259" t="s">
        <v>2390</v>
      </c>
      <c r="O25" s="1807">
        <f>IF(_EBF1&gt;0,IF(wohnen1,IF(OR(F25="",F25=0),ROUNDUP(Dati!F19/90,0),F25),0),0)</f>
        <v>0</v>
      </c>
      <c r="P25" s="1808">
        <f>IF(_EBF2&gt;0,IF(wohnen2,IF(OR(G25="",G25=0),ROUNDUP(Dati!G19/90,0),G25),0),0)</f>
        <v>0</v>
      </c>
      <c r="Q25" s="1808">
        <f>IF(_EBF3&gt;0,IF(wohnen3,IF(OR(H25="",H25=0),ROUNDUP(Dati!H19/90,0),H25),0),0)</f>
        <v>0</v>
      </c>
      <c r="R25" s="1809">
        <f>IF(_EBF4&gt;0,IF(wohnen4,IF(OR(I25="",I25=0),ROUNDUP(Dati!I19/90,0),I25),0),0)</f>
        <v>0</v>
      </c>
      <c r="S25" s="1649">
        <f>SUM(O25:R25)</f>
        <v>0</v>
      </c>
      <c r="U25" s="1266" t="s">
        <v>2381</v>
      </c>
      <c r="V25" s="1257">
        <f>IF(V17&gt;0,_qhs1/3.6,)</f>
        <v>0</v>
      </c>
      <c r="W25" s="1257">
        <f>IF(W17&gt;0,IF(Zonen&gt;1,_qhs2/3.6,0),)</f>
        <v>0</v>
      </c>
      <c r="X25" s="1257">
        <f>IF(X17&gt;0,IF(Zonen&gt;2,_qhs3/3.6,0),)</f>
        <v>0</v>
      </c>
      <c r="Y25" s="1257">
        <f>IF(Y17&gt;0,IF(Zonen&gt;3,_qhs4/3.6,0),)</f>
        <v>0</v>
      </c>
      <c r="Z25" s="1267">
        <f>IF(Z14&gt;0,(V25*V14+W25*W14+X25*X14+Y25*Y14)/Z14,)</f>
        <v>0</v>
      </c>
      <c r="AA25" s="5" t="s">
        <v>525</v>
      </c>
    </row>
    <row r="26" spans="1:35" ht="20.100000000000001" customHeight="1">
      <c r="A26" s="1697" t="s">
        <v>3315</v>
      </c>
      <c r="B26" s="1975" t="str">
        <f>Uebersetzung!D522</f>
        <v>Altezza edificio</v>
      </c>
      <c r="C26" s="1976"/>
      <c r="D26" s="1867"/>
      <c r="E26" s="1194" t="s">
        <v>1521</v>
      </c>
      <c r="F26" s="1866">
        <f>Z36</f>
        <v>0</v>
      </c>
      <c r="G26" s="1866">
        <f>Z36</f>
        <v>0</v>
      </c>
      <c r="H26" s="1866">
        <f>Z36</f>
        <v>0</v>
      </c>
      <c r="I26" s="1866">
        <f>Z36</f>
        <v>0</v>
      </c>
      <c r="J26" s="1197"/>
      <c r="K26" s="1816"/>
      <c r="N26" s="1803" t="s">
        <v>1870</v>
      </c>
      <c r="O26" s="826">
        <f>IF(wohnen1,IF(_neu1,0.85,1),0)</f>
        <v>0</v>
      </c>
      <c r="P26" s="826">
        <f>IF(wohnen2,IF(_neu2,0.85,1),0)</f>
        <v>0</v>
      </c>
      <c r="Q26" s="826">
        <f>IF(wohnen3,IF(_neu3,0.85,1),0)</f>
        <v>0</v>
      </c>
      <c r="R26" s="1222">
        <f>IF(wohnen4,IF(_neu4,0.85,1),0)</f>
        <v>0</v>
      </c>
      <c r="S26" s="1256">
        <f>IF(S30&gt;0,(O26*O30+P26*P30+Q26*Q30+R26*R30)/S30,0)</f>
        <v>0</v>
      </c>
    </row>
    <row r="27" spans="1:35" ht="20.100000000000001" hidden="1" customHeight="1">
      <c r="A27" s="1697"/>
      <c r="B27" s="9"/>
      <c r="C27" s="9"/>
      <c r="D27" s="168"/>
      <c r="E27" s="168"/>
      <c r="F27" s="1249"/>
      <c r="G27" s="1249"/>
      <c r="H27" s="1249"/>
      <c r="I27" s="1249"/>
      <c r="J27" s="1212"/>
      <c r="K27" s="1248"/>
    </row>
    <row r="28" spans="1:35" ht="20.100000000000001" hidden="1" customHeight="1">
      <c r="A28" s="1697"/>
      <c r="B28" s="9"/>
      <c r="C28" s="9"/>
      <c r="D28" s="168"/>
      <c r="E28" s="168"/>
      <c r="F28" s="9"/>
      <c r="G28" s="9"/>
      <c r="H28" s="9"/>
      <c r="I28" s="9"/>
      <c r="J28" s="1212"/>
      <c r="K28" s="1248"/>
    </row>
    <row r="29" spans="1:35" ht="6" customHeight="1">
      <c r="A29" s="1698"/>
      <c r="B29" s="488"/>
      <c r="C29" s="488"/>
      <c r="D29" s="488"/>
      <c r="E29" s="488"/>
      <c r="F29" s="160"/>
      <c r="G29" s="160"/>
      <c r="H29" s="160"/>
      <c r="I29" s="160"/>
      <c r="J29" s="488"/>
      <c r="K29" s="488"/>
      <c r="M29" s="488"/>
    </row>
    <row r="30" spans="1:35" ht="18" customHeight="1">
      <c r="B30" s="1972" t="str">
        <f>Uebersetzung!D364</f>
        <v>Elettricità</v>
      </c>
      <c r="C30" s="1973"/>
      <c r="D30" s="442"/>
      <c r="E30" s="442"/>
      <c r="F30" s="442"/>
      <c r="G30" s="442"/>
      <c r="H30" s="442"/>
      <c r="I30" s="442"/>
      <c r="J30" s="991"/>
      <c r="K30" s="1090"/>
      <c r="N30" s="1258" t="s">
        <v>1879</v>
      </c>
      <c r="O30" s="1232">
        <f>IF(wohnen1,F23,0)</f>
        <v>0</v>
      </c>
      <c r="P30" s="1232">
        <f>IF(wohnen2,G23,0)</f>
        <v>0</v>
      </c>
      <c r="Q30" s="1232">
        <f>IF(wohnen3,H23,0)</f>
        <v>0</v>
      </c>
      <c r="R30" s="1232">
        <f>IF(wohnen4,I23,0)</f>
        <v>0</v>
      </c>
      <c r="S30" s="1225">
        <f>SUM(O30:R30)</f>
        <v>0</v>
      </c>
      <c r="T30" s="148" t="s">
        <v>321</v>
      </c>
      <c r="U30" s="325" t="s">
        <v>1913</v>
      </c>
      <c r="W30" s="1569"/>
      <c r="AC30" s="1554" t="s">
        <v>2708</v>
      </c>
    </row>
    <row r="31" spans="1:35" ht="5.25" hidden="1" customHeight="1">
      <c r="B31" s="10"/>
      <c r="C31" s="17"/>
      <c r="D31" s="14"/>
      <c r="E31" s="14"/>
      <c r="F31" s="11"/>
      <c r="G31" s="11"/>
      <c r="H31" s="15"/>
      <c r="I31" s="16"/>
      <c r="J31" s="17"/>
      <c r="K31" s="18"/>
      <c r="N31" s="1259" t="s">
        <v>1878</v>
      </c>
      <c r="O31" s="1232" t="b">
        <f>IF(AND(Kategorie1&lt;4,Kategorie1&gt;1),TRUE,FALSE)</f>
        <v>0</v>
      </c>
      <c r="P31" s="1232" t="b">
        <f>IF(AND(Kategorie2&lt;4,Kategorie2&gt;1),TRUE,FALSE)</f>
        <v>0</v>
      </c>
      <c r="Q31" s="1232" t="b">
        <f>IF(AND(Kategorie3&lt;4,Kategorie3&gt;1),TRUE,FALSE)</f>
        <v>0</v>
      </c>
      <c r="R31" s="1232" t="b">
        <f>IF(AND(Kategorie4&lt;4,Kategorie4&gt;1),TRUE,FALSE)</f>
        <v>0</v>
      </c>
      <c r="S31" s="1032">
        <f>SUM(O31:R31)</f>
        <v>0</v>
      </c>
      <c r="T31" s="148"/>
      <c r="U31" s="148"/>
    </row>
    <row r="32" spans="1:35" ht="18" customHeight="1">
      <c r="B32" s="1056" t="str">
        <f>Uebersetzung!D365</f>
        <v>Informazioni sull'utilizzo dell'abitazione</v>
      </c>
      <c r="C32" s="814"/>
      <c r="D32" s="14"/>
      <c r="E32" s="444" t="str">
        <f>B14</f>
        <v>Zone</v>
      </c>
      <c r="F32" s="197">
        <v>1</v>
      </c>
      <c r="G32" s="197">
        <v>2</v>
      </c>
      <c r="H32" s="197">
        <v>3</v>
      </c>
      <c r="I32" s="197">
        <v>4</v>
      </c>
      <c r="J32" s="19"/>
      <c r="K32" s="20" t="str">
        <f>K15</f>
        <v>(media)</v>
      </c>
      <c r="N32" s="1260" t="s">
        <v>1883</v>
      </c>
      <c r="O32" s="1243">
        <f>O30*0.8</f>
        <v>0</v>
      </c>
      <c r="P32" s="1243">
        <f>P30*0.8</f>
        <v>0</v>
      </c>
      <c r="Q32" s="1243">
        <f>Q30*0.8</f>
        <v>0</v>
      </c>
      <c r="R32" s="1243">
        <f>R30*0.8</f>
        <v>0</v>
      </c>
      <c r="S32" s="1037">
        <f>SUM(O32:R32)</f>
        <v>0</v>
      </c>
      <c r="T32" s="148" t="s">
        <v>321</v>
      </c>
      <c r="U32" s="1231" t="s">
        <v>1858</v>
      </c>
      <c r="V32" s="1238">
        <v>1</v>
      </c>
      <c r="W32" s="1232">
        <v>2</v>
      </c>
      <c r="X32" s="1232">
        <v>3</v>
      </c>
      <c r="Y32" s="406">
        <v>4</v>
      </c>
      <c r="Z32" s="406" t="s">
        <v>1868</v>
      </c>
      <c r="AC32" s="1583" t="s">
        <v>3283</v>
      </c>
      <c r="AD32" s="1595">
        <f>IF(Zonen&gt;0,IF(AD12,Verifica!G34,0),0)</f>
        <v>0</v>
      </c>
      <c r="AE32" s="1596">
        <f>IF(Zonen&gt;1,IF(AE12,Verifica!H34,0),0)</f>
        <v>0</v>
      </c>
      <c r="AF32" s="1596">
        <f>IF(Zonen&gt;2,IF(AF12,Verifica!I34,0),0)</f>
        <v>0</v>
      </c>
      <c r="AG32" s="1596">
        <f>IF(Zonen&gt;3,IF(AG12,Verifica!J34,0),0)</f>
        <v>0</v>
      </c>
      <c r="AH32" s="1594">
        <f>IF($AH$14&gt;0,(AD32*$AD$14+AE32*$AE$14+AF32*$AF$14+AG32*$AG$14)/$AH$14,)</f>
        <v>0</v>
      </c>
      <c r="AI32" s="5" t="s">
        <v>525</v>
      </c>
    </row>
    <row r="33" spans="1:36" ht="18" customHeight="1">
      <c r="A33" s="1697" t="s">
        <v>3049</v>
      </c>
      <c r="B33" s="1871" t="str">
        <f>Uebersetzung!D366</f>
        <v>Impianti di elevazione / lift presenti</v>
      </c>
      <c r="C33" s="1872"/>
      <c r="D33" s="219"/>
      <c r="E33" s="220"/>
      <c r="F33" s="1216"/>
      <c r="G33" s="1216"/>
      <c r="H33" s="1216"/>
      <c r="I33" s="1216"/>
      <c r="J33" s="199"/>
      <c r="K33" s="922"/>
      <c r="L33" s="325" t="s">
        <v>199</v>
      </c>
      <c r="N33" s="1259" t="s">
        <v>1880</v>
      </c>
      <c r="O33" s="1232">
        <f>IF(AND(wohnen1,F33=$N$12),O25*100,0)</f>
        <v>0</v>
      </c>
      <c r="P33" s="1232">
        <f>IF(AND(wohnen2,G33=$N$12),P25*100,0)</f>
        <v>0</v>
      </c>
      <c r="Q33" s="1232">
        <f>IF(AND(wohnen3,H33=$N$12),Q25*100,0)</f>
        <v>0</v>
      </c>
      <c r="R33" s="1505">
        <f>IF(AND(wohnen4,I33=$N$12),R25*100,0)</f>
        <v>0</v>
      </c>
      <c r="S33" s="1032">
        <f>SUM(O33:R33)</f>
        <v>0</v>
      </c>
      <c r="T33" s="148" t="s">
        <v>673</v>
      </c>
      <c r="U33" s="1260" t="s">
        <v>3148</v>
      </c>
      <c r="V33" s="1243">
        <f>IF(Kategorie1&lt;13,Dati!F19,0)</f>
        <v>0</v>
      </c>
      <c r="W33" s="1243">
        <f>IF(Kategorie2&lt;13,Dati!G19,0)</f>
        <v>0</v>
      </c>
      <c r="X33" s="1243">
        <f>IF(Kategorie3&lt;13,Dati!H19,0)</f>
        <v>0</v>
      </c>
      <c r="Y33" s="1243">
        <f>IF(Kategorie4&lt;13,Dati!I19,0)</f>
        <v>0</v>
      </c>
      <c r="Z33" s="1037">
        <f>SUM(V33:Y33)</f>
        <v>0</v>
      </c>
      <c r="AC33" s="1584" t="s">
        <v>3284</v>
      </c>
      <c r="AD33" s="1223">
        <f>Verifica!$AJ$43</f>
        <v>1</v>
      </c>
      <c r="AE33" s="1220">
        <f>Verifica!$AJ$43</f>
        <v>1</v>
      </c>
      <c r="AF33" s="1220">
        <f>Verifica!$AJ$43</f>
        <v>1</v>
      </c>
      <c r="AG33" s="1220">
        <f>Verifica!$AJ$43</f>
        <v>1</v>
      </c>
      <c r="AH33" s="1590">
        <f>Verifica!$AJ$43</f>
        <v>1</v>
      </c>
    </row>
    <row r="34" spans="1:36" ht="18" customHeight="1">
      <c r="A34" s="1697" t="s">
        <v>3050</v>
      </c>
      <c r="B34" s="1875" t="str">
        <f>Uebersetzung!D367</f>
        <v>Tutte le lavastoviglie classe A+++</v>
      </c>
      <c r="C34" s="1876"/>
      <c r="D34" s="217"/>
      <c r="E34" s="212"/>
      <c r="F34" s="1216"/>
      <c r="G34" s="1216"/>
      <c r="H34" s="1216"/>
      <c r="I34" s="1216"/>
      <c r="J34" s="202"/>
      <c r="K34" s="244"/>
      <c r="L34" s="325" t="s">
        <v>199</v>
      </c>
      <c r="N34" s="1258" t="s">
        <v>1871</v>
      </c>
      <c r="O34" s="1524">
        <f>IF(F34=$N$12,IF(_neu1,Standardwerte!$X87,Standardwerte!$Y87),0)</f>
        <v>0</v>
      </c>
      <c r="P34" s="1261">
        <f>IF(G34=$N$12,IF(_neu2,Standardwerte!$X87,Standardwerte!$Y87),0)</f>
        <v>0</v>
      </c>
      <c r="Q34" s="1261">
        <f>IF(H34=$N$12,IF(_neu3,Standardwerte!$X87,Standardwerte!$Y87),0)</f>
        <v>0</v>
      </c>
      <c r="R34" s="1525">
        <f>IF(I34=$N$12,IF(_neu4,Standardwerte!$X87,Standardwerte!$Y87),0)</f>
        <v>0</v>
      </c>
      <c r="S34" s="1467"/>
      <c r="T34" s="148"/>
      <c r="U34" s="1318" t="s">
        <v>1921</v>
      </c>
      <c r="V34" s="1315">
        <f>IF(V81,V86,IF(minergiea,INDEX(Standardwerte!$AI$71:$AI$83,Kategorie1,1),IF(minergiep,IF(_neu1,INDEX(Standardwerte!$Z$71:$Z$83,Kategorie1,1),INDEX(Standardwerte!$AA$71:$AA$83,Kategorie1,1)),IF(_neu1,INDEX(Standardwerte!$X$71:$X$83,Kategorie1,1),INDEX(Standardwerte!$Y$71:$Y$83,Kategorie1,1)))))</f>
        <v>0</v>
      </c>
      <c r="W34" s="1315">
        <f>IF(W81,W86,IF(minergiea,INDEX(Standardwerte!$AI$71:$AI$83,Kategorie2,1),IF(minergiep,IF(_neu2,INDEX(Standardwerte!$Z$71:$Z$83,Kategorie2,1),INDEX(Standardwerte!$AA$71:$AA$83,Kategorie2,1)),IF(_neu2,INDEX(Standardwerte!$X$71:$X$83,Kategorie2,1),INDEX(Standardwerte!$Y$71:$Y$83,Kategorie2,1)))))</f>
        <v>0</v>
      </c>
      <c r="X34" s="1315">
        <f>IF(X81,X86,IF(minergiea,INDEX(Standardwerte!$AI$71:$AI$83,Kategorie3,1),IF(minergiep,IF(_neu3,INDEX(Standardwerte!$Z$71:$Z$83,Kategorie3,1),INDEX(Standardwerte!$AA$71:$AA$83,Kategorie3,1)),IF(_neu3,INDEX(Standardwerte!$X$71:$X$83,Kategorie3,1),INDEX(Standardwerte!$Y$71:$Y$83,Kategorie3,1)))))</f>
        <v>0</v>
      </c>
      <c r="Y34" s="1315">
        <f>IF(Y81,Y86,IF(minergiea,INDEX(Standardwerte!$AI$71:$AI$83,Kategorie4,1),IF(minergiep,IF(_neu4,INDEX(Standardwerte!$Z$71:$Z$83,Kategorie4,1),INDEX(Standardwerte!$AA$71:$AA$83,Kategorie4,1)),IF(_neu4,INDEX(Standardwerte!$X$71:$X$83,Kategorie4,1),INDEX(Standardwerte!$Y$71:$Y$83,Kategorie4,1)))))</f>
        <v>0</v>
      </c>
      <c r="Z34" s="1868">
        <f>IF(EBF=0,0,(V34*_EBF1+W34*_EBF2+X34*_EBF3+Y34*_EBF4)/(_EBF1+_EBF2+_EBF3+_EBF4))</f>
        <v>0</v>
      </c>
      <c r="AA34" s="5" t="s">
        <v>525</v>
      </c>
      <c r="AC34" s="1589" t="s">
        <v>3284</v>
      </c>
      <c r="AD34" s="1526">
        <f>IF($AH$14&gt;0,AD32*AD14*AD33/$AH$14,)</f>
        <v>0</v>
      </c>
      <c r="AE34" s="1527">
        <f>IF($AH$14&gt;0,AE32*AE14*AE33/$AH$14,)</f>
        <v>0</v>
      </c>
      <c r="AF34" s="1527">
        <f>IF($AH$14&gt;0,AF32*AF14*AF33/$AH$14,)</f>
        <v>0</v>
      </c>
      <c r="AG34" s="1527">
        <f>IF($AH$14&gt;0,AG32*AG14*AG33/$AH$14,)</f>
        <v>0</v>
      </c>
      <c r="AH34" s="1577">
        <f>SUM(AD34:AG34)</f>
        <v>0</v>
      </c>
      <c r="AI34" s="5" t="s">
        <v>525</v>
      </c>
    </row>
    <row r="35" spans="1:36" ht="18" customHeight="1">
      <c r="A35" s="1697" t="s">
        <v>3051</v>
      </c>
      <c r="B35" s="2024" t="str">
        <f>Uebersetzung!D368</f>
        <v>Tutti i congelatori classe A+++</v>
      </c>
      <c r="C35" s="2025"/>
      <c r="D35" s="212"/>
      <c r="E35" s="212"/>
      <c r="F35" s="1216"/>
      <c r="G35" s="1216"/>
      <c r="H35" s="1216"/>
      <c r="I35" s="1216"/>
      <c r="J35" s="200"/>
      <c r="K35" s="204"/>
      <c r="N35" s="1259" t="s">
        <v>1872</v>
      </c>
      <c r="O35" s="1223">
        <f>IF(F35=$N$12,IF(_neu1,Standardwerte!$X88,Standardwerte!$Y88),0)</f>
        <v>0</v>
      </c>
      <c r="P35" s="1220">
        <f>IF(G35=$N$12,IF(_neu2,Standardwerte!$X88,Standardwerte!$Y88),0)</f>
        <v>0</v>
      </c>
      <c r="Q35" s="1220">
        <f>IF(H35=$N$12,IF(_neu3,Standardwerte!$X88,Standardwerte!$Y88),0)</f>
        <v>0</v>
      </c>
      <c r="R35" s="1244">
        <f>IF(I35=$N$12,IF(_neu4,Standardwerte!$X88,Standardwerte!$Y88),0)</f>
        <v>0</v>
      </c>
      <c r="S35" s="1234"/>
      <c r="U35" s="1319" t="s">
        <v>1920</v>
      </c>
      <c r="V35" s="1305">
        <f>IF(V33&gt;0,IF(Klima=1,0,INDEX(Standardwerte!$D$54:$D$94,Standardwerte!$B$51,1)*(IF(_neu1,1,2))),0)</f>
        <v>0</v>
      </c>
      <c r="W35" s="1305">
        <f>IF(W33&gt;0,IF(Klima=1,0,INDEX(Standardwerte!$D$54:$D$94,Standardwerte!$B$51,1)*(IF(_neu2,1,2))),0)</f>
        <v>0</v>
      </c>
      <c r="X35" s="1305">
        <f>IF(X33&gt;0,IF(Klima=1,0,INDEX(Standardwerte!$D$54:$D$94,Standardwerte!$B$51,1)*(IF(_neu3,1,2))),0)</f>
        <v>0</v>
      </c>
      <c r="Y35" s="1305">
        <f>IF(Y33&gt;0,IF(Klima=1,0,INDEX(Standardwerte!$D$54:$D$94,Standardwerte!$B$51,1)*(IF(_neu4,1,2))),0)</f>
        <v>0</v>
      </c>
      <c r="Z35" s="1259"/>
      <c r="AA35" s="5" t="s">
        <v>525</v>
      </c>
      <c r="AC35" s="1584" t="s">
        <v>2709</v>
      </c>
      <c r="AD35" s="1223">
        <f>Verifica!$AJ$44</f>
        <v>1</v>
      </c>
      <c r="AE35" s="1220">
        <f>Verifica!$AJ$44</f>
        <v>1</v>
      </c>
      <c r="AF35" s="1220">
        <f>Verifica!$AJ$44</f>
        <v>1</v>
      </c>
      <c r="AG35" s="1220">
        <f>Verifica!$AJ$44</f>
        <v>1</v>
      </c>
      <c r="AH35" s="1590">
        <f>Verifica!$AJ$44</f>
        <v>1</v>
      </c>
    </row>
    <row r="36" spans="1:36" ht="18" customHeight="1">
      <c r="A36" s="1697" t="s">
        <v>3052</v>
      </c>
      <c r="B36" s="1053" t="str">
        <f>Uebersetzung!D369</f>
        <v>Tutti le macchine da lavare classe A+++</v>
      </c>
      <c r="C36" s="1054"/>
      <c r="D36" s="212"/>
      <c r="E36" s="212"/>
      <c r="F36" s="1216"/>
      <c r="G36" s="1216"/>
      <c r="H36" s="1216"/>
      <c r="I36" s="1216"/>
      <c r="J36" s="200"/>
      <c r="K36" s="205"/>
      <c r="N36" s="1259" t="s">
        <v>1873</v>
      </c>
      <c r="O36" s="1223">
        <f>IF(F36=$N$12,IF(_neu1,Standardwerte!$X89,Standardwerte!$Y89),0)</f>
        <v>0</v>
      </c>
      <c r="P36" s="1220">
        <f>IF(G36=$N$12,IF(_neu2,Standardwerte!$X89,Standardwerte!$Y89),0)</f>
        <v>0</v>
      </c>
      <c r="Q36" s="1220">
        <f>IF(H36=$N$12,IF(_neu3,Standardwerte!$X89,Standardwerte!$Y89),0)</f>
        <v>0</v>
      </c>
      <c r="R36" s="1244">
        <f>IF(I36=$N$12,IF(_neu4,Standardwerte!$X89,Standardwerte!$Y89),0)</f>
        <v>0</v>
      </c>
      <c r="S36" s="1234"/>
      <c r="U36" s="1260" t="s">
        <v>3317</v>
      </c>
      <c r="V36" s="1818">
        <f>IF(AND(Kategorie1&gt;1,Kategorie1&lt;10,F26&gt;0),MAX(17-70*2.8/F26,0),0)</f>
        <v>0</v>
      </c>
      <c r="W36" s="1818">
        <f>IF(AND(Kategorie2&gt;1,Kategorie2&lt;10,G26&gt;0),MAX(17-70*2.8/G26,0),0)</f>
        <v>0</v>
      </c>
      <c r="X36" s="1818">
        <f>IF(AND(Kategorie3&gt;1,Kategorie3&lt;10,H26&gt;0),MAX(17-70*2.8/H26,0),0)</f>
        <v>0</v>
      </c>
      <c r="Y36" s="1818">
        <f>IF(AND(Kategorie4&gt;1,Kategorie4&lt;10,I26&gt;0),MAX(17-70*2.8/I26,0),0)</f>
        <v>0</v>
      </c>
      <c r="Z36" s="1869">
        <f>IF(minergiea,0,D26)</f>
        <v>0</v>
      </c>
      <c r="AA36" s="5" t="s">
        <v>3474</v>
      </c>
      <c r="AC36" s="1589" t="s">
        <v>2709</v>
      </c>
      <c r="AD36" s="1580">
        <f>AD18*Verifica!$AJ$44</f>
        <v>0</v>
      </c>
      <c r="AE36" s="1570">
        <f>AE18*Verifica!$AJ$44</f>
        <v>0</v>
      </c>
      <c r="AF36" s="1570">
        <f>AF18*Verifica!$AJ$44</f>
        <v>0</v>
      </c>
      <c r="AG36" s="1570">
        <f>AG18*Verifica!$AJ$44</f>
        <v>0</v>
      </c>
      <c r="AH36" s="1577">
        <f>SUM(AD36:AG36)</f>
        <v>0</v>
      </c>
      <c r="AI36" s="5" t="s">
        <v>525</v>
      </c>
    </row>
    <row r="37" spans="1:36" ht="18" customHeight="1">
      <c r="A37" s="1697" t="s">
        <v>3053</v>
      </c>
      <c r="B37" s="1875" t="str">
        <f>Uebersetzung!D370</f>
        <v>Tutti le asciugatrici classe A+++</v>
      </c>
      <c r="C37" s="1876"/>
      <c r="D37" s="225"/>
      <c r="E37" s="212"/>
      <c r="F37" s="1216"/>
      <c r="G37" s="1216"/>
      <c r="H37" s="1216"/>
      <c r="I37" s="1216"/>
      <c r="J37" s="200"/>
      <c r="K37" s="244"/>
      <c r="N37" s="1259" t="s">
        <v>1874</v>
      </c>
      <c r="O37" s="1223">
        <f>IF(F37=$N$12,IF(_neu1,Standardwerte!$X90,Standardwerte!$Y90),0)</f>
        <v>0</v>
      </c>
      <c r="P37" s="1220">
        <f>IF(G37=$N$12,IF(_neu2,Standardwerte!$X90,Standardwerte!$Y90),0)</f>
        <v>0</v>
      </c>
      <c r="Q37" s="1220">
        <f>IF(H37=$N$12,IF(_neu3,Standardwerte!$X90,Standardwerte!$Y90),0)</f>
        <v>0</v>
      </c>
      <c r="R37" s="1244">
        <f>IF(I37=$N$12,IF(_neu4,Standardwerte!$X90,Standardwerte!$Y90),0)</f>
        <v>0</v>
      </c>
      <c r="S37" s="1234"/>
      <c r="U37" s="1630" t="s">
        <v>1914</v>
      </c>
      <c r="V37" s="1315">
        <f>V34+V35+V36</f>
        <v>0</v>
      </c>
      <c r="W37" s="1315">
        <f>W34+W35+W36</f>
        <v>0</v>
      </c>
      <c r="X37" s="1315">
        <f>X34+X35+X36</f>
        <v>0</v>
      </c>
      <c r="Y37" s="1315">
        <f>Y34+Y35+Y36</f>
        <v>0</v>
      </c>
      <c r="Z37" s="1631">
        <f>IF(EBF=0,0,(V37*_EBF1+W37*_EBF2+X37*_EBF3+Y37*_EBF4)/(_EBF1+_EBF2+_EBF3+_EBF4))</f>
        <v>0</v>
      </c>
      <c r="AA37" s="5" t="s">
        <v>525</v>
      </c>
      <c r="AC37" s="1263" t="s">
        <v>2710</v>
      </c>
      <c r="AD37" s="1236">
        <f>AD36+AD34</f>
        <v>0</v>
      </c>
      <c r="AE37" s="1230">
        <f>AE36+AE34</f>
        <v>0</v>
      </c>
      <c r="AF37" s="1230">
        <f>AF36+AF34</f>
        <v>0</v>
      </c>
      <c r="AG37" s="1237">
        <f>AG36+AG34</f>
        <v>0</v>
      </c>
      <c r="AH37" s="1571">
        <f t="shared" ref="AH37" si="2">SUM(AD37:AG37)</f>
        <v>0</v>
      </c>
      <c r="AI37" s="5" t="s">
        <v>525</v>
      </c>
    </row>
    <row r="38" spans="1:36" ht="18" customHeight="1">
      <c r="A38" s="1697" t="s">
        <v>3054</v>
      </c>
      <c r="B38" s="1053" t="str">
        <f>Uebersetzung!D371</f>
        <v>Tutti i piani di cottura ad induzione</v>
      </c>
      <c r="C38" s="1054"/>
      <c r="D38" s="212"/>
      <c r="E38" s="212"/>
      <c r="F38" s="1216"/>
      <c r="G38" s="1216"/>
      <c r="H38" s="1216"/>
      <c r="I38" s="1216"/>
      <c r="J38" s="200"/>
      <c r="K38" s="205"/>
      <c r="N38" s="1259" t="s">
        <v>1875</v>
      </c>
      <c r="O38" s="1223">
        <f>IF(F38=$N$12,IF(_neu1,Standardwerte!$X91,Standardwerte!$Y91),0)</f>
        <v>0</v>
      </c>
      <c r="P38" s="1220">
        <f>IF(G38=$N$12,IF(_neu2,Standardwerte!$X91,Standardwerte!$Y91),0)</f>
        <v>0</v>
      </c>
      <c r="Q38" s="1220">
        <f>IF(H38=$N$12,IF(_neu3,Standardwerte!$X91,Standardwerte!$Y91),0)</f>
        <v>0</v>
      </c>
      <c r="R38" s="1244">
        <f>IF(I38=$N$12,IF(_neu4,Standardwerte!$X91,Standardwerte!$Y91),0)</f>
        <v>0</v>
      </c>
      <c r="S38" s="1234"/>
      <c r="U38" s="1231" t="s">
        <v>1915</v>
      </c>
      <c r="V38" s="1790">
        <f>IF(OR(AND(O81,O82=FALSE),AND(O86,O87=FALSE),O90),O95,0)</f>
        <v>0</v>
      </c>
      <c r="W38" s="1315">
        <f t="shared" ref="W38:Y38" si="3">IF(OR(AND(P81,P82=FALSE),AND(P86,P87=FALSE),P90),P95,0)</f>
        <v>0</v>
      </c>
      <c r="X38" s="1315">
        <f t="shared" si="3"/>
        <v>0</v>
      </c>
      <c r="Y38" s="1854">
        <f t="shared" si="3"/>
        <v>0</v>
      </c>
      <c r="Z38" s="1234"/>
      <c r="AA38" s="5" t="s">
        <v>525</v>
      </c>
      <c r="AC38" s="1796" t="s">
        <v>3275</v>
      </c>
      <c r="AH38" s="1219">
        <f>IF(AH20&gt;0,AH21/AH20*AH37,0)</f>
        <v>0</v>
      </c>
    </row>
    <row r="39" spans="1:36" ht="18" customHeight="1">
      <c r="A39" s="1697" t="s">
        <v>1963</v>
      </c>
      <c r="B39" s="1875" t="str">
        <f>Uebersetzung!D372</f>
        <v>Illuminazione fissa con LED A++</v>
      </c>
      <c r="C39" s="1876"/>
      <c r="D39" s="212"/>
      <c r="E39" s="212"/>
      <c r="F39" s="1216"/>
      <c r="G39" s="1216"/>
      <c r="H39" s="1216"/>
      <c r="I39" s="1216"/>
      <c r="J39" s="200"/>
      <c r="K39" s="205"/>
      <c r="N39" s="1259" t="s">
        <v>1876</v>
      </c>
      <c r="O39" s="1223">
        <f>IF(F39=$N$12,IF(_neu1,Standardwerte!$X92,Standardwerte!$Y92),0)</f>
        <v>0</v>
      </c>
      <c r="P39" s="1220">
        <f>IF(G39=$N$12,IF(_neu2,Standardwerte!$X92,Standardwerte!$Y92),0)</f>
        <v>0</v>
      </c>
      <c r="Q39" s="1220">
        <f>IF(H39=$N$12,IF(_neu3,Standardwerte!$X92,Standardwerte!$Y92),0)</f>
        <v>0</v>
      </c>
      <c r="R39" s="1244">
        <f>IF(I39=$N$12,IF(_neu4,Standardwerte!$X92,Standardwerte!$Y92),0)</f>
        <v>0</v>
      </c>
      <c r="S39" s="1234"/>
      <c r="U39" s="1200" t="s">
        <v>1916</v>
      </c>
      <c r="V39" s="1272">
        <f>IF(OR(AND(O81,O82=FALSE),AND(O86,O87=FALSE),O90),O92,0)</f>
        <v>0</v>
      </c>
      <c r="W39" s="1273">
        <f t="shared" ref="W39:Y39" si="4">IF(OR(AND(P81,P82=FALSE),AND(P86,P87=FALSE),P90),P92,0)</f>
        <v>0</v>
      </c>
      <c r="X39" s="1273">
        <f t="shared" si="4"/>
        <v>0</v>
      </c>
      <c r="Y39" s="1235">
        <f t="shared" si="4"/>
        <v>0</v>
      </c>
      <c r="Z39" s="1234"/>
      <c r="AA39" s="5" t="s">
        <v>525</v>
      </c>
    </row>
    <row r="40" spans="1:36" ht="18" customHeight="1">
      <c r="A40" s="1697" t="s">
        <v>3055</v>
      </c>
      <c r="B40" s="1875" t="str">
        <f>Uebersetzung!D373</f>
        <v>Illuminazione generale LED A++ e regolazione</v>
      </c>
      <c r="C40" s="1874"/>
      <c r="D40" s="440"/>
      <c r="E40" s="219"/>
      <c r="F40" s="1216"/>
      <c r="G40" s="1216"/>
      <c r="H40" s="1216"/>
      <c r="I40" s="1216"/>
      <c r="J40" s="441"/>
      <c r="K40" s="205"/>
      <c r="L40" s="160"/>
      <c r="N40" s="1259" t="s">
        <v>1877</v>
      </c>
      <c r="O40" s="1223">
        <f>IF(F40=$N$12,IF(_neu1,Standardwerte!$X93,Standardwerte!$Y93),0)</f>
        <v>0</v>
      </c>
      <c r="P40" s="1220">
        <f>IF(G40=$N$12,IF(_neu2,Standardwerte!$X93,Standardwerte!$Y93),0)</f>
        <v>0</v>
      </c>
      <c r="Q40" s="1220">
        <f>IF(H40=$N$12,IF(_neu3,Standardwerte!$X93,Standardwerte!$Y93),0)</f>
        <v>0</v>
      </c>
      <c r="R40" s="1244">
        <f>IF(I40=$N$12,IF(_neu4,Standardwerte!$X93,Standardwerte!$Y93),0)</f>
        <v>0</v>
      </c>
      <c r="S40" s="1234"/>
      <c r="U40" s="1262" t="s">
        <v>1917</v>
      </c>
      <c r="V40" s="1851">
        <f>V37+(-V38+V39)*2</f>
        <v>0</v>
      </c>
      <c r="W40" s="1852">
        <f>W37+(-W38+W39)*2</f>
        <v>0</v>
      </c>
      <c r="X40" s="1852">
        <f>X37+(-X38+X39)*2</f>
        <v>0</v>
      </c>
      <c r="Y40" s="1853">
        <f>Y37+(-Y38+Y39)*2</f>
        <v>0</v>
      </c>
      <c r="Z40" s="1265">
        <f>IF(Z33&gt;0,(V40*V33+W40*W33+X40*X33+Y40*Y33)/Z33,0)</f>
        <v>0</v>
      </c>
      <c r="AA40" s="5" t="s">
        <v>525</v>
      </c>
    </row>
    <row r="41" spans="1:36" ht="18" customHeight="1">
      <c r="A41" s="1697" t="s">
        <v>3056</v>
      </c>
      <c r="B41" s="1975" t="str">
        <f>Uebersetzung!D391</f>
        <v>Apparecchi efficienti corrente comune</v>
      </c>
      <c r="C41" s="2023"/>
      <c r="D41" s="440"/>
      <c r="E41" s="219"/>
      <c r="F41" s="1216"/>
      <c r="G41" s="1216"/>
      <c r="H41" s="1216"/>
      <c r="I41" s="1216"/>
      <c r="J41" s="441"/>
      <c r="K41" s="205"/>
      <c r="L41" s="160"/>
      <c r="N41" s="1260" t="s">
        <v>2392</v>
      </c>
      <c r="O41" s="1224">
        <f>IF(F41=$N$12,IF(_neu1,Standardwerte!$X94,Standardwerte!$Y94),0)</f>
        <v>0</v>
      </c>
      <c r="P41" s="1245">
        <f>IF(G41=$N$12,IF(_neu2,Standardwerte!$X94,Standardwerte!$Y94),0)</f>
        <v>0</v>
      </c>
      <c r="Q41" s="1245">
        <f>IF(H41=$N$12,IF(_neu3,Standardwerte!$X94,Standardwerte!$Y94),0)</f>
        <v>0</v>
      </c>
      <c r="R41" s="1246">
        <f>IF(I41=$N$12,IF(_neu4,Standardwerte!$X94,Standardwerte!$Y94),0)</f>
        <v>0</v>
      </c>
      <c r="S41" s="639"/>
    </row>
    <row r="42" spans="1:36" ht="20.100000000000001" hidden="1" customHeight="1">
      <c r="A42" s="1697"/>
      <c r="B42" s="1202"/>
      <c r="C42" s="14"/>
      <c r="D42" s="1210"/>
      <c r="E42" s="168"/>
      <c r="F42" s="1211"/>
      <c r="G42" s="1211"/>
      <c r="H42" s="1211"/>
      <c r="I42" s="1211"/>
      <c r="J42" s="1212"/>
      <c r="K42" s="1213"/>
      <c r="L42" s="160"/>
      <c r="N42" s="1259"/>
      <c r="O42" s="1220">
        <f>IF(F42=$N$12,IF(_neu1,Standardwerte!$X95,Standardwerte!$Y95),0)</f>
        <v>0</v>
      </c>
    </row>
    <row r="43" spans="1:36" ht="18" customHeight="1">
      <c r="A43" s="1697" t="s">
        <v>1950</v>
      </c>
      <c r="B43" s="1908" t="str">
        <f>Uebersetzung!D374</f>
        <v>Altri utilizzi: dati sull'illuminazione</v>
      </c>
      <c r="C43" s="1909"/>
      <c r="D43" s="1909"/>
      <c r="E43" s="991" t="str">
        <f>IF(OR(F30&lt;&gt;"",G30&lt;&gt;"",H30&lt;&gt;""),Uebersetzung!D116,"")</f>
        <v/>
      </c>
      <c r="F43" s="446"/>
      <c r="G43" s="446"/>
      <c r="H43" s="446"/>
      <c r="I43" s="446"/>
      <c r="J43" s="446"/>
      <c r="K43" s="443"/>
      <c r="L43" s="160"/>
      <c r="N43" s="1259" t="s">
        <v>692</v>
      </c>
      <c r="O43" s="1247">
        <f>IF(wohnen1,MIN(SUM(O34:O42),IF(_neu1,Standardwerte!$X$95,Standardwerte!$Y$95)),0)</f>
        <v>0</v>
      </c>
      <c r="P43" s="1247">
        <f>IF(wohnen2,MIN(SUM(P34:P42),IF(_neu2,Standardwerte!$X$95,Standardwerte!$Y$95)),0)</f>
        <v>0</v>
      </c>
      <c r="Q43" s="1247">
        <f>IF(wohnen3,MIN(SUM(Q34:Q42),IF(_neu3,Standardwerte!$X$95,Standardwerte!$Y$95)),0)</f>
        <v>0</v>
      </c>
      <c r="R43" s="1247">
        <f>IF(wohnen4,MIN(SUM(R34:R42),IF(_neu4,Standardwerte!$X$95,Standardwerte!$Y$95)),0)</f>
        <v>0</v>
      </c>
      <c r="S43" s="1219">
        <f>IF(S30&gt;0,(O43*O30+P43*P30+Q43*Q30+R43*R30)/S30,0)</f>
        <v>0</v>
      </c>
      <c r="V43" s="148"/>
      <c r="W43" s="148"/>
      <c r="X43" s="148"/>
      <c r="Y43" s="148"/>
      <c r="Z43" s="148"/>
      <c r="AA43" s="148"/>
    </row>
    <row r="44" spans="1:36" ht="20.100000000000001" customHeight="1">
      <c r="A44" s="1697" t="s">
        <v>1951</v>
      </c>
      <c r="B44" s="1995" t="str">
        <f>Uebersetzung!D412</f>
        <v>Illuminazione: risanamento completo?</v>
      </c>
      <c r="C44" s="1996"/>
      <c r="D44" s="293"/>
      <c r="E44" s="293"/>
      <c r="F44" s="1857"/>
      <c r="G44" s="1857"/>
      <c r="H44" s="1857"/>
      <c r="I44" s="1857"/>
      <c r="J44" s="294"/>
      <c r="K44" s="924"/>
      <c r="L44" s="160"/>
      <c r="N44" s="1266" t="s">
        <v>1885</v>
      </c>
      <c r="O44" s="1257">
        <f>IF(_EBF1&gt;0,IF(wohnen1,O26*(O25*800+O32*20)*(1-O43)+O33+O20,0)/_EBF1*2,0)</f>
        <v>0</v>
      </c>
      <c r="P44" s="1257">
        <f>IF(_EBF2&gt;0,IF(wohnen2,P26*(P25*800+P32*20)*(1-P43)+P33+P20,0)/_EBF2*2,0)</f>
        <v>0</v>
      </c>
      <c r="Q44" s="1257">
        <f>IF(_EBF3&gt;0,IF(wohnen3,Q26*(Q25*800+Q32*20)*(1-Q43)+Q33+Q20,0)/_EBF3*2,0)</f>
        <v>0</v>
      </c>
      <c r="R44" s="1257">
        <f>IF(_EBF4&gt;0,IF(wohnen4,R26*(R25*800+R32*20)*(1-R43)+R33+R20,0)/_EBF4*2,0)</f>
        <v>0</v>
      </c>
      <c r="S44" s="1267">
        <f>IF(S30=0,0,(O44*O30+P44*P30+Q44*Q30+R44*R30)/(_EBF1+_EBF2+_EBF3+_EBF4))+IF(S30&gt;0,H56*J56*2/(_EBF1+_EBF2+_EBF3+_EBF4))</f>
        <v>0</v>
      </c>
      <c r="T44" s="5" t="s">
        <v>525</v>
      </c>
      <c r="U44" s="325" t="s">
        <v>2811</v>
      </c>
      <c r="V44" s="148"/>
      <c r="W44" s="148"/>
      <c r="X44" s="148"/>
      <c r="Y44" s="148"/>
      <c r="Z44" s="148"/>
      <c r="AA44" s="148"/>
    </row>
    <row r="45" spans="1:36" ht="18.899999999999999" customHeight="1">
      <c r="A45" s="1697" t="s">
        <v>1952</v>
      </c>
      <c r="B45" s="1875" t="str">
        <f>IF(S47,Uebersetzung!D528,"")</f>
        <v/>
      </c>
      <c r="C45" s="1876"/>
      <c r="D45" s="271"/>
      <c r="E45" s="203"/>
      <c r="F45" s="1089"/>
      <c r="G45" s="1089"/>
      <c r="H45" s="1089"/>
      <c r="I45" s="1089"/>
      <c r="J45" s="202"/>
      <c r="K45" s="922"/>
      <c r="L45" s="160"/>
      <c r="N45" s="325" t="s">
        <v>2800</v>
      </c>
      <c r="O45" s="629"/>
      <c r="P45" s="629"/>
      <c r="Q45" s="629"/>
      <c r="R45" s="629"/>
      <c r="S45" s="629"/>
      <c r="T45" s="629"/>
      <c r="U45" s="1231" t="s">
        <v>1858</v>
      </c>
      <c r="V45" s="1610">
        <v>1</v>
      </c>
      <c r="W45" s="1232">
        <v>2</v>
      </c>
      <c r="X45" s="1232">
        <v>3</v>
      </c>
      <c r="Y45" s="1611">
        <v>4</v>
      </c>
      <c r="Z45" s="1611" t="s">
        <v>1868</v>
      </c>
      <c r="AA45" s="148"/>
    </row>
    <row r="46" spans="1:36" ht="18.899999999999999" customHeight="1">
      <c r="A46" s="1697" t="s">
        <v>1953</v>
      </c>
      <c r="B46" s="1991" t="str">
        <f>Uebersetzung!D377</f>
        <v>Luminari: modulo Minergie o  luminari efficienti &gt;100 lm/W</v>
      </c>
      <c r="C46" s="1992"/>
      <c r="D46" s="293"/>
      <c r="E46" s="293"/>
      <c r="F46" s="1271"/>
      <c r="G46" s="1271"/>
      <c r="H46" s="1271"/>
      <c r="I46" s="1271"/>
      <c r="J46" s="294"/>
      <c r="K46" s="924"/>
      <c r="L46" s="160"/>
      <c r="N46" s="796" t="s">
        <v>1858</v>
      </c>
      <c r="O46" s="762">
        <v>1</v>
      </c>
      <c r="P46" s="826">
        <v>2</v>
      </c>
      <c r="Q46" s="826">
        <v>3</v>
      </c>
      <c r="R46" s="1222">
        <v>4</v>
      </c>
      <c r="S46" s="1222" t="s">
        <v>1868</v>
      </c>
      <c r="T46" s="629"/>
      <c r="U46" s="1225" t="s">
        <v>2812</v>
      </c>
      <c r="V46" s="1315">
        <f>Verifica!G43</f>
        <v>0</v>
      </c>
      <c r="W46" s="1315">
        <f>Verifica!H43</f>
        <v>0</v>
      </c>
      <c r="X46" s="1315">
        <f>Verifica!I43</f>
        <v>0</v>
      </c>
      <c r="Y46" s="1315">
        <f>Verifica!J43</f>
        <v>0</v>
      </c>
      <c r="Z46" s="1641">
        <f>IF(EBF&gt;0,(V46*_EBF1+W46*_EBF2+X46*_EBF3+Y46*_EBF4)/(_EBF1+_EBF2+_EBF3+_EBF4),0)</f>
        <v>0</v>
      </c>
      <c r="AA46" s="148"/>
    </row>
    <row r="47" spans="1:36" ht="21.9" customHeight="1">
      <c r="A47" s="1697" t="s">
        <v>1957</v>
      </c>
      <c r="B47" s="1993" t="str">
        <f>Uebersetzung!D378</f>
        <v>Regolazione illuminazione con sensori di presenza e/o luminosità</v>
      </c>
      <c r="C47" s="1994"/>
      <c r="D47" s="221"/>
      <c r="E47" s="212"/>
      <c r="F47" s="1591"/>
      <c r="G47" s="1591"/>
      <c r="H47" s="1591"/>
      <c r="I47" s="1591"/>
      <c r="J47" s="441"/>
      <c r="K47" s="1073"/>
      <c r="L47" s="5"/>
      <c r="N47" s="1615" t="s">
        <v>2778</v>
      </c>
      <c r="O47" s="629" t="b">
        <f>IF(Kategorie1&gt;3,TRUE,FALSE)</f>
        <v>0</v>
      </c>
      <c r="P47" s="629" t="b">
        <f>IF(Kategorie2&gt;3,TRUE,FALSE)</f>
        <v>0</v>
      </c>
      <c r="Q47" s="629" t="b">
        <f>IF(Kategorie3&gt;3,TRUE,FALSE)</f>
        <v>0</v>
      </c>
      <c r="R47" s="629" t="b">
        <f>IF(Kategorie4&gt;3,TRUE,FALSE)</f>
        <v>0</v>
      </c>
      <c r="S47" s="1615" t="b">
        <f>OR(O47,P47,Q47,R47)</f>
        <v>0</v>
      </c>
      <c r="T47" s="629"/>
      <c r="U47" s="1645" t="s">
        <v>1885</v>
      </c>
      <c r="V47" s="1612">
        <f>IF(_EBF1&gt;0,IF(wohnen1,O26*(O25*800+O32*20),0)/_EBF1*2,0)</f>
        <v>0</v>
      </c>
      <c r="W47" s="1612">
        <f>IF(_EBF1&gt;0,IF(wohnen1,P26*(P25*800+P32*20),0)/_EBF1*2,0)</f>
        <v>0</v>
      </c>
      <c r="X47" s="1612">
        <f>IF(_EBF1&gt;0,IF(wohnen1,Q26*(Q25*800+Q32*20),0)/_EBF1*2,0)</f>
        <v>0</v>
      </c>
      <c r="Y47" s="1612">
        <f>IF(_EBF1&gt;0,IF(wohnen1,R26*(R25*800+R32*20),0)/_EBF1*2,0)</f>
        <v>0</v>
      </c>
      <c r="Z47" s="1642">
        <f>IF(S32&gt;0,(V47*O32+W47*P32+X47*Q32+Y47*R32)/(S32),0)</f>
        <v>0</v>
      </c>
    </row>
    <row r="48" spans="1:36" ht="18" customHeight="1">
      <c r="A48" s="1697" t="s">
        <v>3057</v>
      </c>
      <c r="B48" s="1293" t="str">
        <f>Uebersetzung!D408</f>
        <v>Illuminazione: valori mirati SIA 380/4</v>
      </c>
      <c r="C48" s="1294"/>
      <c r="D48" s="1316" t="s">
        <v>1918</v>
      </c>
      <c r="E48" s="212" t="s">
        <v>525</v>
      </c>
      <c r="F48" s="1865"/>
      <c r="G48" s="1865"/>
      <c r="H48" s="1865"/>
      <c r="I48" s="1865"/>
      <c r="J48" s="201"/>
      <c r="K48" s="1405">
        <f>S92</f>
        <v>0</v>
      </c>
      <c r="L48" s="5"/>
      <c r="M48" s="488"/>
      <c r="N48" s="1259" t="s">
        <v>2799</v>
      </c>
      <c r="O48" s="1549">
        <f>IF(Kategorie1&gt;3,Dati!F19,0)</f>
        <v>0</v>
      </c>
      <c r="P48" s="1612">
        <f>IF(Kategorie2&gt;3,Dati!G19,0)</f>
        <v>0</v>
      </c>
      <c r="Q48" s="1612">
        <f>IF(Kategorie3&gt;3,Dati!H19,0)</f>
        <v>0</v>
      </c>
      <c r="R48" s="1612">
        <f>IF(Kategorie4&gt;3,Dati!I19,0)</f>
        <v>0</v>
      </c>
      <c r="S48" s="1032">
        <f>SUM(O48:R48)</f>
        <v>0</v>
      </c>
      <c r="T48" s="5" t="s">
        <v>321</v>
      </c>
      <c r="U48" s="1645" t="s">
        <v>1898</v>
      </c>
      <c r="V48" s="1314">
        <f>INDEX(Standardwerte!$AD$71:$AD$83,Kategorie1,1)</f>
        <v>0</v>
      </c>
      <c r="W48" s="1314">
        <f>INDEX(Standardwerte!$AD$71:$AD$83,Kategorie2,1)</f>
        <v>0</v>
      </c>
      <c r="X48" s="1314">
        <f>INDEX(Standardwerte!$AD$71:$AD$83,Kategorie3,1)</f>
        <v>0</v>
      </c>
      <c r="Y48" s="1314">
        <f>INDEX(Standardwerte!$AD$71:$AD$83,Kategorie4,1)</f>
        <v>0</v>
      </c>
      <c r="Z48" s="1642">
        <f>IF(EBF&gt;0,(V48*_EBF1+W48*_EBF2+X48*_EBF3+Y48*_EBF4)/(_EBF1+_EBF2+_EBF3+_EBF4),0)</f>
        <v>0</v>
      </c>
      <c r="AJ48" s="1724"/>
    </row>
    <row r="49" spans="1:36" ht="18" customHeight="1">
      <c r="A49" s="1697" t="s">
        <v>1955</v>
      </c>
      <c r="B49" s="1214" t="str">
        <f>Uebersetzung!D407</f>
        <v>Illuminazione: valori di progetto SIA 380/4</v>
      </c>
      <c r="C49" s="1215"/>
      <c r="D49" s="1316" t="s">
        <v>1919</v>
      </c>
      <c r="E49" s="212" t="s">
        <v>525</v>
      </c>
      <c r="F49" s="1865"/>
      <c r="G49" s="1865"/>
      <c r="H49" s="1865"/>
      <c r="I49" s="1865"/>
      <c r="J49" s="201"/>
      <c r="K49" s="1405">
        <f>S93</f>
        <v>0</v>
      </c>
      <c r="L49" s="5"/>
      <c r="M49" s="488"/>
      <c r="N49" s="1855" t="s">
        <v>177</v>
      </c>
      <c r="O49" s="1856" t="str">
        <f>IF(O47,Uebersetzung!D25,Uebersetzung!D26)</f>
        <v>no</v>
      </c>
      <c r="P49" s="902" t="str">
        <f>IF(P47,Uebersetzung!D25,Uebersetzung!D26)</f>
        <v>no</v>
      </c>
      <c r="Q49" s="902" t="str">
        <f>IF(Q47,Uebersetzung!D25,Uebersetzung!D26)</f>
        <v>no</v>
      </c>
      <c r="R49" s="902" t="str">
        <f>IF(R47,Uebersetzung!D25,Uebersetzung!D26)</f>
        <v>no</v>
      </c>
      <c r="S49" s="1849"/>
      <c r="T49" s="629"/>
      <c r="U49" s="1646" t="s">
        <v>1901</v>
      </c>
      <c r="V49" s="1314">
        <f>O59</f>
        <v>0</v>
      </c>
      <c r="W49" s="1314">
        <f>P59</f>
        <v>0</v>
      </c>
      <c r="X49" s="1314">
        <f>Q59</f>
        <v>0</v>
      </c>
      <c r="Y49" s="1314">
        <f>R59</f>
        <v>0</v>
      </c>
      <c r="Z49" s="1648">
        <f>S59</f>
        <v>0</v>
      </c>
      <c r="AJ49" s="1724"/>
    </row>
    <row r="50" spans="1:36" ht="18" customHeight="1">
      <c r="A50" s="1697" t="s">
        <v>1956</v>
      </c>
      <c r="B50" s="1945" t="str">
        <f>Uebersetzung!D409</f>
        <v>I requisiti sull'illuminazione sono rispettati?</v>
      </c>
      <c r="C50" s="1946"/>
      <c r="D50" s="1989" t="str">
        <f>IF(S63=FALSE,$R$12,IF(AND(K48&gt;0,K49&gt;0),IF(ROUND(K49,1)&gt;ROUND(K48,1),$R$12,$Q$12),""))</f>
        <v/>
      </c>
      <c r="E50" s="1990"/>
      <c r="F50" s="1675">
        <f>(O100+O94+O56)/2</f>
        <v>0</v>
      </c>
      <c r="G50" s="1675">
        <f>(P100+P94+P56)/2</f>
        <v>0</v>
      </c>
      <c r="H50" s="1675">
        <f>(Q100+Q94+Q56)/2</f>
        <v>0</v>
      </c>
      <c r="I50" s="1675">
        <f>(R100+R94+R56)/2</f>
        <v>0</v>
      </c>
      <c r="J50" s="1673"/>
      <c r="K50" s="1723" t="str">
        <f>I54</f>
        <v>Valore utilizz.</v>
      </c>
      <c r="L50" s="5"/>
      <c r="M50" s="488"/>
      <c r="N50" s="1736"/>
      <c r="O50" s="1620" t="str">
        <f>Uebersetzung!D26</f>
        <v>no</v>
      </c>
      <c r="P50" s="1435" t="str">
        <f>Uebersetzung!D26</f>
        <v>no</v>
      </c>
      <c r="Q50" s="1435" t="str">
        <f>Uebersetzung!D26</f>
        <v>no</v>
      </c>
      <c r="R50" s="1435" t="str">
        <f>Uebersetzung!D26</f>
        <v>no</v>
      </c>
      <c r="S50" s="1616"/>
      <c r="T50" s="629"/>
      <c r="U50" s="1647" t="s">
        <v>1903</v>
      </c>
      <c r="V50" s="1273">
        <f>O68</f>
        <v>0</v>
      </c>
      <c r="W50" s="1273">
        <f>P68</f>
        <v>0</v>
      </c>
      <c r="X50" s="1273">
        <f>Q68</f>
        <v>0</v>
      </c>
      <c r="Y50" s="1273">
        <f>R68</f>
        <v>0</v>
      </c>
      <c r="Z50" s="1389">
        <f>S68</f>
        <v>0</v>
      </c>
    </row>
    <row r="51" spans="1:36" ht="6" customHeight="1">
      <c r="A51" s="1697"/>
      <c r="B51" s="9"/>
      <c r="C51" s="9"/>
      <c r="D51" s="1210"/>
      <c r="E51" s="9"/>
      <c r="F51" s="9"/>
      <c r="G51" s="9"/>
      <c r="H51" s="9"/>
      <c r="I51" s="9"/>
      <c r="J51" s="9"/>
      <c r="K51" s="9"/>
      <c r="L51" s="5"/>
      <c r="M51" s="488"/>
      <c r="N51" s="796" t="s">
        <v>3384</v>
      </c>
      <c r="O51" s="796" t="b">
        <f>AND(Mieter1,F49&gt;0)</f>
        <v>0</v>
      </c>
      <c r="P51" s="711" t="b">
        <f>AND(Mieter2,G49&gt;0)</f>
        <v>0</v>
      </c>
      <c r="Q51" s="711" t="b">
        <f>AND(Mieter3,H49&gt;0)</f>
        <v>0</v>
      </c>
      <c r="R51" s="949" t="b">
        <f>AND(Mieter4,I49&gt;0)</f>
        <v>0</v>
      </c>
      <c r="S51" s="949"/>
    </row>
    <row r="52" spans="1:36" ht="20.100000000000001" hidden="1" customHeight="1">
      <c r="A52" s="1697"/>
      <c r="B52" s="9"/>
      <c r="C52" s="9"/>
      <c r="D52" s="1210"/>
      <c r="E52" s="9"/>
      <c r="F52" s="9"/>
      <c r="G52" s="9"/>
      <c r="H52" s="9"/>
      <c r="I52" s="9"/>
      <c r="J52" s="9"/>
      <c r="K52" s="9"/>
      <c r="L52" s="5"/>
      <c r="M52" s="488"/>
    </row>
    <row r="53" spans="1:36" ht="22.2" customHeight="1">
      <c r="A53" s="1699"/>
      <c r="B53" s="2008" t="str">
        <f>Uebersetzung!D463</f>
        <v>Produzione propria di elettricità</v>
      </c>
      <c r="C53" s="2009"/>
      <c r="D53" s="2009"/>
      <c r="E53" s="2009"/>
      <c r="F53" s="2010"/>
      <c r="G53" s="2003" t="str">
        <f>Uebersetzung!D413</f>
        <v>Apporto annuale specifico [kWh/kWp]</v>
      </c>
      <c r="H53" s="2004"/>
      <c r="I53" s="2005" t="str">
        <f>Uebersetzung!D381</f>
        <v>Autoconsumo [%]</v>
      </c>
      <c r="J53" s="2006"/>
      <c r="K53" s="2007"/>
      <c r="L53" s="5"/>
      <c r="M53" s="488"/>
      <c r="N53" s="1291" t="s">
        <v>3364</v>
      </c>
      <c r="O53" s="1632" t="b">
        <f>IF(F45=Uebersetzung!$D$25,TRUE,FALSE)</f>
        <v>0</v>
      </c>
      <c r="P53" s="1633" t="b">
        <f>IF(G45=Uebersetzung!$D$25,TRUE,FALSE)</f>
        <v>0</v>
      </c>
      <c r="Q53" s="1633" t="b">
        <f>IF(H45=Uebersetzung!$D$25,TRUE,FALSE)</f>
        <v>0</v>
      </c>
      <c r="R53" s="1633" t="b">
        <f>IF(I45=Uebersetzung!$D$25,TRUE,FALSE)</f>
        <v>0</v>
      </c>
      <c r="S53" s="1634"/>
      <c r="T53" s="1418" t="s">
        <v>2776</v>
      </c>
    </row>
    <row r="54" spans="1:36" ht="13.95" customHeight="1">
      <c r="A54" s="1704"/>
      <c r="G54" s="1667" t="str">
        <f>Verifica!I7</f>
        <v>Valore utilizz.</v>
      </c>
      <c r="H54" s="1669" t="str">
        <f>Verifica!H7</f>
        <v>Valore</v>
      </c>
      <c r="I54" s="1671" t="str">
        <f>G54</f>
        <v>Valore utilizz.</v>
      </c>
      <c r="J54" s="2019" t="str">
        <f>H54</f>
        <v>Valore</v>
      </c>
      <c r="K54" s="2020"/>
      <c r="L54" s="5"/>
      <c r="M54" s="125"/>
      <c r="N54" s="1437" t="s">
        <v>2798</v>
      </c>
      <c r="O54" s="901">
        <f>IF(Mieter1=FALSE,IF(O97=FALSE,INDEX(Standardwerte!$AD$71:$AD$83,Kategorie1,1)/2*IF($S$88,1.2,1),0),)</f>
        <v>0</v>
      </c>
      <c r="P54" s="902">
        <f>IF(Mieter2=FALSE,IF(P97=FALSE,INDEX(Standardwerte!$AD$71:$AD$83,Kategorie2,1)/2*IF($S$88,1.2,1),0),0)</f>
        <v>0</v>
      </c>
      <c r="Q54" s="902">
        <f>IF(Mieter3=FALSE,IF(Q97=FALSE,INDEX(Standardwerte!$AD$71:$AD$83,Kategorie3,1)/2*IF($S$88,1.2,1),0),0)</f>
        <v>0</v>
      </c>
      <c r="R54" s="1613">
        <f>IF(Mieter4=FALSE,IF(R97=FALSE,INDEX(Standardwerte!$AD$71:$AD$83,Kategorie4,1)/2*IF($S$88,1.2,1),0),0)</f>
        <v>0</v>
      </c>
      <c r="S54" s="1615"/>
      <c r="T54" s="629" t="s">
        <v>525</v>
      </c>
    </row>
    <row r="55" spans="1:36" ht="18.899999999999999" customHeight="1">
      <c r="A55" s="1717" t="s">
        <v>1960</v>
      </c>
      <c r="B55" s="1662" t="str">
        <f>Uebersetzung!D382</f>
        <v>Potenza nominale (senza cogenerazione) [kWp]</v>
      </c>
      <c r="C55" s="1663"/>
      <c r="D55" s="1663"/>
      <c r="E55" s="1664"/>
      <c r="F55" s="1609" t="s">
        <v>1908</v>
      </c>
      <c r="G55" s="1668">
        <f>IF(OR(H55="",H55=0),800,H55)</f>
        <v>800</v>
      </c>
      <c r="H55" s="1670"/>
      <c r="I55" s="1672">
        <f>AI71</f>
        <v>0.2</v>
      </c>
      <c r="J55" s="2021"/>
      <c r="K55" s="2022"/>
      <c r="L55" s="5"/>
      <c r="M55" s="513"/>
      <c r="N55" s="1616" t="s">
        <v>494</v>
      </c>
      <c r="O55" s="1620">
        <f>IF(Mieter1=FALSE,_EBF1,0)</f>
        <v>0</v>
      </c>
      <c r="P55" s="1435">
        <f>IF(Mieter2=FALSE,_EBF2,0)</f>
        <v>0</v>
      </c>
      <c r="Q55" s="1435">
        <f>IF(Mieter3=FALSE,_EBF3,0)</f>
        <v>0</v>
      </c>
      <c r="R55" s="1621">
        <f>IF(Mieter4=FALSE,_EBF4,0)</f>
        <v>0</v>
      </c>
      <c r="S55" s="1616"/>
      <c r="T55" s="629" t="s">
        <v>321</v>
      </c>
    </row>
    <row r="56" spans="1:36" ht="24" customHeight="1">
      <c r="A56" s="1708" t="s">
        <v>2816</v>
      </c>
      <c r="B56" s="1657" t="str">
        <f>Uebersetzung!D414</f>
        <v>Potenza specifica installata per m2 AE</v>
      </c>
      <c r="C56" s="1658"/>
      <c r="D56" s="1658"/>
      <c r="E56" s="1659">
        <f>IF(EBF&gt;0,E55*1000/EBF,0)</f>
        <v>0</v>
      </c>
      <c r="F56" s="1660" t="s">
        <v>1909</v>
      </c>
      <c r="G56" s="1677" t="str">
        <f>Uebersetzung!D475</f>
        <v>Capacità batterie [kWh]</v>
      </c>
      <c r="H56" s="1661"/>
      <c r="I56" s="1676" t="str">
        <f>Uebersetzung!D476</f>
        <v>Perdita delle batterie [%]:</v>
      </c>
      <c r="J56" s="2017"/>
      <c r="K56" s="2018"/>
      <c r="L56" s="5"/>
      <c r="M56" s="125"/>
      <c r="N56" s="1262" t="s">
        <v>2790</v>
      </c>
      <c r="O56" s="1627">
        <f>IF(O97=FALSE,O54*2,0)</f>
        <v>0</v>
      </c>
      <c r="P56" s="1257">
        <f>IF(P97=FALSE,P54*2,0)</f>
        <v>0</v>
      </c>
      <c r="Q56" s="1257">
        <f>IF(Q97=FALSE,Q54*2,0)</f>
        <v>0</v>
      </c>
      <c r="R56" s="1470">
        <f>IF(R97=FALSE,R54*2,0)</f>
        <v>0</v>
      </c>
      <c r="S56" s="1265">
        <f>IF(EBF&gt;0,(O54*O55+P54*P55+Q54*Q55+R54*R55)*2/(_EBF1+_EBF2+_EBF3+_EBF4),0)</f>
        <v>0</v>
      </c>
      <c r="T56" s="5" t="s">
        <v>525</v>
      </c>
      <c r="U56" s="325" t="s">
        <v>1987</v>
      </c>
      <c r="V56" s="27"/>
      <c r="W56" s="27"/>
      <c r="X56" s="27"/>
      <c r="Y56" s="27"/>
      <c r="Z56" s="27"/>
      <c r="AC56" s="325" t="s">
        <v>3238</v>
      </c>
    </row>
    <row r="57" spans="1:36" ht="20.100000000000001" customHeight="1">
      <c r="A57" s="1718" t="s">
        <v>1961</v>
      </c>
      <c r="B57" s="2014" t="str">
        <f>Uebersetzung!D452</f>
        <v>Dimensione minima della produzione propria di elettricità:</v>
      </c>
      <c r="C57" s="2015"/>
      <c r="D57" s="2016"/>
      <c r="E57" s="1665">
        <f>IF(Z73,"0",MIN(30,MAX(Z67*0.01+Verifica!Q28*EBF/G55,0)))</f>
        <v>0</v>
      </c>
      <c r="F57" s="1666" t="s">
        <v>1908</v>
      </c>
      <c r="G57" s="1468"/>
      <c r="H57" s="1469" t="str">
        <f>Uebersetzung!D386</f>
        <v xml:space="preserve">Requisito soddisfatto?    </v>
      </c>
      <c r="I57" s="1997" t="str">
        <f>IF(wkk,Uebersetzung!D25,IF(EBF=0,"",IF(E57="0",Uebersetzung!$D$25,IF(ROUND(E55,2)&gt;=ROUND(E57,2),Uebersetzung!$D$25,Uebersetzung!$D$26))))</f>
        <v/>
      </c>
      <c r="J57" s="1998"/>
      <c r="K57" s="1999"/>
      <c r="M57" s="125"/>
      <c r="N57" s="325" t="s">
        <v>1900</v>
      </c>
      <c r="U57" s="1231" t="s">
        <v>1858</v>
      </c>
      <c r="V57" s="1238">
        <v>1</v>
      </c>
      <c r="W57" s="1232">
        <v>2</v>
      </c>
      <c r="X57" s="1232">
        <v>3</v>
      </c>
      <c r="Y57" s="406">
        <v>4</v>
      </c>
      <c r="Z57" s="1388" t="s">
        <v>1884</v>
      </c>
      <c r="AC57" s="796"/>
      <c r="AD57" s="826" t="s">
        <v>3241</v>
      </c>
      <c r="AE57" s="826" t="s">
        <v>3242</v>
      </c>
      <c r="AF57" s="826" t="s">
        <v>3243</v>
      </c>
      <c r="AG57" s="826" t="s">
        <v>3244</v>
      </c>
      <c r="AH57" s="826" t="s">
        <v>3245</v>
      </c>
      <c r="AI57" s="1222" t="s">
        <v>491</v>
      </c>
    </row>
    <row r="58" spans="1:36" ht="24" customHeight="1">
      <c r="A58" s="1704"/>
      <c r="B58" s="1530" t="s">
        <v>2397</v>
      </c>
      <c r="C58" s="1503"/>
      <c r="D58" s="1503"/>
      <c r="E58" s="1503"/>
      <c r="F58" s="1529"/>
      <c r="G58" s="1533" t="str">
        <f>Uebersetzung!D456</f>
        <v>Indice parziale
fabbisogno</v>
      </c>
      <c r="H58" s="1534" t="str">
        <f>Uebersetzung!D457</f>
        <v>Produzione PV
(ponderata)</v>
      </c>
      <c r="I58" s="1535"/>
      <c r="J58" s="1535"/>
      <c r="K58" s="1536"/>
      <c r="M58" s="5"/>
      <c r="N58" s="1276" t="s">
        <v>1900</v>
      </c>
      <c r="O58" s="1277"/>
      <c r="P58" s="1277"/>
      <c r="Q58" s="1278"/>
      <c r="R58" s="1278"/>
      <c r="S58" s="1279"/>
      <c r="U58" s="1437" t="s">
        <v>1976</v>
      </c>
      <c r="V58" s="860">
        <f>IF(_neu1,Dati!F19,0)</f>
        <v>0</v>
      </c>
      <c r="W58" s="860">
        <f>IF(_neu2,Dati!G19,0)</f>
        <v>0</v>
      </c>
      <c r="X58" s="860">
        <f>IF(_neu3,Dati!H19,0)</f>
        <v>0</v>
      </c>
      <c r="Y58" s="860">
        <f>IF(_neu4,Dati!I19,0)</f>
        <v>0</v>
      </c>
      <c r="Z58" s="1439">
        <f>SUM(V58:Y58)</f>
        <v>0</v>
      </c>
      <c r="AA58" s="1418" t="s">
        <v>321</v>
      </c>
      <c r="AC58" s="1788" t="s">
        <v>3240</v>
      </c>
      <c r="AD58" s="1790">
        <f>WaermebedarfA</f>
        <v>0</v>
      </c>
      <c r="AE58" s="1315">
        <f>WaermebedarfB</f>
        <v>0</v>
      </c>
      <c r="AF58" s="1315">
        <f>WaermebedarfC</f>
        <v>0</v>
      </c>
      <c r="AG58" s="1315">
        <f>WaermebedarfD</f>
        <v>0</v>
      </c>
      <c r="AH58" s="1629">
        <f>WaermebedarfE</f>
        <v>0</v>
      </c>
      <c r="AI58" s="1629">
        <f>SUM(AD58:AH58)</f>
        <v>0</v>
      </c>
      <c r="AJ58" s="5" t="s">
        <v>525</v>
      </c>
    </row>
    <row r="59" spans="1:36" ht="18.899999999999999" customHeight="1">
      <c r="A59" s="1706" t="s">
        <v>1965</v>
      </c>
      <c r="B59" s="2011" t="str">
        <f>Uebersetzung!D455</f>
        <v>La produzione di elettricità copre il fabbisogno:</v>
      </c>
      <c r="C59" s="2012"/>
      <c r="D59" s="2012"/>
      <c r="E59" s="2013"/>
      <c r="F59" s="1471" t="s">
        <v>525</v>
      </c>
      <c r="G59" s="1531">
        <f>S15+S19+S44+S56+S59+S68+S94+S100</f>
        <v>0</v>
      </c>
      <c r="H59" s="1532">
        <f>IF(EBF&gt;0,G55*E55/EBF-Verifica!Q28,0)*2</f>
        <v>0</v>
      </c>
      <c r="I59" s="2000" t="str">
        <f>IF(EBF=0,"",IF(H59="0",Uebersetzung!$D$25,IF(ROUND(H59,1)&gt;=ROUND(G59,1),Uebersetzung!$D$25,Uebersetzung!$D$26)))</f>
        <v/>
      </c>
      <c r="J59" s="2001"/>
      <c r="K59" s="2002"/>
      <c r="M59" s="936"/>
      <c r="N59" s="1276" t="s">
        <v>1901</v>
      </c>
      <c r="O59" s="1282">
        <f>INDEX(Standardwerte!$AE$71:$AE$83,Kategorie1,1)</f>
        <v>0</v>
      </c>
      <c r="P59" s="1280">
        <f>INDEX(Standardwerte!$AE$71:$AE$83,Kategorie2,1)</f>
        <v>0</v>
      </c>
      <c r="Q59" s="1280">
        <f>INDEX(Standardwerte!$AE$71:$AE$83,Kategorie3,1)</f>
        <v>0</v>
      </c>
      <c r="R59" s="1281">
        <f>INDEX(Standardwerte!$AE$71:$AE$83,Kategorie4,1)</f>
        <v>0</v>
      </c>
      <c r="S59" s="1265">
        <f>IF(EBF&gt;0,(O59*_EBF1+P59*_EBF2+Q59*_EBF3+R59*_EBF4)/(_EBF1+_EBF2+_EBF3+_EBF4),0)</f>
        <v>0</v>
      </c>
      <c r="T59" s="5" t="s">
        <v>525</v>
      </c>
      <c r="U59" s="1438" t="s">
        <v>1977</v>
      </c>
      <c r="V59" s="85">
        <f>Dati!F19-V67</f>
        <v>0</v>
      </c>
      <c r="W59" s="85">
        <f>Dati!G19-W67</f>
        <v>0</v>
      </c>
      <c r="X59" s="85">
        <f>Dati!H19-X67</f>
        <v>0</v>
      </c>
      <c r="Y59" s="85">
        <f>Dati!I19-Y67</f>
        <v>0</v>
      </c>
      <c r="Z59" s="862">
        <f>SUM(V59:Y59)</f>
        <v>0</v>
      </c>
      <c r="AA59" s="1418" t="s">
        <v>321</v>
      </c>
      <c r="AC59" s="1200" t="s">
        <v>3246</v>
      </c>
      <c r="AD59" s="1200">
        <f>INDEX(Standardwerte!$AU$108:$AU$155,Verifica!M8,1)</f>
        <v>0</v>
      </c>
      <c r="AE59" s="148">
        <f>INDEX(Standardwerte!$AU$108:$AU$155,Verifica!M12,1)</f>
        <v>0</v>
      </c>
      <c r="AF59" s="148">
        <f>INDEX(Standardwerte!$AU$108:$AU$155,Verifica!M16,1)</f>
        <v>0</v>
      </c>
      <c r="AG59" s="148">
        <f>INDEX(Standardwerte!$AU$108:$AU$155,Verifica!M20,1)</f>
        <v>0</v>
      </c>
      <c r="AH59" s="1234" t="b">
        <v>0</v>
      </c>
      <c r="AI59" s="1234"/>
    </row>
    <row r="60" spans="1:36" ht="18" hidden="1" customHeight="1">
      <c r="A60" s="1697"/>
      <c r="M60" s="936"/>
      <c r="U60" s="1260"/>
      <c r="V60" s="156"/>
      <c r="W60" s="156"/>
      <c r="X60" s="156"/>
      <c r="Y60" s="156"/>
      <c r="Z60" s="1260"/>
      <c r="AC60" s="1200"/>
      <c r="AD60" s="1200"/>
      <c r="AE60" s="148"/>
      <c r="AF60" s="148"/>
      <c r="AG60" s="148"/>
      <c r="AH60" s="1234"/>
      <c r="AI60" s="1234"/>
    </row>
    <row r="61" spans="1:36" ht="6" customHeight="1">
      <c r="D61" s="99"/>
      <c r="E61" s="99"/>
      <c r="F61" s="196"/>
      <c r="G61" s="196"/>
      <c r="H61" s="196"/>
      <c r="I61" s="70"/>
      <c r="J61" s="9"/>
      <c r="K61" s="8"/>
      <c r="M61" s="488"/>
      <c r="N61" s="1635"/>
      <c r="U61" s="1258"/>
      <c r="V61" s="1231"/>
      <c r="W61" s="1091"/>
      <c r="X61" s="1091"/>
      <c r="Y61" s="1467"/>
      <c r="Z61" s="1258"/>
      <c r="AC61" s="1200"/>
      <c r="AD61" s="1200"/>
      <c r="AE61" s="148"/>
      <c r="AF61" s="148"/>
      <c r="AG61" s="148"/>
      <c r="AH61" s="1234"/>
      <c r="AI61" s="1234"/>
    </row>
    <row r="62" spans="1:36" ht="21.9" customHeight="1">
      <c r="B62" s="396" t="str">
        <f>Uebersetzung!D384</f>
        <v>Altri requisiti</v>
      </c>
      <c r="C62" s="815"/>
      <c r="D62" s="398" t="str">
        <f>Uebersetzung!D385</f>
        <v>Autodichiarazione/conferma</v>
      </c>
      <c r="E62" s="398"/>
      <c r="F62" s="397"/>
      <c r="G62" s="1443"/>
      <c r="H62" s="711"/>
      <c r="I62" s="1980" t="str">
        <f>Uebersetzung!D386</f>
        <v xml:space="preserve">Requisito soddisfatto?    </v>
      </c>
      <c r="J62" s="1980"/>
      <c r="K62" s="1981"/>
      <c r="N62" s="325" t="s">
        <v>3389</v>
      </c>
      <c r="U62" s="1390" t="s">
        <v>1990</v>
      </c>
      <c r="V62" s="957"/>
      <c r="W62" s="156"/>
      <c r="X62" s="156"/>
      <c r="Y62" s="639"/>
      <c r="Z62" s="1390" t="b">
        <f>IF(OR(minergiea,Z58&gt;2000,AND(EBF&gt;2000,I70=N12)),TRUE,FALSE)</f>
        <v>0</v>
      </c>
      <c r="AA62" s="27"/>
      <c r="AC62" s="957" t="s">
        <v>3247</v>
      </c>
      <c r="AD62" s="1224">
        <f>IF(AND(AD59,$AI$58&gt;0),AD58/$AI$58,0)</f>
        <v>0</v>
      </c>
      <c r="AE62" s="1245">
        <f>IF(AND(AE59,$AI$58),AE58/$AI$58,0)</f>
        <v>0</v>
      </c>
      <c r="AF62" s="1245">
        <f>IF(AND(AF59,$AI$58&gt;0),AF58/$AI$58,0)</f>
        <v>0</v>
      </c>
      <c r="AG62" s="1245">
        <f>IF(AND(AG59,$AI$58&gt;0),AG58/$AI$58,0)</f>
        <v>0</v>
      </c>
      <c r="AH62" s="1246">
        <f t="shared" ref="AH62" si="5">IF(AH59,AH58/$AI$58,0)</f>
        <v>0</v>
      </c>
      <c r="AI62" s="1789">
        <f>SUM(AD62:AH62)</f>
        <v>0</v>
      </c>
    </row>
    <row r="63" spans="1:36" ht="18" customHeight="1">
      <c r="A63" s="1697" t="s">
        <v>2814</v>
      </c>
      <c r="B63" s="1871" t="str">
        <f>IF(auswahl1&gt;0,INDEX(Standardwerte!$AF$5:$AF$13,2),"")</f>
        <v/>
      </c>
      <c r="C63" s="1872"/>
      <c r="D63" s="1986" t="str">
        <f>IF(auswahl1&gt;0,INDEX(Standardwerte!$BA$5:$BA$13,2),"")</f>
        <v/>
      </c>
      <c r="E63" s="1987"/>
      <c r="F63" s="1987"/>
      <c r="G63" s="1987"/>
      <c r="H63" s="1988"/>
      <c r="I63" s="1729"/>
      <c r="J63" s="1982">
        <f>IF(AND(B63&lt;&gt;"",I63=$N$13),$R$12,IF(OR(I63="",B63=""),,$Q$12))</f>
        <v>0</v>
      </c>
      <c r="K63" s="1983"/>
      <c r="M63" s="160"/>
      <c r="N63" s="1803" t="s">
        <v>3390</v>
      </c>
      <c r="O63" s="711" t="b">
        <f>IF(AND(O51=FALSE,Mieter1),FALSE,TRUE)</f>
        <v>1</v>
      </c>
      <c r="P63" s="711" t="b">
        <f>IF(AND(P51=FALSE,Mieter2),FALSE,TRUE)</f>
        <v>1</v>
      </c>
      <c r="Q63" s="711" t="b">
        <f>IF(AND(Q51=FALSE,Mieter3),FALSE,TRUE)</f>
        <v>1</v>
      </c>
      <c r="R63" s="711" t="b">
        <f>IF(AND(R51=FALSE,Mieter4),FALSE,TRUE)</f>
        <v>1</v>
      </c>
      <c r="S63" s="1803" t="b">
        <f>AND(O63,P63,Q63,R63)</f>
        <v>1</v>
      </c>
      <c r="U63" s="325" t="s">
        <v>1975</v>
      </c>
      <c r="AA63" s="27"/>
      <c r="AC63" s="1793" t="s">
        <v>3256</v>
      </c>
      <c r="AD63" s="1091"/>
      <c r="AE63" s="1091"/>
      <c r="AF63" s="1091"/>
      <c r="AG63" s="1091"/>
      <c r="AH63" s="1091"/>
      <c r="AI63" s="1791">
        <f>('Visione d''insieme'!K52+'Visione d''insieme'!K54+'Visione d''insieme'!K56+'Visione d''insieme'!K58+S106+Verifica!I47+Verifica!I48+Verifica!I49+Verifica!I50+Verifica!I51)/2</f>
        <v>0</v>
      </c>
      <c r="AJ63" s="5" t="s">
        <v>525</v>
      </c>
    </row>
    <row r="64" spans="1:36" ht="18" hidden="1" customHeight="1">
      <c r="A64" s="1697" t="s">
        <v>399</v>
      </c>
      <c r="B64" s="1875" t="str">
        <f>IF(auswahl2&gt;0,INDEX(Standardwerte!$AF$5:$AF$13,3),"")</f>
        <v/>
      </c>
      <c r="C64" s="1876"/>
      <c r="D64" s="1954" t="str">
        <f>IF(auswahl2&gt;0,INDEX(Standardwerte!$BA$5:$BA$13,3),"")</f>
        <v/>
      </c>
      <c r="E64" s="1955"/>
      <c r="F64" s="1955"/>
      <c r="G64" s="1956"/>
      <c r="H64" s="1730"/>
      <c r="I64" s="1434"/>
      <c r="J64" s="1692"/>
      <c r="K64" s="1727" t="str">
        <f>"1.6 m3/hm2"</f>
        <v>1.6 m3/hm2</v>
      </c>
      <c r="M64" s="160"/>
      <c r="N64" s="325" t="s">
        <v>1904</v>
      </c>
      <c r="AC64" s="1259"/>
      <c r="AD64" s="148"/>
      <c r="AE64" s="148"/>
      <c r="AF64" s="148"/>
      <c r="AG64" s="148"/>
      <c r="AH64" s="148"/>
      <c r="AI64" s="1259"/>
    </row>
    <row r="65" spans="1:36" ht="18" customHeight="1">
      <c r="A65" s="1697" t="s">
        <v>2815</v>
      </c>
      <c r="B65" s="1875" t="str">
        <f>IF(auswahl3&gt;0,INDEX(Standardwerte!$AF$5:$AF$13,4),"")</f>
        <v/>
      </c>
      <c r="C65" s="1876"/>
      <c r="D65" s="1954" t="str">
        <f>IF(auswahl3&gt;0,INDEX(Standardwerte!$BA$5:$BA$13,4),"")</f>
        <v/>
      </c>
      <c r="E65" s="1955"/>
      <c r="F65" s="1955"/>
      <c r="G65" s="1955"/>
      <c r="H65" s="1956"/>
      <c r="I65" s="1434"/>
      <c r="J65" s="1952">
        <f>IF(AND(B65&lt;&gt;"",I65=$N$13),$R$12,IF(OR(I65="",B65=""),,$Q$12))</f>
        <v>0</v>
      </c>
      <c r="K65" s="1953"/>
      <c r="M65" s="160"/>
      <c r="N65" s="1635" t="s">
        <v>2801</v>
      </c>
      <c r="U65" s="1231" t="s">
        <v>1858</v>
      </c>
      <c r="V65" s="762">
        <v>1</v>
      </c>
      <c r="W65" s="826">
        <v>2</v>
      </c>
      <c r="X65" s="826">
        <v>3</v>
      </c>
      <c r="Y65" s="1222">
        <v>4</v>
      </c>
      <c r="Z65" s="1388" t="s">
        <v>1884</v>
      </c>
      <c r="AC65" s="1259" t="s">
        <v>3257</v>
      </c>
      <c r="AD65" s="148"/>
      <c r="AE65" s="148"/>
      <c r="AF65" s="148"/>
      <c r="AG65" s="148"/>
      <c r="AH65" s="148"/>
      <c r="AI65" s="1648">
        <f>IF(EBF&gt;0,E55*G55/EBF,0)</f>
        <v>0</v>
      </c>
      <c r="AJ65" s="5" t="s">
        <v>525</v>
      </c>
    </row>
    <row r="66" spans="1:36" ht="18" hidden="1" customHeight="1">
      <c r="A66" s="1697" t="s">
        <v>3058</v>
      </c>
      <c r="B66" s="1875" t="str">
        <f>IF(auswahl4&gt;0,INDEX(Standardwerte!$AF$5:$AF$13,5),"")</f>
        <v/>
      </c>
      <c r="C66" s="1876"/>
      <c r="D66" s="1954" t="str">
        <f>IF(auswahl4&gt;0,INDEX(Standardwerte!$BA$5:$BA$13,5),"")</f>
        <v/>
      </c>
      <c r="E66" s="1955"/>
      <c r="F66" s="1955"/>
      <c r="G66" s="1956"/>
      <c r="H66" s="1730"/>
      <c r="I66" s="1444"/>
      <c r="J66" s="1691"/>
      <c r="K66" s="1728">
        <f>IF(AND(B66&lt;&gt;"",I66=$N$13),$R$12,IF(OR(I66="",B66=""),,$Q$12))</f>
        <v>0</v>
      </c>
      <c r="M66" s="160" t="b">
        <v>0</v>
      </c>
      <c r="U66" s="1437"/>
      <c r="V66" s="629"/>
      <c r="W66" s="629"/>
      <c r="X66" s="629"/>
      <c r="Y66" s="629"/>
      <c r="Z66" s="1726"/>
      <c r="AC66" s="1259"/>
      <c r="AD66" s="148"/>
      <c r="AE66" s="148"/>
      <c r="AF66" s="148"/>
      <c r="AG66" s="148"/>
      <c r="AH66" s="148"/>
      <c r="AI66" s="1259"/>
    </row>
    <row r="67" spans="1:36" ht="18" customHeight="1">
      <c r="A67" s="1697" t="s">
        <v>2915</v>
      </c>
      <c r="B67" s="1875" t="str">
        <f>IF(auswahl5&gt;0,INDEX(Standardwerte!$AF$5:$AF$13,6),"")</f>
        <v/>
      </c>
      <c r="C67" s="1876"/>
      <c r="D67" s="1954" t="str">
        <f>IF(auswahl5&gt;0,INDEX(Standardwerte!$BA$5:$BA$13,6),"")</f>
        <v/>
      </c>
      <c r="E67" s="1955"/>
      <c r="F67" s="1955"/>
      <c r="G67" s="1955"/>
      <c r="H67" s="1956"/>
      <c r="I67" s="1434"/>
      <c r="J67" s="1960"/>
      <c r="K67" s="1961"/>
      <c r="M67" s="160" t="b">
        <v>0</v>
      </c>
      <c r="N67" s="1276" t="s">
        <v>1902</v>
      </c>
      <c r="O67" s="1284"/>
      <c r="P67" s="1284"/>
      <c r="Q67" s="1285"/>
      <c r="R67" s="1285"/>
      <c r="S67" s="1279"/>
      <c r="U67" s="1438" t="s">
        <v>1976</v>
      </c>
      <c r="V67" s="901">
        <f>IF(_neu1,Dati!F19,0)</f>
        <v>0</v>
      </c>
      <c r="W67" s="902">
        <f>IF(_neu2,Dati!G19,0)</f>
        <v>0</v>
      </c>
      <c r="X67" s="902">
        <f>IF(_neu3,Dati!H19,0)</f>
        <v>0</v>
      </c>
      <c r="Y67" s="1613">
        <f>IF(_neu4,Dati!I19,0)</f>
        <v>0</v>
      </c>
      <c r="Z67" s="862">
        <f>SUM(V67:Y67)</f>
        <v>0</v>
      </c>
      <c r="AA67" s="1418" t="s">
        <v>321</v>
      </c>
      <c r="AC67" s="1259" t="s">
        <v>3255</v>
      </c>
      <c r="AD67" s="148"/>
      <c r="AE67" s="148"/>
      <c r="AF67" s="148"/>
      <c r="AG67" s="148"/>
      <c r="AH67" s="148"/>
      <c r="AI67" s="1792">
        <f>IF(AI63&gt;0,AI65/AI63,0)</f>
        <v>0</v>
      </c>
    </row>
    <row r="68" spans="1:36" ht="18" customHeight="1">
      <c r="A68" s="1697" t="s">
        <v>3059</v>
      </c>
      <c r="B68" s="1875" t="str">
        <f>IF(auswahl6&gt;0,INDEX(Standardwerte!$AF$5:$AF$13,7),"")</f>
        <v/>
      </c>
      <c r="C68" s="1876"/>
      <c r="D68" s="1954" t="str">
        <f>IF(auswahl6&gt;0,INDEX(Standardwerte!$BA$5:$BA$13,7),"")</f>
        <v/>
      </c>
      <c r="E68" s="1955"/>
      <c r="F68" s="1955"/>
      <c r="G68" s="1955"/>
      <c r="H68" s="1956"/>
      <c r="I68" s="1445"/>
      <c r="J68" s="1960"/>
      <c r="K68" s="1961"/>
      <c r="M68" s="160" t="b">
        <v>1</v>
      </c>
      <c r="N68" s="1276" t="s">
        <v>1903</v>
      </c>
      <c r="O68" s="1282">
        <f>INDEX(Standardwerte!$AF$71:$AF$83,Kategorie1,1)</f>
        <v>0</v>
      </c>
      <c r="P68" s="1280">
        <f>INDEX(Standardwerte!$AF$71:$AF$83,Kategorie2,1)</f>
        <v>0</v>
      </c>
      <c r="Q68" s="1280">
        <f>INDEX(Standardwerte!$AF$71:$AF$83,Kategorie3,1)</f>
        <v>0</v>
      </c>
      <c r="R68" s="1281">
        <f>INDEX(Standardwerte!$AF$71:$AF$83,Kategorie4,1)</f>
        <v>0</v>
      </c>
      <c r="S68" s="1265">
        <f>IF(EBF&gt;0,(O68*_EBF1+P68*_EBF2+Q68*_EBF3+R68*_EBF4)/(_EBF1+_EBF2+_EBF3+_EBF4)+IF(S30=0,H56*J56*2/(_EBF1+_EBF2+_EBF3+_EBF4)),0)</f>
        <v>0</v>
      </c>
      <c r="T68" s="5" t="s">
        <v>525</v>
      </c>
      <c r="U68" s="1438" t="s">
        <v>1977</v>
      </c>
      <c r="V68" s="1620">
        <f>Dati!F19-V67</f>
        <v>0</v>
      </c>
      <c r="W68" s="1435">
        <f>Dati!G19-W67</f>
        <v>0</v>
      </c>
      <c r="X68" s="1435">
        <f>Dati!H19-X67</f>
        <v>0</v>
      </c>
      <c r="Y68" s="1621">
        <f>Dati!I19-Y67</f>
        <v>0</v>
      </c>
      <c r="Z68" s="862">
        <f>SUM(V68:Y68)</f>
        <v>0</v>
      </c>
      <c r="AA68" s="1418" t="s">
        <v>321</v>
      </c>
      <c r="AC68" s="1260" t="s">
        <v>3258</v>
      </c>
      <c r="AD68" s="156"/>
      <c r="AE68" s="156"/>
      <c r="AF68" s="156"/>
      <c r="AG68" s="156"/>
      <c r="AH68" s="156"/>
      <c r="AI68" s="1037">
        <f>IF(H56&gt;0,H56,0)</f>
        <v>0</v>
      </c>
      <c r="AJ68" s="5" t="s">
        <v>673</v>
      </c>
    </row>
    <row r="69" spans="1:36" ht="18" customHeight="1">
      <c r="A69" s="1697" t="s">
        <v>3062</v>
      </c>
      <c r="B69" s="1875" t="str">
        <f>IF(auswahl7&gt;0,INDEX(Standardwerte!$AF$5:$AF$13,8),"")</f>
        <v/>
      </c>
      <c r="C69" s="1876"/>
      <c r="D69" s="1962" t="str">
        <f>IF(auswahl7&gt;0,INDEX(Standardwerte!$BA$5:$BA$13,8),"")</f>
        <v/>
      </c>
      <c r="E69" s="1963"/>
      <c r="F69" s="1963"/>
      <c r="G69" s="1963"/>
      <c r="H69" s="1964"/>
      <c r="I69" s="1434"/>
      <c r="J69" s="1952">
        <f>IF(AND(B69&lt;&gt;"",I69=$N$13),$R$12,IF(OR(I69="",B69=""),,$Q$12))</f>
        <v>0</v>
      </c>
      <c r="K69" s="1953"/>
      <c r="M69" s="160"/>
      <c r="U69" s="1259"/>
      <c r="V69" s="1200"/>
      <c r="W69" s="148"/>
      <c r="X69" s="148"/>
      <c r="Y69" s="1234"/>
      <c r="Z69" s="1259"/>
      <c r="AC69" s="1788" t="s">
        <v>3272</v>
      </c>
      <c r="AD69" s="1091"/>
      <c r="AE69" s="1091"/>
      <c r="AF69" s="1091"/>
      <c r="AG69" s="1091"/>
      <c r="AH69" s="1091"/>
      <c r="AI69" s="1806">
        <f>IF(f_fr_PV=0,0,MIN(IF(OR(H56="",H56&lt;=5),(f_fr_PV^_x0*_a0+_b0+C_Bat*((f_fr_PV^_x5*_a5+_b5)-(f_fr_PV^_x0*_a0+_b0))/5)/100,(f_fr_PV^_x5*_a5+_b5+(C_Bat-5)*((f_fr_PV^_x10*_a10+_b10)-(f_fr_PV^_x5*_a5+_b5))/5)/100),0.8))</f>
        <v>0</v>
      </c>
    </row>
    <row r="70" spans="1:36" ht="18" customHeight="1">
      <c r="A70" s="1697" t="s">
        <v>3060</v>
      </c>
      <c r="B70" s="1875" t="str">
        <f>IF(auswahl8&gt;0,INDEX(Standardwerte!$AF$5:$AF$14,9),"")</f>
        <v/>
      </c>
      <c r="C70" s="1876"/>
      <c r="D70" s="1954" t="str">
        <f>IF(auswahl8&gt;0,INDEX(Standardwerte!$BA$5:$BA$14,9),"")</f>
        <v/>
      </c>
      <c r="E70" s="1955"/>
      <c r="F70" s="1955"/>
      <c r="G70" s="1955"/>
      <c r="H70" s="1956"/>
      <c r="I70" s="1434"/>
      <c r="J70" s="1960"/>
      <c r="K70" s="1961"/>
      <c r="M70" s="160"/>
      <c r="N70" s="1276" t="s">
        <v>1904</v>
      </c>
      <c r="O70" s="1277"/>
      <c r="P70" s="1277"/>
      <c r="Q70" s="1278"/>
      <c r="R70" s="1278"/>
      <c r="S70" s="1279"/>
      <c r="U70" s="1438" t="s">
        <v>1979</v>
      </c>
      <c r="V70" s="1619"/>
      <c r="W70" s="1617"/>
      <c r="X70" s="1617"/>
      <c r="Y70" s="1623"/>
      <c r="Z70" s="1440">
        <f>Verifica!G59</f>
        <v>0</v>
      </c>
      <c r="AA70" s="5" t="s">
        <v>525</v>
      </c>
      <c r="AC70" s="1200" t="s">
        <v>3273</v>
      </c>
      <c r="AD70" s="148"/>
      <c r="AE70" s="148"/>
      <c r="AF70" s="148"/>
      <c r="AG70" s="148"/>
      <c r="AH70" s="148"/>
      <c r="AI70" s="1792">
        <f>IF(f_fr_PV=0,0,MIN(IF(OR(H56="",H56&lt;=5),(f_fr_PV^_x0WP*_a0WP+_b0WP+C_Bat*((f_fr_PV^_x5WP*_a5WP+_b5WP)-(f_fr_PV^_x0WP*_a0WP+_b0WP))/5)/100,(f_fr_PV^_x5WP*_a5WP+_b5WP+(C_Bat-5)*((f_fr_PV^_x10WP*_a10WP+_b10WP)-(f_fr_PV^_x5WP*_a5WP+_b5WP))/5)/100),0.8))</f>
        <v>0</v>
      </c>
    </row>
    <row r="71" spans="1:36" ht="18" customHeight="1">
      <c r="A71" s="1697" t="s">
        <v>3061</v>
      </c>
      <c r="B71" s="1975" t="str">
        <f>IF(auswahl9&gt;0,INDEX(Standardwerte!$AF$5:$AF$14,10),"")</f>
        <v/>
      </c>
      <c r="C71" s="1976"/>
      <c r="D71" s="1957" t="str">
        <f>IF(auswahl9&gt;0,INDEX(Standardwerte!$BA$5:$BA$14,10),"")</f>
        <v/>
      </c>
      <c r="E71" s="1958"/>
      <c r="F71" s="1958"/>
      <c r="G71" s="1958"/>
      <c r="H71" s="1959"/>
      <c r="I71" s="1446"/>
      <c r="J71" s="1984">
        <f>IF(AND(B71&lt;&gt;"",I71=$N$13),$R$12,IF(OR(I71="",B71=""),,$Q$12))</f>
        <v>0</v>
      </c>
      <c r="K71" s="1985"/>
      <c r="M71" s="160" t="b">
        <v>0</v>
      </c>
      <c r="N71" s="1286" t="s">
        <v>1906</v>
      </c>
      <c r="O71" s="27"/>
      <c r="P71" s="27"/>
      <c r="Q71" s="27"/>
      <c r="R71" s="27"/>
      <c r="S71" s="90">
        <f>IF(EBF&gt;0,G55*E55/EBF-Verifica!Q28,0)*2*I55</f>
        <v>0</v>
      </c>
      <c r="T71" s="5" t="s">
        <v>525</v>
      </c>
      <c r="U71" s="1259" t="s">
        <v>99</v>
      </c>
      <c r="V71" s="1815" t="s">
        <v>3335</v>
      </c>
      <c r="W71" s="1830">
        <f>IF(EBF&gt;0,G55*E55/EBF,0)*2*I55</f>
        <v>0</v>
      </c>
      <c r="X71" s="1831" t="s">
        <v>3336</v>
      </c>
      <c r="Y71" s="1830">
        <f>IF(EBF&gt;0,G55*E55/EBF,0)*2*(1-I55)*0.4</f>
        <v>0</v>
      </c>
      <c r="Z71" s="1648">
        <f>W71+Y71</f>
        <v>0</v>
      </c>
      <c r="AA71" s="5" t="s">
        <v>525</v>
      </c>
      <c r="AC71" s="957" t="s">
        <v>3274</v>
      </c>
      <c r="AD71" s="156"/>
      <c r="AE71" s="156"/>
      <c r="AF71" s="156"/>
      <c r="AG71" s="156"/>
      <c r="AH71" s="1243"/>
      <c r="AI71" s="1805">
        <f>IF(OR(J55="",J55=0),IF(AI75,ROUND((AI70*Anteil_WP+AI69*(1-Anteil_WP))*20,0)/20,0.2),MIN(J55,1))</f>
        <v>0.2</v>
      </c>
    </row>
    <row r="72" spans="1:36" s="27" customFormat="1" ht="12" customHeight="1">
      <c r="A72" s="1701"/>
      <c r="B72" s="1057">
        <f ca="1">NOW()</f>
        <v>43132.781938657405</v>
      </c>
      <c r="C72" s="5"/>
      <c r="D72" s="5"/>
      <c r="E72" s="5"/>
      <c r="F72" s="5"/>
      <c r="G72" s="5"/>
      <c r="H72" s="5"/>
      <c r="I72" s="5"/>
      <c r="J72" s="5"/>
      <c r="K72" s="824" t="str">
        <f>Dati!C8&amp;" / "&amp;Dati!C7&amp;" / "&amp;Dati!H7&amp;" / "&amp;Dati!J7&amp;" / "&amp;Dati!J8&amp;" / "&amp;Dati!G55&amp;" / "&amp;Dati!G57</f>
        <v xml:space="preserve"> /  /  /  /  /  / </v>
      </c>
      <c r="L72" s="327"/>
      <c r="M72" s="327"/>
      <c r="N72" s="590" t="s">
        <v>1907</v>
      </c>
      <c r="S72" s="1287">
        <f>IF(EBF&gt;0,G55*E55/EBF-Verifica!Q28,0)*2*(1-I55)*0.4</f>
        <v>0</v>
      </c>
      <c r="T72" s="5" t="s">
        <v>525</v>
      </c>
      <c r="U72" s="1438" t="s">
        <v>3337</v>
      </c>
      <c r="V72" s="1619"/>
      <c r="W72" s="1617"/>
      <c r="X72" s="1617"/>
      <c r="Y72" s="1623"/>
      <c r="Z72" s="1440">
        <f>S75+Z71</f>
        <v>0</v>
      </c>
      <c r="AA72" s="5" t="s">
        <v>525</v>
      </c>
      <c r="AC72" s="1804"/>
      <c r="AD72" s="1038" t="s">
        <v>556</v>
      </c>
      <c r="AE72" s="1039" t="s">
        <v>557</v>
      </c>
      <c r="AF72" s="1039" t="s">
        <v>234</v>
      </c>
      <c r="AG72" s="1039" t="s">
        <v>235</v>
      </c>
      <c r="AH72" s="344"/>
      <c r="AI72" s="1804"/>
    </row>
    <row r="73" spans="1:36" s="27" customFormat="1" ht="18" customHeight="1">
      <c r="A73" s="1701"/>
      <c r="F73" s="33"/>
      <c r="G73" s="33"/>
      <c r="H73" s="33"/>
      <c r="I73" s="33"/>
      <c r="L73" s="327"/>
      <c r="M73" s="327"/>
      <c r="N73" s="1276" t="s">
        <v>1905</v>
      </c>
      <c r="O73" s="1282"/>
      <c r="P73" s="1280"/>
      <c r="Q73" s="1280"/>
      <c r="R73" s="1281"/>
      <c r="S73" s="1283">
        <f>SUM(S71:S72)</f>
        <v>0</v>
      </c>
      <c r="T73" s="5" t="s">
        <v>525</v>
      </c>
      <c r="U73" s="1441" t="s">
        <v>1978</v>
      </c>
      <c r="V73" s="1736"/>
      <c r="W73" s="1436"/>
      <c r="X73" s="1436"/>
      <c r="Y73" s="1737"/>
      <c r="Z73" s="1442" t="b">
        <f>IF(EBF=0,FALSE,IF((Z70-Z72)&gt;=5,TRUE,IF(AND(Z67&gt;0,Z68=0),FALSE,IF(OR(Z67&lt;50,AND(Z67&lt;=1000,Z67/Z68&lt;0.2)),TRUE,FALSE))))</f>
        <v>0</v>
      </c>
      <c r="AC73" s="124" t="s">
        <v>333</v>
      </c>
      <c r="AD73" s="42" t="b">
        <f>IF(AND(Kategorie1 = 3,Dati!F19&gt;0), TRUE,FALSE)</f>
        <v>0</v>
      </c>
      <c r="AE73" s="42" t="b">
        <f>IF(AND(Kategorie2 = 3,Dati!G19&gt;0), TRUE,FALSE)</f>
        <v>0</v>
      </c>
      <c r="AF73" s="42" t="b">
        <f>IF(AND(Kategorie3 = 3,Dati!H19&gt;0), TRUE,FALSE)</f>
        <v>0</v>
      </c>
      <c r="AG73" s="42" t="b">
        <f>IF(AND(Kategorie4 = 3,Dati!I19&gt;0), TRUE,FALSE)</f>
        <v>0</v>
      </c>
      <c r="AH73" s="42"/>
      <c r="AI73" s="124" t="b">
        <f>OR(AD73,AE73,AF73,AG73)</f>
        <v>0</v>
      </c>
    </row>
    <row r="74" spans="1:36" s="27" customFormat="1" ht="18" customHeight="1">
      <c r="A74" s="1701"/>
      <c r="F74" s="33"/>
      <c r="G74" s="33"/>
      <c r="H74" s="33"/>
      <c r="I74" s="33"/>
      <c r="L74" s="327"/>
      <c r="M74" s="327"/>
      <c r="N74" s="325" t="s">
        <v>2802</v>
      </c>
      <c r="O74" s="5"/>
      <c r="P74" s="5"/>
      <c r="Q74" s="5"/>
      <c r="R74" s="5"/>
      <c r="S74" s="5"/>
      <c r="T74" s="5"/>
      <c r="V74" s="1617"/>
      <c r="W74" s="1617"/>
      <c r="X74" s="1617"/>
      <c r="Y74" s="1617"/>
      <c r="AC74" s="124" t="s">
        <v>3309</v>
      </c>
      <c r="AD74" s="42" t="b">
        <f>IF(AND(OR(Kategorie1 = 2,Kategorie1&gt;3),Dati!F19&gt;0,Kategorie1&lt;13), TRUE,FALSE)</f>
        <v>0</v>
      </c>
      <c r="AE74" s="42" t="b">
        <f>IF(AND(OR(Kategorie2 = 2,Kategorie2&gt;3),Dati!G19&gt;0,Kategorie2&lt;13), TRUE,FALSE)</f>
        <v>0</v>
      </c>
      <c r="AF74" s="42" t="b">
        <f>IF(AND(OR(Kategorie3 = 2,Kategorie3&gt;3),Dati!H19&gt;0,Kategorie3&lt;13), TRUE,FALSE)</f>
        <v>0</v>
      </c>
      <c r="AG74" s="42" t="b">
        <f>IF(AND(OR(Kategorie4 = 2,Kategorie4&gt;3),Dati!I19&gt;0,Kategorie4&lt;13), TRUE,FALSE)</f>
        <v>0</v>
      </c>
      <c r="AH74" s="42"/>
      <c r="AI74" s="124" t="b">
        <f>OR(AD74,AE74,AF74,AG74)</f>
        <v>0</v>
      </c>
    </row>
    <row r="75" spans="1:36" s="27" customFormat="1" ht="18" customHeight="1">
      <c r="A75" s="1701"/>
      <c r="F75" s="33"/>
      <c r="G75" s="33"/>
      <c r="H75" s="33"/>
      <c r="I75" s="33"/>
      <c r="L75" s="327"/>
      <c r="M75" s="327"/>
      <c r="N75" s="1291" t="s">
        <v>1911</v>
      </c>
      <c r="O75" s="1289"/>
      <c r="P75" s="1288"/>
      <c r="Q75" s="1288"/>
      <c r="R75" s="1290"/>
      <c r="S75" s="1292">
        <f>S15+S19+S44+S59+S68-S73+S56+S94+S100</f>
        <v>0</v>
      </c>
      <c r="T75" s="5" t="s">
        <v>525</v>
      </c>
      <c r="U75" s="629"/>
      <c r="V75" s="629"/>
      <c r="W75" s="629"/>
      <c r="X75" s="629"/>
      <c r="Y75" s="629"/>
      <c r="Z75" s="629"/>
      <c r="AC75" s="147" t="s">
        <v>3310</v>
      </c>
      <c r="AD75" s="60"/>
      <c r="AE75" s="60"/>
      <c r="AF75" s="60"/>
      <c r="AG75" s="60"/>
      <c r="AH75" s="60"/>
      <c r="AI75" s="1442" t="b">
        <f>IF(AND(AI73,AI74=FALSE),TRUE,FALSE)</f>
        <v>0</v>
      </c>
    </row>
    <row r="76" spans="1:36" s="27" customFormat="1" ht="18" customHeight="1">
      <c r="A76" s="1701"/>
      <c r="B76" s="635"/>
      <c r="C76" s="635"/>
      <c r="D76" s="635"/>
      <c r="E76" s="635"/>
      <c r="F76" s="635"/>
      <c r="G76" s="635"/>
      <c r="H76" s="635"/>
      <c r="I76" s="635"/>
      <c r="J76" s="635"/>
      <c r="K76" s="635"/>
      <c r="L76" s="327"/>
      <c r="M76" s="327"/>
      <c r="N76" s="325" t="s">
        <v>2789</v>
      </c>
      <c r="O76" s="629"/>
      <c r="P76" s="629"/>
      <c r="Q76" s="629"/>
      <c r="R76" s="629"/>
      <c r="S76" s="629"/>
      <c r="T76" s="629"/>
      <c r="U76" s="325" t="s">
        <v>3350</v>
      </c>
      <c r="Z76" s="629"/>
    </row>
    <row r="77" spans="1:36" s="27" customFormat="1" ht="18" customHeight="1">
      <c r="A77" s="1701"/>
      <c r="L77" s="327"/>
      <c r="M77" s="327"/>
      <c r="N77" s="796" t="s">
        <v>1858</v>
      </c>
      <c r="O77" s="762">
        <v>1</v>
      </c>
      <c r="P77" s="826">
        <v>2</v>
      </c>
      <c r="Q77" s="826">
        <v>3</v>
      </c>
      <c r="R77" s="1222">
        <v>4</v>
      </c>
      <c r="S77" s="1222" t="s">
        <v>2781</v>
      </c>
      <c r="T77" s="629"/>
      <c r="U77" s="796" t="s">
        <v>1858</v>
      </c>
      <c r="V77" s="1843">
        <v>1</v>
      </c>
      <c r="W77" s="1232">
        <v>2</v>
      </c>
      <c r="X77" s="1232">
        <v>3</v>
      </c>
      <c r="Y77" s="1842">
        <v>4</v>
      </c>
      <c r="Z77" s="1377" t="s">
        <v>1884</v>
      </c>
    </row>
    <row r="78" spans="1:36" s="27" customFormat="1" ht="18" customHeight="1">
      <c r="A78" s="1701"/>
      <c r="B78" s="635"/>
      <c r="C78" s="635"/>
      <c r="D78" s="635"/>
      <c r="E78" s="635"/>
      <c r="F78" s="635"/>
      <c r="G78" s="635"/>
      <c r="H78" s="635"/>
      <c r="I78" s="635"/>
      <c r="J78" s="635"/>
      <c r="K78" s="635"/>
      <c r="L78" s="327"/>
      <c r="M78" s="327"/>
      <c r="N78" s="1848" t="s">
        <v>2778</v>
      </c>
      <c r="O78" s="1622" t="b">
        <f>IF(Kategorie1&gt;3,TRUE,FALSE)</f>
        <v>0</v>
      </c>
      <c r="P78" s="1622" t="b">
        <f>IF(Kategorie2&gt;3,TRUE,FALSE)</f>
        <v>0</v>
      </c>
      <c r="Q78" s="1622" t="b">
        <f>IF(Kategorie3&gt;3,TRUE,FALSE)</f>
        <v>0</v>
      </c>
      <c r="R78" s="1622" t="b">
        <f>IF(Kategorie4&gt;3,TRUE,FALSE)</f>
        <v>0</v>
      </c>
      <c r="S78" s="1849"/>
      <c r="T78" s="629"/>
      <c r="U78" s="1788" t="s">
        <v>1879</v>
      </c>
      <c r="V78" s="1843">
        <f>IF(wohnen1,F23,0)</f>
        <v>0</v>
      </c>
      <c r="W78" s="1232">
        <f>IF(wohnen2,G23,0)</f>
        <v>0</v>
      </c>
      <c r="X78" s="1232">
        <f>IF(wohnen3,H23,0)</f>
        <v>0</v>
      </c>
      <c r="Y78" s="1842">
        <f>IF(wohnen4,I23,0)</f>
        <v>0</v>
      </c>
      <c r="Z78" s="1842">
        <f>SUM(V78:Y78)</f>
        <v>0</v>
      </c>
      <c r="AA78" s="148" t="s">
        <v>321</v>
      </c>
    </row>
    <row r="79" spans="1:36" s="629" customFormat="1" ht="18" customHeight="1">
      <c r="A79" s="1702"/>
      <c r="B79" s="635"/>
      <c r="C79" s="635"/>
      <c r="D79" s="635"/>
      <c r="E79" s="635"/>
      <c r="F79" s="635"/>
      <c r="G79" s="635"/>
      <c r="H79" s="635"/>
      <c r="I79" s="635"/>
      <c r="J79" s="635"/>
      <c r="K79" s="635"/>
      <c r="L79" s="636"/>
      <c r="M79" s="636"/>
      <c r="N79" s="1618" t="s">
        <v>2780</v>
      </c>
      <c r="O79" s="1617" t="b">
        <f>AND(_neu1,O78)</f>
        <v>0</v>
      </c>
      <c r="P79" s="1617" t="b">
        <f>AND(_neu2,P78)</f>
        <v>0</v>
      </c>
      <c r="Q79" s="1617" t="b">
        <f>AND(_neu3,Q78)</f>
        <v>0</v>
      </c>
      <c r="R79" s="1617" t="b">
        <f>AND(_neu4,R78)</f>
        <v>0</v>
      </c>
      <c r="S79" s="1618"/>
      <c r="U79" s="1841" t="s">
        <v>3351</v>
      </c>
      <c r="V79" s="1858">
        <f>IF(wohnen1,O25,0)</f>
        <v>0</v>
      </c>
      <c r="W79" s="1860">
        <f>IF(wohnen2,P25,0)</f>
        <v>0</v>
      </c>
      <c r="X79" s="1860">
        <f>IF(wohnen3,Q25,0)</f>
        <v>0</v>
      </c>
      <c r="Y79" s="1859">
        <f>IF(wohnen4,R25,0)</f>
        <v>0</v>
      </c>
      <c r="Z79" s="1844">
        <f>SUM(V79:Y79)</f>
        <v>0</v>
      </c>
    </row>
    <row r="80" spans="1:36" s="629" customFormat="1" ht="18" customHeight="1">
      <c r="A80" s="1702"/>
      <c r="B80" s="635"/>
      <c r="C80" s="635"/>
      <c r="D80" s="635"/>
      <c r="E80" s="635"/>
      <c r="F80" s="635"/>
      <c r="G80" s="635"/>
      <c r="H80" s="635"/>
      <c r="I80" s="635"/>
      <c r="J80" s="635"/>
      <c r="K80" s="635"/>
      <c r="L80" s="636"/>
      <c r="M80" s="636"/>
      <c r="N80" s="1618" t="s">
        <v>2785</v>
      </c>
      <c r="O80" s="1435">
        <f>IF(AND(_neu1,Kategorie1&gt;3),Dati!F19,0)</f>
        <v>0</v>
      </c>
      <c r="P80" s="1435">
        <f>IF(AND(_neu2,Kategorie2&gt;3),Dati!G19,0)</f>
        <v>0</v>
      </c>
      <c r="Q80" s="1435">
        <f>IF(AND(_neu3,Kategorie3&gt;3),Dati!H19,0)</f>
        <v>0</v>
      </c>
      <c r="R80" s="1435">
        <f>IF(AND(_neu4,Kategorie4&gt;3),Dati!I19,0)</f>
        <v>0</v>
      </c>
      <c r="S80" s="862">
        <f>SUM(O80:R80)</f>
        <v>0</v>
      </c>
      <c r="T80" s="629" t="s">
        <v>321</v>
      </c>
      <c r="U80" s="1841" t="s">
        <v>3352</v>
      </c>
      <c r="V80" s="1861">
        <f>IF(V79&gt;0,V78/V79,V78)</f>
        <v>0</v>
      </c>
      <c r="W80" s="1862">
        <f t="shared" ref="W80:Y80" si="6">IF(W79&gt;0,W78/W79,W78)</f>
        <v>0</v>
      </c>
      <c r="X80" s="1862">
        <f t="shared" si="6"/>
        <v>0</v>
      </c>
      <c r="Y80" s="1844">
        <f t="shared" si="6"/>
        <v>0</v>
      </c>
      <c r="Z80" s="1626">
        <f>IF(Z79&gt;0,Z78/Z79,0)</f>
        <v>0</v>
      </c>
      <c r="AA80" s="1418" t="s">
        <v>3353</v>
      </c>
    </row>
    <row r="81" spans="1:27" s="629" customFormat="1" ht="18" customHeight="1">
      <c r="A81" s="1702"/>
      <c r="B81" s="635"/>
      <c r="C81" s="635"/>
      <c r="D81" s="635"/>
      <c r="E81" s="635"/>
      <c r="F81" s="635"/>
      <c r="G81" s="635"/>
      <c r="H81" s="635"/>
      <c r="I81" s="635"/>
      <c r="J81" s="635"/>
      <c r="K81" s="635"/>
      <c r="L81" s="636"/>
      <c r="M81" s="636"/>
      <c r="N81" s="1618" t="s">
        <v>2779</v>
      </c>
      <c r="O81" s="629" t="b">
        <f>AND($S$80&gt;250,O79)</f>
        <v>0</v>
      </c>
      <c r="P81" s="629" t="b">
        <f t="shared" ref="P81:R81" si="7">AND($S$80&gt;250,P79)</f>
        <v>0</v>
      </c>
      <c r="Q81" s="629" t="b">
        <f t="shared" si="7"/>
        <v>0</v>
      </c>
      <c r="R81" s="629" t="b">
        <f t="shared" si="7"/>
        <v>0</v>
      </c>
      <c r="S81" s="1618"/>
      <c r="T81" s="1418" t="s">
        <v>2791</v>
      </c>
      <c r="U81" s="1845" t="s">
        <v>3350</v>
      </c>
      <c r="V81" s="1858" t="b">
        <f>wohnen1</f>
        <v>0</v>
      </c>
      <c r="W81" s="1860" t="b">
        <f>wohnen2</f>
        <v>0</v>
      </c>
      <c r="X81" s="1860" t="b">
        <f>wohnen3</f>
        <v>0</v>
      </c>
      <c r="Y81" s="1859" t="b">
        <f>wohnen4</f>
        <v>0</v>
      </c>
      <c r="Z81" s="1626" t="b">
        <f>IF(AND(Z80&gt;=69,Z80&lt;=125),TRUE,FALSE)</f>
        <v>0</v>
      </c>
    </row>
    <row r="82" spans="1:27" s="629" customFormat="1" ht="18" customHeight="1">
      <c r="A82" s="1702"/>
      <c r="F82" s="635"/>
      <c r="G82" s="635"/>
      <c r="H82" s="635"/>
      <c r="I82" s="635"/>
      <c r="L82" s="636"/>
      <c r="M82" s="636"/>
      <c r="N82" s="1624" t="s">
        <v>3379</v>
      </c>
      <c r="O82" s="1625" t="b">
        <f>AND(O81,Mieter1=FALSE)</f>
        <v>0</v>
      </c>
      <c r="P82" s="1625" t="b">
        <f>AND(P81,Mieter2=FALSE)</f>
        <v>0</v>
      </c>
      <c r="Q82" s="1625" t="b">
        <f>AND(Q81,Mieter3=FALSE)</f>
        <v>0</v>
      </c>
      <c r="R82" s="1625" t="b">
        <f>AND(R81,Mieter4=FALSE)</f>
        <v>0</v>
      </c>
      <c r="S82" s="1624" t="b">
        <f>OR(O82,P82,Q82,R82)</f>
        <v>0</v>
      </c>
      <c r="U82" s="1848" t="s">
        <v>3355</v>
      </c>
      <c r="V82" s="1232">
        <f>IF(wohnen1,Standardwerte!AE65,0)</f>
        <v>0</v>
      </c>
      <c r="W82" s="1232">
        <f>IF(wohnen2,Standardwerte!AE66,0)</f>
        <v>0</v>
      </c>
      <c r="X82" s="1232">
        <f>IF(wohnen3,Standardwerte!AE67,0)</f>
        <v>0</v>
      </c>
      <c r="Y82" s="1232">
        <f>IF(wohnen4,Standardwerte!AE68,0)</f>
        <v>0</v>
      </c>
      <c r="Z82" s="1849"/>
      <c r="AA82" s="5" t="s">
        <v>525</v>
      </c>
    </row>
    <row r="83" spans="1:27" s="629" customFormat="1" ht="18" customHeight="1">
      <c r="A83" s="1702"/>
      <c r="F83" s="635"/>
      <c r="G83" s="635"/>
      <c r="H83" s="635"/>
      <c r="I83" s="635"/>
      <c r="L83" s="636"/>
      <c r="M83" s="636"/>
      <c r="N83" s="1618" t="s">
        <v>2784</v>
      </c>
      <c r="O83" s="1617" t="b">
        <f>AND(Kategorie1&gt;3,_neu1=FALSE)</f>
        <v>0</v>
      </c>
      <c r="P83" s="1617" t="b">
        <f>AND(Kategorie2&gt;3,_neu2=FALSE)</f>
        <v>0</v>
      </c>
      <c r="Q83" s="1617" t="b">
        <f>AND(Kategorie3&gt;3,_neu3=FALSE)</f>
        <v>0</v>
      </c>
      <c r="R83" s="1617" t="b">
        <f>AND(Kategorie4&gt;3,_neu4=FALSE)</f>
        <v>0</v>
      </c>
      <c r="S83" s="1618"/>
      <c r="U83" s="1438" t="s">
        <v>3356</v>
      </c>
      <c r="V83" s="1846">
        <f>IF(_EBF1&gt;0,IF(wohnen1,O26*(O25*800+O32*20)+O25*100,0)/_EBF1*2,0)</f>
        <v>0</v>
      </c>
      <c r="W83" s="1846">
        <f>IF(_EBF2&gt;0,IF(wohnen2,P26*(P25*800+P32*20)+P25*100,0)/_EBF2*2,0)</f>
        <v>0</v>
      </c>
      <c r="X83" s="1846">
        <f>IF(_EBF3&gt;0,IF(wohnen3,Q26*(Q25*800+Q32*20)+Q25*100,0)/_EBF3*2,0)</f>
        <v>0</v>
      </c>
      <c r="Y83" s="1846">
        <f>IF(_EBF4&gt;0,IF(wohnen4,R26*(R25*800+R32*20)+R25*100,0)/_EBF4*2,0)</f>
        <v>0</v>
      </c>
      <c r="Z83" s="1618"/>
      <c r="AA83" s="5" t="s">
        <v>525</v>
      </c>
    </row>
    <row r="84" spans="1:27" s="629" customFormat="1" ht="18" customHeight="1">
      <c r="A84" s="1702"/>
      <c r="F84" s="635"/>
      <c r="G84" s="635"/>
      <c r="H84" s="635"/>
      <c r="I84" s="635"/>
      <c r="L84" s="636"/>
      <c r="M84" s="636"/>
      <c r="N84" s="1618" t="s">
        <v>3376</v>
      </c>
      <c r="O84" s="1435">
        <f>IF(AND(_neu1=FALSE,Kategorie1&gt;3),Dati!F19,0)</f>
        <v>0</v>
      </c>
      <c r="P84" s="1435">
        <f>IF(AND(_neu2=FALSE,Kategorie2&gt;3),Dati!G19,0)</f>
        <v>0</v>
      </c>
      <c r="Q84" s="1435">
        <f>IF(AND(_neu3=FALSE,Kategorie3&gt;3),Dati!H19,0)</f>
        <v>0</v>
      </c>
      <c r="R84" s="1435">
        <f>IF(AND(_neu4=FALSE,Kategorie4&gt;3),Dati!I19,0)</f>
        <v>0</v>
      </c>
      <c r="S84" s="862">
        <f>SUM(O84:R84)</f>
        <v>0</v>
      </c>
      <c r="T84" s="629" t="s">
        <v>321</v>
      </c>
      <c r="U84" s="1576" t="s">
        <v>3492</v>
      </c>
      <c r="V84" s="1870">
        <f>IF(minergiea,INDEX(Standardwerte!$AI$71:$AI$83,Kategorie1,1),IF(minergiep,IF(_neu1,INDEX(Standardwerte!$Z$71:$Z$83,Kategorie1,1),INDEX(Standardwerte!$AA$71:$AA$83,Kategorie1,1)),IF(_neu1,INDEX(Standardwerte!$X$71:$X$83,Kategorie1,1),INDEX(Standardwerte!$Y$71:$Y$83,Kategorie1,1))))</f>
        <v>0</v>
      </c>
      <c r="W84" s="1870">
        <f>IF(minergiea,INDEX(Standardwerte!$AI$71:$AI$83,Kategorie2,1),IF(minergiep,IF(_neu2,INDEX(Standardwerte!$Z$71:$Z$83,Kategorie2,1),INDEX(Standardwerte!$AA$71:$AA$83,Kategorie2,1)),IF(_neu2,INDEX(Standardwerte!$X$71:$X$83,Kategorie2,1),INDEX(Standardwerte!$Y$71:$Y$83,Kategorie2,1))))</f>
        <v>0</v>
      </c>
      <c r="X84" s="1870">
        <f>IF(minergiea,INDEX(Standardwerte!$AI$71:$AI$83,Kategorie3,1),IF(minergiep,IF(_neu3,INDEX(Standardwerte!$Z$71:$Z$83,Kategorie3,1),INDEX(Standardwerte!$AA$71:$AA$83,Kategorie3,1)),IF(_neu3,INDEX(Standardwerte!$X$71:$X$83,Kategorie3,1),INDEX(Standardwerte!$Y$71:$Y$83,Kategorie3,1))))</f>
        <v>0</v>
      </c>
      <c r="Y84" s="1870">
        <f>IF(minergiea,INDEX(Standardwerte!$AI$71:$AI$83,Kategorie4,1),IF(minergiep,IF(_neu4,INDEX(Standardwerte!$Z$71:$Z$83,Kategorie4,1),INDEX(Standardwerte!$AA$71:$AA$83,Kategorie4,1)),IF(_neu4,INDEX(Standardwerte!$X$71:$X$83,Kategorie4,1),INDEX(Standardwerte!$Y$71:$Y$83,Kategorie4,1))))</f>
        <v>0</v>
      </c>
      <c r="Z84" s="1618"/>
      <c r="AA84" s="5" t="s">
        <v>3483</v>
      </c>
    </row>
    <row r="85" spans="1:27" s="629" customFormat="1" ht="18" customHeight="1">
      <c r="A85" s="1702"/>
      <c r="F85" s="635"/>
      <c r="G85" s="635"/>
      <c r="H85" s="635"/>
      <c r="I85" s="635"/>
      <c r="L85" s="636"/>
      <c r="M85" s="636"/>
      <c r="N85" s="1618" t="s">
        <v>3377</v>
      </c>
      <c r="O85" s="629" t="b">
        <f>AND($S$84&gt;250,O83)</f>
        <v>0</v>
      </c>
      <c r="P85" s="629" t="b">
        <f>AND($S$84&gt;250,P83)</f>
        <v>0</v>
      </c>
      <c r="Q85" s="629" t="b">
        <f>AND($S$84&gt;250,Q83)</f>
        <v>0</v>
      </c>
      <c r="R85" s="629" t="b">
        <f>AND($S$84&gt;250,R83)</f>
        <v>0</v>
      </c>
      <c r="S85" s="1618" t="b">
        <f>OR(O85,P85,Q85,R85)</f>
        <v>0</v>
      </c>
      <c r="U85" s="1576" t="s">
        <v>3493</v>
      </c>
      <c r="V85" s="1846">
        <f>IF(_EBF1&gt;0,IF(wohnen1,O26*(800/70+16)+100/70,0)*2+V82,0)</f>
        <v>0</v>
      </c>
      <c r="W85" s="1846">
        <f>IF(_EBF2&gt;0,IF(wohnen2,P26*(800/70+16)+100/70,0)*2+W82,0)</f>
        <v>0</v>
      </c>
      <c r="X85" s="1846">
        <f>IF(_EBF3&gt;0,IF(wohnen3,Q26*(800/70+16)+100/70,0)*2+X82,0)</f>
        <v>0</v>
      </c>
      <c r="Y85" s="1846">
        <f>IF(_EBF4&gt;0,IF(wohnen4,R26*(800/70+16)+100/70,0)*2+Y82,0)</f>
        <v>0</v>
      </c>
      <c r="Z85" s="1618"/>
      <c r="AA85" s="1418"/>
    </row>
    <row r="86" spans="1:27" s="629" customFormat="1" ht="18" customHeight="1">
      <c r="A86" s="1702"/>
      <c r="F86" s="635"/>
      <c r="G86" s="635"/>
      <c r="H86" s="635"/>
      <c r="I86" s="635"/>
      <c r="L86" s="636"/>
      <c r="M86" s="636"/>
      <c r="N86" s="1624" t="s">
        <v>2786</v>
      </c>
      <c r="O86" s="1625" t="b">
        <f>AND(O83=TRUE,F44=$N$12)</f>
        <v>0</v>
      </c>
      <c r="P86" s="1625" t="b">
        <f>AND(P83=TRUE,G44=$N$12)</f>
        <v>0</v>
      </c>
      <c r="Q86" s="1625" t="b">
        <f>AND(Q83=TRUE,H44=$N$12)</f>
        <v>0</v>
      </c>
      <c r="R86" s="1625" t="b">
        <f>AND(R83=TRUE,I44=$N$12)</f>
        <v>0</v>
      </c>
      <c r="S86" s="1624" t="b">
        <f>OR(O86,P86,Q86,R86)</f>
        <v>0</v>
      </c>
      <c r="T86" s="1418" t="s">
        <v>2792</v>
      </c>
      <c r="U86" s="1266" t="s">
        <v>3357</v>
      </c>
      <c r="V86" s="1863">
        <f>IF(V80&lt;70,V85,IF(V80&gt;125,V84,MAX(V84,V83+V82)))</f>
        <v>0</v>
      </c>
      <c r="W86" s="1863">
        <f t="shared" ref="W86:Y86" si="8">IF(W80&lt;70,W85,IF(W80&gt;125,W84,MAX(W84,W83+W82)))</f>
        <v>0</v>
      </c>
      <c r="X86" s="1863">
        <f t="shared" si="8"/>
        <v>0</v>
      </c>
      <c r="Y86" s="1863">
        <f t="shared" si="8"/>
        <v>0</v>
      </c>
      <c r="Z86" s="1864"/>
      <c r="AA86" s="5" t="s">
        <v>525</v>
      </c>
    </row>
    <row r="87" spans="1:27" s="629" customFormat="1" ht="18" customHeight="1">
      <c r="A87" s="1702"/>
      <c r="F87" s="635"/>
      <c r="G87" s="635"/>
      <c r="H87" s="635"/>
      <c r="I87" s="635"/>
      <c r="L87" s="636"/>
      <c r="M87" s="636"/>
      <c r="N87" s="1618" t="s">
        <v>3379</v>
      </c>
      <c r="O87" s="629" t="b">
        <f>AND(O86,O97)</f>
        <v>0</v>
      </c>
      <c r="P87" s="629" t="b">
        <f t="shared" ref="P87:R87" si="9">AND(P86,P97)</f>
        <v>0</v>
      </c>
      <c r="Q87" s="629" t="b">
        <f t="shared" si="9"/>
        <v>0</v>
      </c>
      <c r="R87" s="629" t="b">
        <f t="shared" si="9"/>
        <v>0</v>
      </c>
      <c r="S87" s="1618"/>
    </row>
    <row r="88" spans="1:27" s="629" customFormat="1" ht="18" customHeight="1">
      <c r="A88" s="1702"/>
      <c r="F88" s="635"/>
      <c r="G88" s="635"/>
      <c r="H88" s="635"/>
      <c r="I88" s="635"/>
      <c r="L88" s="636"/>
      <c r="M88" s="636"/>
      <c r="N88" s="1618" t="s">
        <v>3378</v>
      </c>
      <c r="O88" s="629" t="b">
        <f>OR(O82,O86)</f>
        <v>0</v>
      </c>
      <c r="P88" s="629" t="b">
        <f>OR(P82,P86)</f>
        <v>0</v>
      </c>
      <c r="Q88" s="629" t="b">
        <f>OR(Q82,Q86)</f>
        <v>0</v>
      </c>
      <c r="R88" s="629" t="b">
        <f>OR(R82,R86)</f>
        <v>0</v>
      </c>
      <c r="S88" s="1618" t="b">
        <f>OR(O88,P88,Q88,R88)</f>
        <v>0</v>
      </c>
    </row>
    <row r="89" spans="1:27" s="629" customFormat="1" ht="18" customHeight="1">
      <c r="A89" s="1702"/>
      <c r="F89" s="635"/>
      <c r="G89" s="635"/>
      <c r="H89" s="635"/>
      <c r="I89" s="635"/>
      <c r="L89" s="636"/>
      <c r="M89" s="636"/>
      <c r="N89" s="1618" t="s">
        <v>2782</v>
      </c>
      <c r="O89" s="1617" t="b">
        <f>AND(O78,O82=FALSE,O86=FALSE,O53=TRUE)</f>
        <v>0</v>
      </c>
      <c r="P89" s="1617" t="b">
        <f t="shared" ref="P89:R89" si="10">AND(P78,P82=FALSE,P86=FALSE,P53=TRUE)</f>
        <v>0</v>
      </c>
      <c r="Q89" s="1617" t="b">
        <f t="shared" si="10"/>
        <v>0</v>
      </c>
      <c r="R89" s="1617" t="b">
        <f t="shared" si="10"/>
        <v>0</v>
      </c>
      <c r="S89" s="1618"/>
    </row>
    <row r="90" spans="1:27" s="629" customFormat="1" ht="18" customHeight="1">
      <c r="A90" s="1702"/>
      <c r="L90" s="636"/>
      <c r="M90" s="636"/>
      <c r="N90" s="1624" t="s">
        <v>2783</v>
      </c>
      <c r="O90" s="1625" t="b">
        <f>AND(O89,F48&gt;0,F49&gt;0)</f>
        <v>0</v>
      </c>
      <c r="P90" s="1625" t="b">
        <f>AND(P89,G48&gt;0,G49&gt;0)</f>
        <v>0</v>
      </c>
      <c r="Q90" s="1625" t="b">
        <f>AND(Q89,H48&gt;0,H49&gt;0)</f>
        <v>0</v>
      </c>
      <c r="R90" s="1625" t="b">
        <f>AND(R89,I48&gt;0,I49&gt;0)</f>
        <v>0</v>
      </c>
      <c r="S90" s="1624" t="b">
        <f>OR(O90,P90,Q90,R90)</f>
        <v>0</v>
      </c>
      <c r="T90" s="1418" t="s">
        <v>2793</v>
      </c>
    </row>
    <row r="91" spans="1:27" s="629" customFormat="1" ht="18" customHeight="1">
      <c r="A91" s="1702"/>
      <c r="L91" s="636"/>
      <c r="M91" s="636"/>
      <c r="N91" s="1618" t="s">
        <v>2787</v>
      </c>
      <c r="O91" s="1435">
        <f>IF(OR(O82,O86,O90),Dati!F19,0)</f>
        <v>0</v>
      </c>
      <c r="P91" s="1435">
        <f>IF(OR(P82,P86,P90),Dati!G19,0)</f>
        <v>0</v>
      </c>
      <c r="Q91" s="1435">
        <f>IF(OR(Q82,Q86,Q90),Dati!H19,0)</f>
        <v>0</v>
      </c>
      <c r="R91" s="1435">
        <f>IF(OR(R82,R86,R90),Dati!I19,0)</f>
        <v>0</v>
      </c>
      <c r="S91" s="862">
        <f>SUM(O91:R91)</f>
        <v>0</v>
      </c>
      <c r="T91" s="629" t="s">
        <v>321</v>
      </c>
    </row>
    <row r="92" spans="1:27" s="629" customFormat="1" ht="18" customHeight="1">
      <c r="A92" s="1702"/>
      <c r="L92" s="636"/>
      <c r="M92" s="636"/>
      <c r="N92" s="1438" t="s">
        <v>2796</v>
      </c>
      <c r="O92" s="1435">
        <f>IF(O91&gt;0,F48,0)</f>
        <v>0</v>
      </c>
      <c r="P92" s="1435">
        <f>IF(P91&gt;0,G48,0)</f>
        <v>0</v>
      </c>
      <c r="Q92" s="1435">
        <f>IF(Q91&gt;0,H48,0)</f>
        <v>0</v>
      </c>
      <c r="R92" s="1435">
        <f>IF(R91&gt;0,I48,0)</f>
        <v>0</v>
      </c>
      <c r="S92" s="862">
        <f>IF(S91&gt;0,(O91*O92+P91*P92+Q91*Q92+R91*R92)/S91,0)</f>
        <v>0</v>
      </c>
      <c r="T92" s="629" t="s">
        <v>525</v>
      </c>
    </row>
    <row r="93" spans="1:27" s="629" customFormat="1" ht="18" customHeight="1">
      <c r="A93" s="1702"/>
      <c r="L93" s="636"/>
      <c r="M93" s="636"/>
      <c r="N93" s="1628" t="s">
        <v>2797</v>
      </c>
      <c r="O93" s="1614">
        <f>IF(O91&gt;0,F49,0)</f>
        <v>0</v>
      </c>
      <c r="P93" s="1614">
        <f>IF(P91&gt;0,G49,0)</f>
        <v>0</v>
      </c>
      <c r="Q93" s="1614">
        <f>IF(Q91&gt;0,H49,0)</f>
        <v>0</v>
      </c>
      <c r="R93" s="1614">
        <f>IF(R91&gt;0,I49,0)</f>
        <v>0</v>
      </c>
      <c r="S93" s="863">
        <f>IF(S91&gt;0,(O91*O93+P91*P93+Q91*Q93+R91*R93)/S91,0)</f>
        <v>0</v>
      </c>
      <c r="T93" s="629" t="s">
        <v>525</v>
      </c>
    </row>
    <row r="94" spans="1:27" s="629" customFormat="1" ht="18" customHeight="1">
      <c r="A94" s="1702"/>
      <c r="F94" s="635"/>
      <c r="G94" s="635"/>
      <c r="H94" s="635"/>
      <c r="I94" s="635"/>
      <c r="L94" s="636"/>
      <c r="M94" s="636"/>
      <c r="N94" s="1266" t="s">
        <v>1896</v>
      </c>
      <c r="O94" s="1315">
        <f>IF(Kategorie1&lt;&gt;13,IF(OR(O82,O86,O90),O93*2,0),0)</f>
        <v>0</v>
      </c>
      <c r="P94" s="1315">
        <f>IF(Kategorie2&lt;&gt;13,IF(OR(P82,P86,P90),P93*2,0),0)</f>
        <v>0</v>
      </c>
      <c r="Q94" s="1315">
        <f>IF(Kategorie3&lt;&gt;13,IF(OR(Q82,Q86,Q90),Q93*2,0),0)</f>
        <v>0</v>
      </c>
      <c r="R94" s="1315">
        <f>IF(Kategorie4&lt;&gt;13,IF(OR(R82,R86,R90),R93*2,0),0)</f>
        <v>0</v>
      </c>
      <c r="S94" s="1267">
        <f>IF(SUM(O94:R94)&gt;0,IF(EBF&gt;0,(IF(Kategorie1&lt;&gt;13,O91*O93,0)+IF(Kategorie2&lt;&gt;13,P91*P93,0)+IF(Kategorie3&lt;&gt;13,Q91*Q93,0)+IF(Kategorie4&lt;&gt;13,R91*R93,0))*2/(IF(Kategorie1&lt;&gt;13,_EBF1,0)+IF(Kategorie2&lt;&gt;13,_EBF2,0)+IF(Kategorie3&lt;&gt;13,_EBF3,0)+IF(Kategorie4&lt;&gt;13,_EBF4,0)),0),0)</f>
        <v>0</v>
      </c>
      <c r="T94" s="5" t="s">
        <v>525</v>
      </c>
    </row>
    <row r="95" spans="1:27" s="629" customFormat="1" ht="18" customHeight="1">
      <c r="A95" s="1702"/>
      <c r="F95" s="635"/>
      <c r="G95" s="635"/>
      <c r="H95" s="635"/>
      <c r="I95" s="635"/>
      <c r="L95" s="636"/>
      <c r="M95" s="636"/>
      <c r="N95" s="1848" t="s">
        <v>2795</v>
      </c>
      <c r="O95" s="902">
        <f>INDEX(Standardwerte!$AD$71:$AD$83,Kategorie1,1)/2</f>
        <v>0</v>
      </c>
      <c r="P95" s="902">
        <f>INDEX(Standardwerte!$AD$71:$AD$83,Kategorie2,1)/2</f>
        <v>0</v>
      </c>
      <c r="Q95" s="902">
        <f>INDEX(Standardwerte!$AD$71:$AD$83,Kategorie3,1)/2</f>
        <v>0</v>
      </c>
      <c r="R95" s="902">
        <f>INDEX(Standardwerte!$AD$71:$AD$83,Kategorie4,1)/2</f>
        <v>0</v>
      </c>
      <c r="S95" s="1849"/>
      <c r="T95" s="5" t="s">
        <v>525</v>
      </c>
    </row>
    <row r="96" spans="1:27" s="629" customFormat="1" ht="18" customHeight="1">
      <c r="A96" s="1702"/>
      <c r="F96" s="635"/>
      <c r="G96" s="635"/>
      <c r="H96" s="635"/>
      <c r="I96" s="635"/>
      <c r="L96" s="636"/>
      <c r="M96" s="636"/>
      <c r="N96" s="1618"/>
      <c r="S96" s="1618"/>
    </row>
    <row r="97" spans="1:20" s="629" customFormat="1" ht="18" customHeight="1">
      <c r="A97" s="1702"/>
      <c r="F97" s="635"/>
      <c r="G97" s="635"/>
      <c r="H97" s="635"/>
      <c r="I97" s="635"/>
      <c r="L97" s="636"/>
      <c r="M97" s="636"/>
      <c r="N97" s="1850" t="s">
        <v>3380</v>
      </c>
      <c r="O97" s="1625" t="b">
        <f>IF(Mieter1,FALSE,AND(O78,O82=FALSE,O86=FALSE,O90=FALSE))</f>
        <v>0</v>
      </c>
      <c r="P97" s="1625" t="b">
        <f>IF(Mieter2,FALSE,AND(P78,P82=FALSE,P86=FALSE,P90=FALSE))</f>
        <v>0</v>
      </c>
      <c r="Q97" s="1625" t="b">
        <f>IF(Mieter3,FALSE,AND(Q78,Q82=FALSE,Q86=FALSE,Q90=FALSE))</f>
        <v>0</v>
      </c>
      <c r="R97" s="1625" t="b">
        <f>IF(Mieter4,FALSE,AND(R78,R82=FALSE,R86=FALSE,R90=FALSE))</f>
        <v>0</v>
      </c>
      <c r="S97" s="1624"/>
      <c r="T97" s="1418" t="s">
        <v>2794</v>
      </c>
    </row>
    <row r="98" spans="1:20" s="629" customFormat="1" ht="18" customHeight="1">
      <c r="A98" s="1702"/>
      <c r="F98" s="635"/>
      <c r="G98" s="635"/>
      <c r="H98" s="635"/>
      <c r="I98" s="635"/>
      <c r="L98" s="636"/>
      <c r="M98" s="636"/>
      <c r="N98" s="1618" t="s">
        <v>2788</v>
      </c>
      <c r="O98" s="1435">
        <f>IF(OR(O97,AND(O51=FALSE,O56=0)),Dati!F19,0)</f>
        <v>0</v>
      </c>
      <c r="P98" s="1435">
        <f>IF(OR(P97,AND(P51=FALSE,P56=0)),Dati!G19,0)</f>
        <v>0</v>
      </c>
      <c r="Q98" s="1435">
        <f>IF(OR(Q97,AND(Q51=FALSE,Q56=0)),Dati!H19,0)</f>
        <v>0</v>
      </c>
      <c r="R98" s="1435">
        <f>IF(OR(R97,AND(R51=FALSE,R56=0)),Dati!I19,0)</f>
        <v>0</v>
      </c>
      <c r="S98" s="862">
        <f>SUM(O98:R98)</f>
        <v>0</v>
      </c>
    </row>
    <row r="99" spans="1:20" s="629" customFormat="1" ht="18" customHeight="1">
      <c r="A99" s="1702"/>
      <c r="F99" s="635"/>
      <c r="G99" s="635"/>
      <c r="H99" s="635"/>
      <c r="I99" s="635"/>
      <c r="L99" s="636"/>
      <c r="M99" s="636"/>
      <c r="N99" s="1260" t="s">
        <v>1897</v>
      </c>
      <c r="O99" s="1243">
        <f>IF(O97,IF(F46=$N$12,0.8,1)*IF(F47=$N$12,0.8,1),1)</f>
        <v>1</v>
      </c>
      <c r="P99" s="1243">
        <f>IF(P97,IF(G46=$N$12,0.8,1)*IF(G47=$N$12,0.8,1),1)</f>
        <v>1</v>
      </c>
      <c r="Q99" s="1243">
        <f>IF(Q97,IF(H46=$N$12,0.8,1)*IF(H47=$N$12,0.8,1),1)</f>
        <v>1</v>
      </c>
      <c r="R99" s="1243">
        <f>IF(R97,IF(I46=$N$12,0.8,1)*IF(I47=$N$12,0.8,1),1)</f>
        <v>1</v>
      </c>
      <c r="S99" s="1260"/>
    </row>
    <row r="100" spans="1:20" s="629" customFormat="1" ht="18" customHeight="1">
      <c r="A100" s="1702"/>
      <c r="F100" s="635"/>
      <c r="G100" s="635"/>
      <c r="H100" s="635"/>
      <c r="I100" s="635"/>
      <c r="L100" s="636"/>
      <c r="M100" s="636"/>
      <c r="N100" s="1262" t="s">
        <v>1898</v>
      </c>
      <c r="O100" s="1272">
        <f>IF(O97,O99*O95,0)*2</f>
        <v>0</v>
      </c>
      <c r="P100" s="1273">
        <f>IF(P97,P99*P95,0)*2</f>
        <v>0</v>
      </c>
      <c r="Q100" s="1273">
        <f>IF(Q97,Q99*Q95,0)*2</f>
        <v>0</v>
      </c>
      <c r="R100" s="1235">
        <f>IF(R97,R99*R95,0)*2</f>
        <v>0</v>
      </c>
      <c r="S100" s="1265">
        <f>IF(EBF&gt;0,(IF(O97,O95*O98*O99,0)+IF(P97,P95*P98*P99,0)+IF(Q97,Q95*Q98*Q99,0)+IF(R97,R95*R98*R99,0))*2/(_EBF1+_EBF2+_EBF3+_EBF4),0)</f>
        <v>0</v>
      </c>
      <c r="T100" s="5" t="s">
        <v>525</v>
      </c>
    </row>
    <row r="101" spans="1:20" s="629" customFormat="1" ht="18" customHeight="1">
      <c r="A101" s="1702"/>
      <c r="F101" s="635"/>
      <c r="G101" s="635"/>
      <c r="H101" s="635"/>
      <c r="I101" s="635"/>
      <c r="L101" s="636"/>
      <c r="M101" s="636"/>
      <c r="N101" s="1636" t="s">
        <v>2803</v>
      </c>
    </row>
    <row r="102" spans="1:20" s="629" customFormat="1" ht="18" customHeight="1">
      <c r="A102" s="1702"/>
      <c r="F102" s="635"/>
      <c r="G102" s="635"/>
      <c r="H102" s="635"/>
      <c r="I102" s="635"/>
      <c r="L102" s="636"/>
      <c r="M102" s="636"/>
      <c r="N102" s="1231" t="s">
        <v>1858</v>
      </c>
      <c r="O102" s="762">
        <v>1</v>
      </c>
      <c r="P102" s="826">
        <v>2</v>
      </c>
      <c r="Q102" s="826">
        <v>3</v>
      </c>
      <c r="R102" s="1222">
        <v>4</v>
      </c>
      <c r="S102" s="1611" t="s">
        <v>2781</v>
      </c>
    </row>
    <row r="103" spans="1:20" s="629" customFormat="1" ht="18" customHeight="1">
      <c r="A103" s="1702"/>
      <c r="F103" s="635"/>
      <c r="G103" s="635"/>
      <c r="H103" s="635"/>
      <c r="I103" s="635"/>
      <c r="L103" s="636"/>
      <c r="M103" s="636"/>
      <c r="N103" s="1585" t="s">
        <v>2804</v>
      </c>
      <c r="O103" s="1637">
        <f>IF(Kategorie1&lt;&gt;13,Verifica!G34*Verifica!$N$52,0)</f>
        <v>0</v>
      </c>
      <c r="P103" s="1640">
        <f>IF(Kategorie2&lt;&gt;13,Verifica!H34*Verifica!$N$52,0)</f>
        <v>0</v>
      </c>
      <c r="Q103" s="1640">
        <f>IF(Kategorie3&lt;&gt;13,Verifica!I34*Verifica!$N$52,)</f>
        <v>0</v>
      </c>
      <c r="R103" s="1640">
        <f>IF(Kategorie4&lt;&gt;13,Verifica!J34*Verifica!$N$52,0)</f>
        <v>0</v>
      </c>
      <c r="S103" s="1641">
        <f>IF(EBF=0,0,(O103*_EBF1+P103*_EBF2+Q103*_EBF3+R103*_EBF4)/(_EBF1+_EBF2+_EBF3+_EBF4))</f>
        <v>0</v>
      </c>
    </row>
    <row r="104" spans="1:20" s="629" customFormat="1" ht="18" customHeight="1">
      <c r="A104" s="1702"/>
      <c r="F104" s="635"/>
      <c r="G104" s="635"/>
      <c r="H104" s="635"/>
      <c r="I104" s="635"/>
      <c r="L104" s="636"/>
      <c r="M104" s="636"/>
      <c r="N104" s="1576" t="s">
        <v>2805</v>
      </c>
      <c r="O104" s="894">
        <f>IF(Kategorie1&lt;&gt;13,(Verifica!G39+Verifica!G40)*2,0)</f>
        <v>0</v>
      </c>
      <c r="P104" s="900">
        <f>IF(Kategorie2&lt;&gt;13,(Verifica!H39+Verifica!H40)*2,0)</f>
        <v>0</v>
      </c>
      <c r="Q104" s="900">
        <f>IF(Kategorie3&lt;&gt;13,(Verifica!I39+Verifica!I40)*2,0)</f>
        <v>0</v>
      </c>
      <c r="R104" s="900">
        <f>IF(Kategorie4&lt;&gt;13,(Verifica!J39+Verifica!J40)*2,0)</f>
        <v>0</v>
      </c>
      <c r="S104" s="1642">
        <f>IF(EBF=0,0,(O104*_EBF1+P104*_EBF2+Q104*_EBF3+R104*_EBF4)/(_EBF1+_EBF2+_EBF3+_EBF4))</f>
        <v>0</v>
      </c>
    </row>
    <row r="105" spans="1:20" s="629" customFormat="1" ht="18" customHeight="1">
      <c r="A105" s="1702"/>
      <c r="F105" s="635"/>
      <c r="G105" s="635"/>
      <c r="H105" s="635"/>
      <c r="I105" s="635"/>
      <c r="L105" s="636"/>
      <c r="M105" s="636"/>
      <c r="N105" s="1586" t="s">
        <v>1857</v>
      </c>
      <c r="O105" s="1638">
        <f>O103+O104</f>
        <v>0</v>
      </c>
      <c r="P105" s="1639">
        <f t="shared" ref="P105:R105" si="11">P103+P104</f>
        <v>0</v>
      </c>
      <c r="Q105" s="1639">
        <f t="shared" si="11"/>
        <v>0</v>
      </c>
      <c r="R105" s="1639">
        <f t="shared" si="11"/>
        <v>0</v>
      </c>
      <c r="S105" s="1643">
        <f>IF(EBF=0,0,(O105*_EBF1+P105*_EBF2+Q105*_EBF3+R105*_EBF4)/(_EBF1+_EBF2+_EBF3+_EBF4))</f>
        <v>0</v>
      </c>
    </row>
    <row r="106" spans="1:20" s="629" customFormat="1" ht="18" customHeight="1">
      <c r="A106" s="1702"/>
      <c r="F106" s="635"/>
      <c r="G106" s="635"/>
      <c r="H106" s="635"/>
      <c r="I106" s="635"/>
      <c r="L106" s="636"/>
      <c r="M106" s="636"/>
      <c r="N106" s="1782" t="s">
        <v>3254</v>
      </c>
      <c r="O106" s="1783">
        <f>IF(Kategorie1&lt;&gt;13,(Verifica!G39)*2,0)</f>
        <v>0</v>
      </c>
      <c r="P106" s="1784">
        <f>IF(Kategorie2&lt;&gt;13,(Verifica!H39)*2,0)</f>
        <v>0</v>
      </c>
      <c r="Q106" s="1784">
        <f>IF(Kategorie3&lt;&gt;13,(Verifica!I39)*2,0)</f>
        <v>0</v>
      </c>
      <c r="R106" s="1784">
        <f>IF(Kategorie4&lt;&gt;13,(Verifica!J39)*2,0)</f>
        <v>0</v>
      </c>
      <c r="S106" s="1631">
        <f>IF(EBF=0,0,(O106*_EBF1+P106*_EBF2+Q106*_EBF3+R106*_EBF4)/(_EBF1+_EBF2+_EBF3+_EBF4))</f>
        <v>0</v>
      </c>
    </row>
    <row r="107" spans="1:20" s="629" customFormat="1" ht="18" customHeight="1">
      <c r="A107" s="1702"/>
      <c r="F107" s="635"/>
      <c r="G107" s="635"/>
      <c r="H107" s="635"/>
      <c r="I107" s="635"/>
      <c r="L107" s="636"/>
      <c r="M107" s="636"/>
    </row>
    <row r="108" spans="1:20" s="629" customFormat="1" ht="18" customHeight="1">
      <c r="A108" s="1702"/>
      <c r="F108" s="635"/>
      <c r="G108" s="635"/>
      <c r="H108" s="635"/>
      <c r="I108" s="635"/>
      <c r="L108" s="636"/>
      <c r="M108" s="636"/>
    </row>
    <row r="109" spans="1:20" s="629" customFormat="1" ht="18" customHeight="1">
      <c r="A109" s="1702"/>
      <c r="F109" s="635"/>
      <c r="G109" s="635"/>
      <c r="H109" s="635"/>
      <c r="I109" s="635"/>
      <c r="L109" s="636"/>
      <c r="M109" s="636"/>
    </row>
    <row r="110" spans="1:20" s="629" customFormat="1" ht="18" customHeight="1">
      <c r="A110" s="1702"/>
      <c r="F110" s="635"/>
      <c r="G110" s="635"/>
      <c r="H110" s="635"/>
      <c r="I110" s="635"/>
      <c r="L110" s="636"/>
      <c r="M110" s="636"/>
    </row>
    <row r="111" spans="1:20" s="629" customFormat="1" ht="18" customHeight="1">
      <c r="A111" s="1702"/>
      <c r="F111" s="635"/>
      <c r="G111" s="635"/>
      <c r="H111" s="635"/>
      <c r="I111" s="635"/>
      <c r="L111" s="636"/>
      <c r="M111" s="636"/>
    </row>
    <row r="112" spans="1:20" s="629" customFormat="1" ht="18" customHeight="1">
      <c r="A112" s="1702"/>
      <c r="F112" s="635"/>
      <c r="G112" s="635"/>
      <c r="H112" s="635"/>
      <c r="I112" s="635"/>
      <c r="L112" s="636"/>
      <c r="M112" s="636"/>
    </row>
    <row r="113" spans="1:13" s="629" customFormat="1" ht="18" customHeight="1">
      <c r="A113" s="1702"/>
      <c r="F113" s="635"/>
      <c r="G113" s="635"/>
      <c r="H113" s="635"/>
      <c r="I113" s="635"/>
      <c r="L113" s="636"/>
      <c r="M113" s="636"/>
    </row>
    <row r="114" spans="1:13" s="629" customFormat="1" ht="18" customHeight="1">
      <c r="A114" s="1702"/>
      <c r="F114" s="635"/>
      <c r="G114" s="635"/>
      <c r="H114" s="635"/>
      <c r="I114" s="635"/>
      <c r="L114" s="636"/>
      <c r="M114" s="636"/>
    </row>
    <row r="115" spans="1:13" s="629" customFormat="1" ht="18" customHeight="1">
      <c r="A115" s="1702"/>
      <c r="F115" s="635"/>
      <c r="G115" s="635"/>
      <c r="H115" s="635"/>
      <c r="I115" s="635"/>
      <c r="L115" s="636"/>
      <c r="M115" s="636"/>
    </row>
    <row r="116" spans="1:13" s="629" customFormat="1" ht="18" customHeight="1">
      <c r="A116" s="1702"/>
      <c r="F116" s="635"/>
      <c r="G116" s="635"/>
      <c r="H116" s="635"/>
      <c r="I116" s="635"/>
      <c r="L116" s="636"/>
      <c r="M116" s="636"/>
    </row>
    <row r="117" spans="1:13" s="629" customFormat="1" ht="18" customHeight="1">
      <c r="A117" s="1702"/>
      <c r="F117" s="635"/>
      <c r="G117" s="635"/>
      <c r="H117" s="635"/>
      <c r="I117" s="635"/>
      <c r="L117" s="636"/>
      <c r="M117" s="636"/>
    </row>
    <row r="118" spans="1:13" s="629" customFormat="1" ht="18" customHeight="1">
      <c r="A118" s="1702"/>
      <c r="F118" s="635"/>
      <c r="G118" s="635"/>
      <c r="H118" s="635"/>
      <c r="I118" s="635"/>
      <c r="L118" s="636"/>
      <c r="M118" s="636"/>
    </row>
    <row r="119" spans="1:13" s="629" customFormat="1" ht="18" customHeight="1">
      <c r="A119" s="1702"/>
      <c r="F119" s="635"/>
      <c r="G119" s="635"/>
      <c r="H119" s="635"/>
      <c r="I119" s="635"/>
      <c r="L119" s="636"/>
      <c r="M119" s="636"/>
    </row>
    <row r="120" spans="1:13" s="629" customFormat="1" ht="18" customHeight="1">
      <c r="A120" s="1702"/>
      <c r="F120" s="635"/>
      <c r="G120" s="635"/>
      <c r="H120" s="635"/>
      <c r="I120" s="635"/>
      <c r="L120" s="636"/>
      <c r="M120" s="636"/>
    </row>
    <row r="121" spans="1:13" s="629" customFormat="1" ht="18" customHeight="1">
      <c r="A121" s="1702"/>
      <c r="F121" s="635"/>
      <c r="G121" s="635"/>
      <c r="H121" s="635"/>
      <c r="I121" s="635"/>
      <c r="L121" s="636"/>
      <c r="M121" s="636"/>
    </row>
    <row r="122" spans="1:13" s="629" customFormat="1" ht="18" customHeight="1">
      <c r="A122" s="1702"/>
      <c r="F122" s="635"/>
      <c r="G122" s="635"/>
      <c r="H122" s="635"/>
      <c r="I122" s="635"/>
      <c r="L122" s="636"/>
      <c r="M122" s="636"/>
    </row>
    <row r="123" spans="1:13" s="629" customFormat="1" ht="18" customHeight="1">
      <c r="A123" s="1702"/>
      <c r="F123" s="635"/>
      <c r="G123" s="635"/>
      <c r="H123" s="635"/>
      <c r="I123" s="635"/>
      <c r="L123" s="636"/>
      <c r="M123" s="636"/>
    </row>
    <row r="124" spans="1:13" s="629" customFormat="1" ht="18" customHeight="1">
      <c r="A124" s="1702"/>
      <c r="F124" s="635"/>
      <c r="G124" s="635"/>
      <c r="H124" s="635"/>
      <c r="I124" s="635"/>
      <c r="L124" s="636"/>
      <c r="M124" s="636"/>
    </row>
    <row r="125" spans="1:13" s="629" customFormat="1" ht="18" customHeight="1">
      <c r="A125" s="1702"/>
      <c r="F125" s="635"/>
      <c r="G125" s="635"/>
      <c r="H125" s="635"/>
      <c r="I125" s="635"/>
      <c r="L125" s="636"/>
      <c r="M125" s="636"/>
    </row>
    <row r="126" spans="1:13" s="629" customFormat="1" ht="18" customHeight="1">
      <c r="A126" s="1702"/>
      <c r="F126" s="635"/>
      <c r="G126" s="635"/>
      <c r="H126" s="635"/>
      <c r="I126" s="635"/>
      <c r="L126" s="636"/>
      <c r="M126" s="636"/>
    </row>
    <row r="127" spans="1:13" s="629" customFormat="1" ht="18" customHeight="1">
      <c r="A127" s="1702"/>
      <c r="F127" s="635"/>
      <c r="G127" s="635"/>
      <c r="H127" s="635"/>
      <c r="I127" s="635"/>
      <c r="L127" s="636"/>
      <c r="M127" s="636"/>
    </row>
    <row r="128" spans="1:13" s="629" customFormat="1" ht="18" customHeight="1">
      <c r="A128" s="1702"/>
      <c r="F128" s="635"/>
      <c r="G128" s="635"/>
      <c r="H128" s="635"/>
      <c r="I128" s="635"/>
      <c r="L128" s="636"/>
      <c r="M128" s="636"/>
    </row>
    <row r="129" spans="1:13" s="629" customFormat="1" ht="18" customHeight="1">
      <c r="A129" s="1702"/>
      <c r="F129" s="635"/>
      <c r="G129" s="635"/>
      <c r="H129" s="635"/>
      <c r="I129" s="635"/>
      <c r="L129" s="636"/>
      <c r="M129" s="636"/>
    </row>
    <row r="130" spans="1:13" s="629" customFormat="1" ht="18" customHeight="1">
      <c r="A130" s="1702"/>
      <c r="F130" s="635"/>
      <c r="G130" s="635"/>
      <c r="H130" s="635"/>
      <c r="I130" s="635"/>
      <c r="L130" s="636"/>
      <c r="M130" s="636"/>
    </row>
    <row r="131" spans="1:13" s="629" customFormat="1" ht="18" customHeight="1">
      <c r="A131" s="1702"/>
      <c r="F131" s="635"/>
      <c r="G131" s="635"/>
      <c r="H131" s="635"/>
      <c r="I131" s="635"/>
      <c r="L131" s="636"/>
      <c r="M131" s="636"/>
    </row>
    <row r="132" spans="1:13" s="629" customFormat="1" ht="18" customHeight="1">
      <c r="A132" s="1702"/>
      <c r="F132" s="635"/>
      <c r="G132" s="635"/>
      <c r="H132" s="635"/>
      <c r="I132" s="635"/>
      <c r="L132" s="636"/>
      <c r="M132" s="636"/>
    </row>
    <row r="133" spans="1:13" s="629" customFormat="1" ht="18" customHeight="1">
      <c r="A133" s="1702"/>
      <c r="F133" s="635"/>
      <c r="G133" s="635"/>
      <c r="H133" s="635"/>
      <c r="I133" s="635"/>
      <c r="L133" s="636"/>
      <c r="M133" s="636"/>
    </row>
    <row r="134" spans="1:13" s="629" customFormat="1" ht="18" customHeight="1">
      <c r="A134" s="1702"/>
      <c r="F134" s="635"/>
      <c r="G134" s="635"/>
      <c r="H134" s="635"/>
      <c r="I134" s="635"/>
      <c r="L134" s="636"/>
      <c r="M134" s="636"/>
    </row>
    <row r="135" spans="1:13" s="629" customFormat="1" ht="18" customHeight="1">
      <c r="A135" s="1702"/>
      <c r="F135" s="635"/>
      <c r="G135" s="635"/>
      <c r="H135" s="635"/>
      <c r="I135" s="635"/>
      <c r="L135" s="636"/>
      <c r="M135" s="636"/>
    </row>
    <row r="136" spans="1:13" s="629" customFormat="1" ht="18" customHeight="1">
      <c r="A136" s="1702"/>
      <c r="F136" s="635"/>
      <c r="G136" s="635"/>
      <c r="H136" s="635"/>
      <c r="I136" s="635"/>
      <c r="L136" s="636"/>
      <c r="M136" s="636"/>
    </row>
    <row r="137" spans="1:13" s="629" customFormat="1" ht="18" customHeight="1">
      <c r="A137" s="1702"/>
      <c r="F137" s="635"/>
      <c r="G137" s="635"/>
      <c r="H137" s="635"/>
      <c r="I137" s="635"/>
      <c r="L137" s="636"/>
      <c r="M137" s="636"/>
    </row>
    <row r="138" spans="1:13" s="629" customFormat="1" ht="18" customHeight="1">
      <c r="A138" s="1702"/>
      <c r="F138" s="635"/>
      <c r="G138" s="635"/>
      <c r="H138" s="635"/>
      <c r="I138" s="635"/>
      <c r="L138" s="636"/>
      <c r="M138" s="636"/>
    </row>
    <row r="139" spans="1:13" s="629" customFormat="1" ht="18" customHeight="1">
      <c r="A139" s="1702"/>
      <c r="F139" s="635"/>
      <c r="G139" s="635"/>
      <c r="H139" s="635"/>
      <c r="I139" s="635"/>
      <c r="L139" s="636"/>
      <c r="M139" s="636"/>
    </row>
    <row r="140" spans="1:13" s="629" customFormat="1" ht="18" customHeight="1">
      <c r="A140" s="1702"/>
      <c r="F140" s="635"/>
      <c r="G140" s="635"/>
      <c r="H140" s="635"/>
      <c r="I140" s="635"/>
      <c r="L140" s="636"/>
      <c r="M140" s="636"/>
    </row>
    <row r="141" spans="1:13" s="629" customFormat="1" ht="18" customHeight="1">
      <c r="A141" s="1702"/>
      <c r="F141" s="635"/>
      <c r="G141" s="635"/>
      <c r="H141" s="635"/>
      <c r="I141" s="635"/>
      <c r="L141" s="636"/>
      <c r="M141" s="636"/>
    </row>
    <row r="142" spans="1:13" s="629" customFormat="1" ht="18" customHeight="1">
      <c r="A142" s="1702"/>
      <c r="F142" s="635"/>
      <c r="G142" s="635"/>
      <c r="H142" s="635"/>
      <c r="I142" s="635"/>
      <c r="L142" s="636"/>
      <c r="M142" s="636"/>
    </row>
    <row r="143" spans="1:13" s="629" customFormat="1" ht="18" customHeight="1">
      <c r="A143" s="1702"/>
      <c r="F143" s="635"/>
      <c r="G143" s="635"/>
      <c r="H143" s="635"/>
      <c r="I143" s="635"/>
      <c r="L143" s="636"/>
      <c r="M143" s="636"/>
    </row>
    <row r="144" spans="1:13" s="629" customFormat="1" ht="18" customHeight="1">
      <c r="A144" s="1702"/>
      <c r="F144" s="635"/>
      <c r="G144" s="635"/>
      <c r="H144" s="635"/>
      <c r="I144" s="635"/>
      <c r="L144" s="636"/>
      <c r="M144" s="636"/>
    </row>
    <row r="145" spans="1:13" s="629" customFormat="1" ht="18" customHeight="1">
      <c r="A145" s="1702"/>
      <c r="F145" s="635"/>
      <c r="G145" s="635"/>
      <c r="H145" s="635"/>
      <c r="I145" s="635"/>
      <c r="L145" s="636"/>
      <c r="M145" s="636"/>
    </row>
    <row r="146" spans="1:13" s="629" customFormat="1" ht="18" customHeight="1">
      <c r="A146" s="1702"/>
      <c r="F146" s="635"/>
      <c r="G146" s="635"/>
      <c r="H146" s="635"/>
      <c r="I146" s="635"/>
      <c r="L146" s="636"/>
      <c r="M146" s="636"/>
    </row>
    <row r="147" spans="1:13" s="629" customFormat="1" ht="18" customHeight="1">
      <c r="A147" s="1702"/>
      <c r="F147" s="635"/>
      <c r="G147" s="635"/>
      <c r="H147" s="635"/>
      <c r="I147" s="635"/>
      <c r="L147" s="636"/>
      <c r="M147" s="636"/>
    </row>
    <row r="148" spans="1:13" s="629" customFormat="1" ht="18" customHeight="1">
      <c r="A148" s="1702"/>
      <c r="F148" s="635"/>
      <c r="G148" s="635"/>
      <c r="H148" s="635"/>
      <c r="I148" s="635"/>
      <c r="L148" s="636"/>
      <c r="M148" s="636"/>
    </row>
    <row r="149" spans="1:13" s="629" customFormat="1" ht="18" customHeight="1">
      <c r="A149" s="1702"/>
      <c r="F149" s="635"/>
      <c r="G149" s="635"/>
      <c r="H149" s="635"/>
      <c r="I149" s="635"/>
      <c r="L149" s="636"/>
      <c r="M149" s="636"/>
    </row>
    <row r="150" spans="1:13" s="629" customFormat="1" ht="18" customHeight="1">
      <c r="A150" s="1702"/>
      <c r="F150" s="635"/>
      <c r="G150" s="635"/>
      <c r="H150" s="635"/>
      <c r="I150" s="635"/>
      <c r="L150" s="636"/>
      <c r="M150" s="636"/>
    </row>
    <row r="151" spans="1:13" s="629" customFormat="1" ht="18" customHeight="1">
      <c r="A151" s="1702"/>
      <c r="F151" s="635"/>
      <c r="G151" s="635"/>
      <c r="H151" s="635"/>
      <c r="I151" s="635"/>
      <c r="L151" s="636"/>
      <c r="M151" s="636"/>
    </row>
    <row r="152" spans="1:13" s="629" customFormat="1" ht="18" customHeight="1">
      <c r="A152" s="1702"/>
      <c r="F152" s="635"/>
      <c r="G152" s="635"/>
      <c r="H152" s="635"/>
      <c r="I152" s="635"/>
      <c r="L152" s="636"/>
      <c r="M152" s="636"/>
    </row>
    <row r="153" spans="1:13" s="629" customFormat="1" ht="18" customHeight="1">
      <c r="A153" s="1702"/>
      <c r="F153" s="635"/>
      <c r="G153" s="635"/>
      <c r="H153" s="635"/>
      <c r="I153" s="635"/>
      <c r="L153" s="636"/>
      <c r="M153" s="636"/>
    </row>
    <row r="154" spans="1:13" s="629" customFormat="1" ht="18" customHeight="1">
      <c r="A154" s="1702"/>
      <c r="F154" s="635"/>
      <c r="G154" s="635"/>
      <c r="H154" s="635"/>
      <c r="I154" s="635"/>
      <c r="L154" s="636"/>
      <c r="M154" s="636"/>
    </row>
    <row r="155" spans="1:13" s="629" customFormat="1" ht="18" customHeight="1">
      <c r="A155" s="1702"/>
      <c r="F155" s="635"/>
      <c r="G155" s="635"/>
      <c r="H155" s="635"/>
      <c r="I155" s="635"/>
      <c r="L155" s="636"/>
      <c r="M155" s="636"/>
    </row>
    <row r="156" spans="1:13" s="629" customFormat="1" ht="18" customHeight="1">
      <c r="A156" s="1702"/>
      <c r="F156" s="635"/>
      <c r="G156" s="635"/>
      <c r="H156" s="635"/>
      <c r="I156" s="635"/>
      <c r="L156" s="636"/>
      <c r="M156" s="636"/>
    </row>
    <row r="157" spans="1:13" s="629" customFormat="1" ht="18" customHeight="1">
      <c r="A157" s="1702"/>
      <c r="F157" s="635"/>
      <c r="G157" s="635"/>
      <c r="H157" s="635"/>
      <c r="I157" s="635"/>
      <c r="L157" s="636"/>
      <c r="M157" s="636"/>
    </row>
    <row r="158" spans="1:13" s="629" customFormat="1" ht="18" customHeight="1">
      <c r="A158" s="1702"/>
      <c r="F158" s="635"/>
      <c r="G158" s="635"/>
      <c r="H158" s="635"/>
      <c r="I158" s="635"/>
      <c r="L158" s="636"/>
      <c r="M158" s="636"/>
    </row>
    <row r="159" spans="1:13" s="629" customFormat="1" ht="18" customHeight="1">
      <c r="A159" s="1702"/>
      <c r="F159" s="635"/>
      <c r="G159" s="635"/>
      <c r="H159" s="635"/>
      <c r="I159" s="635"/>
      <c r="L159" s="636"/>
      <c r="M159" s="636"/>
    </row>
    <row r="160" spans="1:13" s="629" customFormat="1" ht="18" customHeight="1">
      <c r="A160" s="1702"/>
      <c r="F160" s="635"/>
      <c r="G160" s="635"/>
      <c r="H160" s="635"/>
      <c r="I160" s="635"/>
      <c r="L160" s="636"/>
      <c r="M160" s="636"/>
    </row>
    <row r="161" spans="1:13" s="629" customFormat="1" ht="18" customHeight="1">
      <c r="A161" s="1702"/>
      <c r="F161" s="635"/>
      <c r="G161" s="635"/>
      <c r="H161" s="635"/>
      <c r="I161" s="635"/>
      <c r="L161" s="636"/>
      <c r="M161" s="636"/>
    </row>
    <row r="162" spans="1:13" s="629" customFormat="1" ht="18" customHeight="1">
      <c r="A162" s="1702"/>
      <c r="F162" s="635"/>
      <c r="G162" s="635"/>
      <c r="H162" s="635"/>
      <c r="I162" s="635"/>
      <c r="L162" s="636"/>
      <c r="M162" s="636"/>
    </row>
    <row r="163" spans="1:13" s="629" customFormat="1" ht="18" customHeight="1">
      <c r="A163" s="1702"/>
      <c r="F163" s="635"/>
      <c r="G163" s="635"/>
      <c r="H163" s="635"/>
      <c r="I163" s="635"/>
      <c r="L163" s="636"/>
      <c r="M163" s="636"/>
    </row>
    <row r="164" spans="1:13" s="629" customFormat="1" ht="18" customHeight="1">
      <c r="A164" s="1702"/>
      <c r="F164" s="635"/>
      <c r="G164" s="635"/>
      <c r="H164" s="635"/>
      <c r="I164" s="635"/>
      <c r="L164" s="636"/>
      <c r="M164" s="636"/>
    </row>
    <row r="165" spans="1:13" s="629" customFormat="1" ht="18" customHeight="1">
      <c r="A165" s="1702"/>
      <c r="F165" s="635"/>
      <c r="G165" s="635"/>
      <c r="H165" s="635"/>
      <c r="I165" s="635"/>
      <c r="L165" s="636"/>
      <c r="M165" s="636"/>
    </row>
    <row r="166" spans="1:13" s="629" customFormat="1" ht="18" customHeight="1">
      <c r="A166" s="1702"/>
      <c r="F166" s="635"/>
      <c r="G166" s="635"/>
      <c r="H166" s="635"/>
      <c r="I166" s="635"/>
      <c r="L166" s="636"/>
      <c r="M166" s="636"/>
    </row>
    <row r="167" spans="1:13" s="629" customFormat="1" ht="18" customHeight="1">
      <c r="A167" s="1702"/>
      <c r="F167" s="635"/>
      <c r="G167" s="635"/>
      <c r="H167" s="635"/>
      <c r="I167" s="635"/>
      <c r="L167" s="636"/>
      <c r="M167" s="636"/>
    </row>
    <row r="168" spans="1:13" s="629" customFormat="1" ht="18" customHeight="1">
      <c r="A168" s="1702"/>
      <c r="F168" s="635"/>
      <c r="G168" s="635"/>
      <c r="H168" s="635"/>
      <c r="I168" s="635"/>
      <c r="L168" s="636"/>
      <c r="M168" s="636"/>
    </row>
    <row r="169" spans="1:13" s="629" customFormat="1" ht="18" customHeight="1">
      <c r="A169" s="1702"/>
      <c r="F169" s="635"/>
      <c r="G169" s="635"/>
      <c r="H169" s="635"/>
      <c r="I169" s="635"/>
      <c r="L169" s="636"/>
      <c r="M169" s="636"/>
    </row>
    <row r="170" spans="1:13" s="629" customFormat="1" ht="18" customHeight="1">
      <c r="A170" s="1702"/>
      <c r="F170" s="635"/>
      <c r="G170" s="635"/>
      <c r="H170" s="635"/>
      <c r="I170" s="635"/>
      <c r="L170" s="636"/>
      <c r="M170" s="636"/>
    </row>
    <row r="171" spans="1:13" s="629" customFormat="1" ht="18" customHeight="1">
      <c r="A171" s="1702"/>
      <c r="F171" s="635"/>
      <c r="G171" s="635"/>
      <c r="H171" s="635"/>
      <c r="I171" s="635"/>
      <c r="L171" s="636"/>
      <c r="M171" s="636"/>
    </row>
    <row r="172" spans="1:13" s="629" customFormat="1" ht="18" customHeight="1">
      <c r="A172" s="1702"/>
      <c r="F172" s="635"/>
      <c r="G172" s="635"/>
      <c r="H172" s="635"/>
      <c r="I172" s="635"/>
      <c r="L172" s="636"/>
      <c r="M172" s="636"/>
    </row>
    <row r="173" spans="1:13" s="629" customFormat="1" ht="18" customHeight="1">
      <c r="A173" s="1702"/>
      <c r="F173" s="635"/>
      <c r="G173" s="635"/>
      <c r="H173" s="635"/>
      <c r="I173" s="635"/>
      <c r="L173" s="636"/>
      <c r="M173" s="636"/>
    </row>
    <row r="174" spans="1:13" s="629" customFormat="1" ht="18" customHeight="1">
      <c r="A174" s="1702"/>
      <c r="F174" s="635"/>
      <c r="G174" s="635"/>
      <c r="H174" s="635"/>
      <c r="I174" s="635"/>
      <c r="L174" s="636"/>
      <c r="M174" s="636"/>
    </row>
    <row r="175" spans="1:13" s="629" customFormat="1" ht="18" customHeight="1">
      <c r="A175" s="1702"/>
      <c r="F175" s="635"/>
      <c r="G175" s="635"/>
      <c r="H175" s="635"/>
      <c r="I175" s="635"/>
      <c r="L175" s="636"/>
      <c r="M175" s="636"/>
    </row>
    <row r="176" spans="1:13" s="629" customFormat="1" ht="18" customHeight="1">
      <c r="A176" s="1702"/>
      <c r="F176" s="635"/>
      <c r="G176" s="635"/>
      <c r="H176" s="635"/>
      <c r="I176" s="635"/>
      <c r="L176" s="636"/>
      <c r="M176" s="636"/>
    </row>
    <row r="177" spans="1:13" s="629" customFormat="1" ht="18" customHeight="1">
      <c r="A177" s="1702"/>
      <c r="F177" s="635"/>
      <c r="G177" s="635"/>
      <c r="H177" s="635"/>
      <c r="I177" s="635"/>
      <c r="L177" s="636"/>
      <c r="M177" s="636"/>
    </row>
    <row r="178" spans="1:13" s="629" customFormat="1" ht="18" customHeight="1">
      <c r="A178" s="1702"/>
      <c r="F178" s="635"/>
      <c r="G178" s="635"/>
      <c r="H178" s="635"/>
      <c r="I178" s="635"/>
      <c r="L178" s="636"/>
      <c r="M178" s="636"/>
    </row>
    <row r="179" spans="1:13" s="629" customFormat="1" ht="18" customHeight="1">
      <c r="A179" s="1702"/>
      <c r="F179" s="635"/>
      <c r="G179" s="635"/>
      <c r="H179" s="635"/>
      <c r="I179" s="635"/>
      <c r="L179" s="636"/>
      <c r="M179" s="636"/>
    </row>
    <row r="180" spans="1:13" s="629" customFormat="1" ht="18" customHeight="1">
      <c r="A180" s="1702"/>
      <c r="F180" s="635"/>
      <c r="G180" s="635"/>
      <c r="H180" s="635"/>
      <c r="I180" s="635"/>
      <c r="L180" s="636"/>
      <c r="M180" s="636"/>
    </row>
    <row r="181" spans="1:13" s="629" customFormat="1" ht="18" customHeight="1">
      <c r="A181" s="1702"/>
      <c r="F181" s="635"/>
      <c r="G181" s="635"/>
      <c r="H181" s="635"/>
      <c r="I181" s="635"/>
      <c r="L181" s="636"/>
      <c r="M181" s="636"/>
    </row>
    <row r="182" spans="1:13" s="629" customFormat="1" ht="18" customHeight="1">
      <c r="A182" s="1702"/>
      <c r="F182" s="635"/>
      <c r="G182" s="635"/>
      <c r="H182" s="635"/>
      <c r="I182" s="635"/>
      <c r="L182" s="636"/>
      <c r="M182" s="636"/>
    </row>
    <row r="183" spans="1:13" s="629" customFormat="1" ht="18" customHeight="1">
      <c r="A183" s="1702"/>
      <c r="F183" s="635"/>
      <c r="G183" s="635"/>
      <c r="H183" s="635"/>
      <c r="I183" s="635"/>
      <c r="L183" s="636"/>
      <c r="M183" s="636"/>
    </row>
    <row r="184" spans="1:13" s="629" customFormat="1" ht="18" customHeight="1">
      <c r="A184" s="1702"/>
      <c r="F184" s="635"/>
      <c r="G184" s="635"/>
      <c r="H184" s="635"/>
      <c r="I184" s="635"/>
      <c r="L184" s="636"/>
      <c r="M184" s="636"/>
    </row>
    <row r="185" spans="1:13" s="629" customFormat="1" ht="18" customHeight="1">
      <c r="A185" s="1702"/>
      <c r="F185" s="635"/>
      <c r="G185" s="635"/>
      <c r="H185" s="635"/>
      <c r="I185" s="635"/>
      <c r="L185" s="636"/>
      <c r="M185" s="636"/>
    </row>
    <row r="186" spans="1:13" s="629" customFormat="1" ht="18" customHeight="1">
      <c r="A186" s="1702"/>
      <c r="F186" s="635"/>
      <c r="G186" s="635"/>
      <c r="H186" s="635"/>
      <c r="I186" s="635"/>
      <c r="L186" s="636"/>
      <c r="M186" s="636"/>
    </row>
    <row r="187" spans="1:13" s="629" customFormat="1" ht="18" customHeight="1">
      <c r="A187" s="1702"/>
      <c r="F187" s="635"/>
      <c r="G187" s="635"/>
      <c r="H187" s="635"/>
      <c r="I187" s="635"/>
      <c r="L187" s="636"/>
      <c r="M187" s="636"/>
    </row>
    <row r="188" spans="1:13" s="629" customFormat="1" ht="18" customHeight="1">
      <c r="A188" s="1702"/>
      <c r="F188" s="635"/>
      <c r="G188" s="635"/>
      <c r="H188" s="635"/>
      <c r="I188" s="635"/>
      <c r="L188" s="636"/>
      <c r="M188" s="636"/>
    </row>
    <row r="189" spans="1:13" s="629" customFormat="1" ht="18" customHeight="1">
      <c r="A189" s="1702"/>
      <c r="F189" s="635"/>
      <c r="G189" s="635"/>
      <c r="H189" s="635"/>
      <c r="I189" s="635"/>
      <c r="L189" s="636"/>
      <c r="M189" s="636"/>
    </row>
    <row r="190" spans="1:13" s="629" customFormat="1" ht="18" customHeight="1">
      <c r="A190" s="1702"/>
      <c r="F190" s="635"/>
      <c r="G190" s="635"/>
      <c r="H190" s="635"/>
      <c r="I190" s="635"/>
      <c r="L190" s="636"/>
      <c r="M190" s="636"/>
    </row>
    <row r="191" spans="1:13" s="629" customFormat="1" ht="18" customHeight="1">
      <c r="A191" s="1702"/>
      <c r="F191" s="635"/>
      <c r="G191" s="635"/>
      <c r="H191" s="635"/>
      <c r="I191" s="635"/>
      <c r="L191" s="636"/>
      <c r="M191" s="636"/>
    </row>
    <row r="192" spans="1:13" s="629" customFormat="1" ht="18" customHeight="1">
      <c r="A192" s="1702"/>
      <c r="F192" s="635"/>
      <c r="G192" s="635"/>
      <c r="H192" s="635"/>
      <c r="I192" s="635"/>
      <c r="L192" s="636"/>
      <c r="M192" s="636"/>
    </row>
    <row r="193" spans="1:13" s="629" customFormat="1" ht="18" customHeight="1">
      <c r="A193" s="1702"/>
      <c r="F193" s="635"/>
      <c r="G193" s="635"/>
      <c r="H193" s="635"/>
      <c r="I193" s="635"/>
      <c r="L193" s="636"/>
      <c r="M193" s="636"/>
    </row>
    <row r="194" spans="1:13" s="629" customFormat="1" ht="18" customHeight="1">
      <c r="A194" s="1702"/>
      <c r="F194" s="635"/>
      <c r="G194" s="635"/>
      <c r="H194" s="635"/>
      <c r="I194" s="635"/>
      <c r="L194" s="636"/>
      <c r="M194" s="636"/>
    </row>
    <row r="195" spans="1:13" s="629" customFormat="1" ht="18" customHeight="1">
      <c r="A195" s="1702"/>
      <c r="F195" s="635"/>
      <c r="G195" s="635"/>
      <c r="H195" s="635"/>
      <c r="I195" s="635"/>
      <c r="L195" s="636"/>
      <c r="M195" s="636"/>
    </row>
    <row r="196" spans="1:13" s="629" customFormat="1" ht="18" customHeight="1">
      <c r="A196" s="1702"/>
      <c r="F196" s="635"/>
      <c r="G196" s="635"/>
      <c r="H196" s="635"/>
      <c r="I196" s="635"/>
      <c r="L196" s="636"/>
      <c r="M196" s="636"/>
    </row>
    <row r="197" spans="1:13" s="629" customFormat="1" ht="18" customHeight="1">
      <c r="A197" s="1702"/>
      <c r="F197" s="635"/>
      <c r="G197" s="635"/>
      <c r="H197" s="635"/>
      <c r="I197" s="635"/>
      <c r="L197" s="636"/>
      <c r="M197" s="636"/>
    </row>
    <row r="198" spans="1:13" s="629" customFormat="1" ht="18" customHeight="1">
      <c r="A198" s="1702"/>
      <c r="F198" s="635"/>
      <c r="G198" s="635"/>
      <c r="H198" s="635"/>
      <c r="I198" s="635"/>
      <c r="L198" s="636"/>
      <c r="M198" s="636"/>
    </row>
    <row r="199" spans="1:13" s="629" customFormat="1" ht="18" customHeight="1">
      <c r="A199" s="1702"/>
      <c r="F199" s="635"/>
      <c r="G199" s="635"/>
      <c r="H199" s="635"/>
      <c r="I199" s="635"/>
      <c r="L199" s="636"/>
      <c r="M199" s="636"/>
    </row>
    <row r="200" spans="1:13" s="629" customFormat="1" ht="18" customHeight="1">
      <c r="A200" s="1702"/>
      <c r="F200" s="635"/>
      <c r="G200" s="635"/>
      <c r="H200" s="635"/>
      <c r="I200" s="635"/>
      <c r="L200" s="636"/>
      <c r="M200" s="636"/>
    </row>
    <row r="201" spans="1:13" s="629" customFormat="1" ht="18" customHeight="1">
      <c r="A201" s="1702"/>
      <c r="F201" s="635"/>
      <c r="G201" s="635"/>
      <c r="H201" s="635"/>
      <c r="I201" s="635"/>
      <c r="L201" s="636"/>
      <c r="M201" s="636"/>
    </row>
    <row r="202" spans="1:13" s="629" customFormat="1" ht="18" customHeight="1">
      <c r="A202" s="1702"/>
      <c r="F202" s="635"/>
      <c r="G202" s="635"/>
      <c r="H202" s="635"/>
      <c r="I202" s="635"/>
      <c r="L202" s="636"/>
      <c r="M202" s="636"/>
    </row>
    <row r="203" spans="1:13" s="629" customFormat="1" ht="18" customHeight="1">
      <c r="A203" s="1702"/>
      <c r="F203" s="635"/>
      <c r="G203" s="635"/>
      <c r="H203" s="635"/>
      <c r="I203" s="635"/>
      <c r="L203" s="636"/>
      <c r="M203" s="636"/>
    </row>
    <row r="204" spans="1:13" s="629" customFormat="1" ht="18" customHeight="1">
      <c r="A204" s="1702"/>
      <c r="F204" s="635"/>
      <c r="G204" s="635"/>
      <c r="H204" s="635"/>
      <c r="I204" s="635"/>
      <c r="L204" s="636"/>
      <c r="M204" s="636"/>
    </row>
    <row r="205" spans="1:13" s="629" customFormat="1" ht="18" customHeight="1">
      <c r="A205" s="1702"/>
      <c r="F205" s="635"/>
      <c r="G205" s="635"/>
      <c r="H205" s="635"/>
      <c r="I205" s="635"/>
      <c r="L205" s="636"/>
      <c r="M205" s="636"/>
    </row>
    <row r="206" spans="1:13" s="629" customFormat="1" ht="18" customHeight="1">
      <c r="A206" s="1702"/>
      <c r="F206" s="635"/>
      <c r="G206" s="635"/>
      <c r="H206" s="635"/>
      <c r="I206" s="635"/>
      <c r="L206" s="636"/>
      <c r="M206" s="636"/>
    </row>
    <row r="207" spans="1:13" s="629" customFormat="1" ht="18" customHeight="1">
      <c r="A207" s="1702"/>
      <c r="F207" s="635"/>
      <c r="G207" s="635"/>
      <c r="H207" s="635"/>
      <c r="I207" s="635"/>
      <c r="L207" s="636"/>
      <c r="M207" s="636"/>
    </row>
    <row r="208" spans="1:13" s="629" customFormat="1" ht="18" customHeight="1">
      <c r="A208" s="1702"/>
      <c r="F208" s="635"/>
      <c r="G208" s="635"/>
      <c r="H208" s="635"/>
      <c r="I208" s="635"/>
      <c r="L208" s="636"/>
      <c r="M208" s="636"/>
    </row>
    <row r="209" spans="1:13" s="629" customFormat="1" ht="18" customHeight="1">
      <c r="A209" s="1702"/>
      <c r="F209" s="635"/>
      <c r="G209" s="635"/>
      <c r="H209" s="635"/>
      <c r="I209" s="635"/>
      <c r="L209" s="636"/>
      <c r="M209" s="636"/>
    </row>
    <row r="210" spans="1:13" s="629" customFormat="1" ht="18" customHeight="1">
      <c r="A210" s="1702"/>
      <c r="F210" s="635"/>
      <c r="G210" s="635"/>
      <c r="H210" s="635"/>
      <c r="I210" s="635"/>
      <c r="L210" s="636"/>
      <c r="M210" s="636"/>
    </row>
    <row r="211" spans="1:13" s="629" customFormat="1" ht="18" customHeight="1">
      <c r="A211" s="1702"/>
      <c r="F211" s="635"/>
      <c r="G211" s="635"/>
      <c r="H211" s="635"/>
      <c r="I211" s="635"/>
      <c r="L211" s="636"/>
      <c r="M211" s="636"/>
    </row>
    <row r="212" spans="1:13" s="629" customFormat="1" ht="18" customHeight="1">
      <c r="A212" s="1702"/>
      <c r="F212" s="635"/>
      <c r="G212" s="635"/>
      <c r="H212" s="635"/>
      <c r="I212" s="635"/>
      <c r="L212" s="636"/>
      <c r="M212" s="636"/>
    </row>
    <row r="213" spans="1:13" s="629" customFormat="1" ht="18" customHeight="1">
      <c r="A213" s="1702"/>
      <c r="F213" s="635"/>
      <c r="G213" s="635"/>
      <c r="H213" s="635"/>
      <c r="I213" s="635"/>
      <c r="L213" s="636"/>
      <c r="M213" s="636"/>
    </row>
    <row r="214" spans="1:13" s="629" customFormat="1" ht="18" customHeight="1">
      <c r="A214" s="1702"/>
      <c r="F214" s="635"/>
      <c r="G214" s="635"/>
      <c r="H214" s="635"/>
      <c r="I214" s="635"/>
      <c r="L214" s="636"/>
      <c r="M214" s="636"/>
    </row>
    <row r="215" spans="1:13" s="629" customFormat="1" ht="18" customHeight="1">
      <c r="A215" s="1702"/>
      <c r="F215" s="635"/>
      <c r="G215" s="635"/>
      <c r="H215" s="635"/>
      <c r="I215" s="635"/>
      <c r="L215" s="636"/>
      <c r="M215" s="636"/>
    </row>
    <row r="216" spans="1:13" s="629" customFormat="1" ht="18" customHeight="1">
      <c r="A216" s="1702"/>
      <c r="F216" s="635"/>
      <c r="G216" s="635"/>
      <c r="H216" s="635"/>
      <c r="I216" s="635"/>
      <c r="L216" s="636"/>
      <c r="M216" s="636"/>
    </row>
    <row r="217" spans="1:13" s="629" customFormat="1" ht="18" customHeight="1">
      <c r="A217" s="1702"/>
      <c r="F217" s="635"/>
      <c r="G217" s="635"/>
      <c r="H217" s="635"/>
      <c r="I217" s="635"/>
      <c r="L217" s="636"/>
      <c r="M217" s="636"/>
    </row>
    <row r="218" spans="1:13" s="629" customFormat="1" ht="18" customHeight="1">
      <c r="A218" s="1702"/>
      <c r="F218" s="635"/>
      <c r="G218" s="635"/>
      <c r="H218" s="635"/>
      <c r="I218" s="635"/>
      <c r="L218" s="636"/>
      <c r="M218" s="636"/>
    </row>
    <row r="219" spans="1:13" s="629" customFormat="1" ht="18" customHeight="1">
      <c r="A219" s="1702"/>
      <c r="F219" s="635"/>
      <c r="G219" s="635"/>
      <c r="H219" s="635"/>
      <c r="I219" s="635"/>
      <c r="L219" s="636"/>
      <c r="M219" s="636"/>
    </row>
    <row r="220" spans="1:13" s="629" customFormat="1" ht="18" customHeight="1">
      <c r="A220" s="1702"/>
      <c r="F220" s="635"/>
      <c r="G220" s="635"/>
      <c r="H220" s="635"/>
      <c r="I220" s="635"/>
      <c r="L220" s="636"/>
      <c r="M220" s="636"/>
    </row>
    <row r="221" spans="1:13" s="629" customFormat="1" ht="18" customHeight="1">
      <c r="A221" s="1702"/>
      <c r="F221" s="635"/>
      <c r="G221" s="635"/>
      <c r="H221" s="635"/>
      <c r="I221" s="635"/>
      <c r="L221" s="636"/>
      <c r="M221" s="636"/>
    </row>
    <row r="222" spans="1:13" s="629" customFormat="1" ht="18" customHeight="1">
      <c r="A222" s="1702"/>
      <c r="F222" s="635"/>
      <c r="G222" s="635"/>
      <c r="H222" s="635"/>
      <c r="I222" s="635"/>
      <c r="L222" s="636"/>
      <c r="M222" s="636"/>
    </row>
    <row r="223" spans="1:13" s="629" customFormat="1" ht="18" customHeight="1">
      <c r="A223" s="1702"/>
      <c r="F223" s="635"/>
      <c r="G223" s="635"/>
      <c r="H223" s="635"/>
      <c r="I223" s="635"/>
      <c r="L223" s="636"/>
      <c r="M223" s="636"/>
    </row>
    <row r="224" spans="1:13" s="629" customFormat="1" ht="18" customHeight="1">
      <c r="A224" s="1702"/>
      <c r="F224" s="635"/>
      <c r="G224" s="635"/>
      <c r="H224" s="635"/>
      <c r="I224" s="635"/>
      <c r="L224" s="636"/>
      <c r="M224" s="636"/>
    </row>
    <row r="225" spans="1:13" s="629" customFormat="1" ht="18" customHeight="1">
      <c r="A225" s="1702"/>
      <c r="F225" s="635"/>
      <c r="G225" s="635"/>
      <c r="H225" s="635"/>
      <c r="I225" s="635"/>
      <c r="L225" s="636"/>
      <c r="M225" s="636"/>
    </row>
    <row r="226" spans="1:13" s="629" customFormat="1" ht="18" customHeight="1">
      <c r="A226" s="1702"/>
      <c r="F226" s="635"/>
      <c r="G226" s="635"/>
      <c r="H226" s="635"/>
      <c r="I226" s="635"/>
      <c r="L226" s="636"/>
      <c r="M226" s="636"/>
    </row>
    <row r="227" spans="1:13" s="629" customFormat="1" ht="18" customHeight="1">
      <c r="A227" s="1702"/>
      <c r="F227" s="635"/>
      <c r="G227" s="635"/>
      <c r="H227" s="635"/>
      <c r="I227" s="635"/>
      <c r="L227" s="636"/>
      <c r="M227" s="636"/>
    </row>
    <row r="228" spans="1:13" s="629" customFormat="1" ht="18" customHeight="1">
      <c r="A228" s="1702"/>
      <c r="F228" s="635"/>
      <c r="G228" s="635"/>
      <c r="H228" s="635"/>
      <c r="I228" s="635"/>
      <c r="L228" s="636"/>
      <c r="M228" s="636"/>
    </row>
    <row r="229" spans="1:13" s="629" customFormat="1" ht="18" customHeight="1">
      <c r="A229" s="1702"/>
      <c r="F229" s="635"/>
      <c r="G229" s="635"/>
      <c r="H229" s="635"/>
      <c r="I229" s="635"/>
      <c r="L229" s="636"/>
      <c r="M229" s="636"/>
    </row>
    <row r="230" spans="1:13" s="629" customFormat="1" ht="18" customHeight="1">
      <c r="A230" s="1702"/>
      <c r="F230" s="635"/>
      <c r="G230" s="635"/>
      <c r="H230" s="635"/>
      <c r="I230" s="635"/>
      <c r="L230" s="636"/>
      <c r="M230" s="636"/>
    </row>
    <row r="231" spans="1:13" s="629" customFormat="1" ht="18" customHeight="1">
      <c r="A231" s="1702"/>
      <c r="F231" s="635"/>
      <c r="G231" s="635"/>
      <c r="H231" s="635"/>
      <c r="I231" s="635"/>
      <c r="L231" s="636"/>
      <c r="M231" s="636"/>
    </row>
    <row r="232" spans="1:13" s="629" customFormat="1" ht="18" customHeight="1">
      <c r="A232" s="1702"/>
      <c r="F232" s="635"/>
      <c r="G232" s="635"/>
      <c r="H232" s="635"/>
      <c r="I232" s="635"/>
      <c r="L232" s="636"/>
      <c r="M232" s="636"/>
    </row>
    <row r="233" spans="1:13" s="629" customFormat="1" ht="18" customHeight="1">
      <c r="A233" s="1702"/>
      <c r="F233" s="635"/>
      <c r="G233" s="635"/>
      <c r="H233" s="635"/>
      <c r="I233" s="635"/>
      <c r="L233" s="636"/>
      <c r="M233" s="636"/>
    </row>
    <row r="234" spans="1:13" s="629" customFormat="1" ht="18" customHeight="1">
      <c r="A234" s="1702"/>
      <c r="F234" s="635"/>
      <c r="G234" s="635"/>
      <c r="H234" s="635"/>
      <c r="I234" s="635"/>
      <c r="L234" s="636"/>
      <c r="M234" s="636"/>
    </row>
    <row r="235" spans="1:13" s="629" customFormat="1" ht="18" customHeight="1">
      <c r="A235" s="1702"/>
      <c r="F235" s="635"/>
      <c r="G235" s="635"/>
      <c r="H235" s="635"/>
      <c r="I235" s="635"/>
      <c r="L235" s="636"/>
      <c r="M235" s="636"/>
    </row>
    <row r="236" spans="1:13" s="629" customFormat="1" ht="18" customHeight="1">
      <c r="A236" s="1702"/>
      <c r="F236" s="635"/>
      <c r="G236" s="635"/>
      <c r="H236" s="635"/>
      <c r="I236" s="635"/>
      <c r="L236" s="636"/>
      <c r="M236" s="636"/>
    </row>
    <row r="237" spans="1:13" s="629" customFormat="1" ht="18" customHeight="1">
      <c r="A237" s="1702"/>
      <c r="F237" s="635"/>
      <c r="G237" s="635"/>
      <c r="H237" s="635"/>
      <c r="I237" s="635"/>
      <c r="L237" s="636"/>
      <c r="M237" s="636"/>
    </row>
    <row r="238" spans="1:13" s="629" customFormat="1" ht="18" customHeight="1">
      <c r="A238" s="1702"/>
      <c r="F238" s="635"/>
      <c r="G238" s="635"/>
      <c r="H238" s="635"/>
      <c r="I238" s="635"/>
      <c r="L238" s="636"/>
      <c r="M238" s="636"/>
    </row>
    <row r="239" spans="1:13" s="629" customFormat="1" ht="18" customHeight="1">
      <c r="A239" s="1702"/>
      <c r="F239" s="635"/>
      <c r="G239" s="635"/>
      <c r="H239" s="635"/>
      <c r="I239" s="635"/>
      <c r="L239" s="636"/>
      <c r="M239" s="636"/>
    </row>
    <row r="240" spans="1:13" s="629" customFormat="1" ht="18" customHeight="1">
      <c r="A240" s="1702"/>
      <c r="F240" s="635"/>
      <c r="G240" s="635"/>
      <c r="H240" s="635"/>
      <c r="I240" s="635"/>
      <c r="L240" s="636"/>
      <c r="M240" s="636"/>
    </row>
    <row r="241" spans="1:13" s="629" customFormat="1" ht="18" customHeight="1">
      <c r="A241" s="1702"/>
      <c r="F241" s="635"/>
      <c r="G241" s="635"/>
      <c r="H241" s="635"/>
      <c r="I241" s="635"/>
      <c r="L241" s="636"/>
      <c r="M241" s="636"/>
    </row>
    <row r="242" spans="1:13" s="629" customFormat="1" ht="18" customHeight="1">
      <c r="A242" s="1702"/>
      <c r="F242" s="635"/>
      <c r="G242" s="635"/>
      <c r="H242" s="635"/>
      <c r="I242" s="635"/>
      <c r="L242" s="636"/>
      <c r="M242" s="636"/>
    </row>
    <row r="243" spans="1:13" s="629" customFormat="1" ht="18" customHeight="1">
      <c r="A243" s="1702"/>
      <c r="F243" s="635"/>
      <c r="G243" s="635"/>
      <c r="H243" s="635"/>
      <c r="I243" s="635"/>
      <c r="L243" s="636"/>
      <c r="M243" s="636"/>
    </row>
    <row r="244" spans="1:13" s="629" customFormat="1" ht="18" customHeight="1">
      <c r="A244" s="1702"/>
      <c r="F244" s="635"/>
      <c r="G244" s="635"/>
      <c r="H244" s="635"/>
      <c r="I244" s="635"/>
      <c r="L244" s="636"/>
      <c r="M244" s="636"/>
    </row>
    <row r="245" spans="1:13" s="629" customFormat="1" ht="18" customHeight="1">
      <c r="A245" s="1702"/>
      <c r="F245" s="635"/>
      <c r="G245" s="635"/>
      <c r="H245" s="635"/>
      <c r="I245" s="635"/>
      <c r="L245" s="636"/>
      <c r="M245" s="636"/>
    </row>
    <row r="246" spans="1:13" s="629" customFormat="1" ht="18" customHeight="1">
      <c r="A246" s="1702"/>
      <c r="F246" s="635"/>
      <c r="G246" s="635"/>
      <c r="H246" s="635"/>
      <c r="I246" s="635"/>
      <c r="L246" s="636"/>
      <c r="M246" s="636"/>
    </row>
    <row r="247" spans="1:13" s="629" customFormat="1" ht="18" customHeight="1">
      <c r="A247" s="1702"/>
      <c r="F247" s="635"/>
      <c r="G247" s="635"/>
      <c r="H247" s="635"/>
      <c r="I247" s="635"/>
      <c r="L247" s="636"/>
      <c r="M247" s="636"/>
    </row>
    <row r="248" spans="1:13" s="629" customFormat="1" ht="18" customHeight="1">
      <c r="A248" s="1702"/>
      <c r="F248" s="635"/>
      <c r="G248" s="635"/>
      <c r="H248" s="635"/>
      <c r="I248" s="635"/>
      <c r="L248" s="636"/>
      <c r="M248" s="636"/>
    </row>
    <row r="249" spans="1:13" s="629" customFormat="1" ht="18" customHeight="1">
      <c r="A249" s="1702"/>
      <c r="F249" s="635"/>
      <c r="G249" s="635"/>
      <c r="H249" s="635"/>
      <c r="I249" s="635"/>
      <c r="L249" s="636"/>
      <c r="M249" s="636"/>
    </row>
    <row r="250" spans="1:13" s="629" customFormat="1" ht="18" customHeight="1">
      <c r="A250" s="1702"/>
      <c r="F250" s="635"/>
      <c r="G250" s="635"/>
      <c r="H250" s="635"/>
      <c r="I250" s="635"/>
      <c r="L250" s="636"/>
      <c r="M250" s="636"/>
    </row>
    <row r="251" spans="1:13" s="629" customFormat="1" ht="18" customHeight="1">
      <c r="A251" s="1702"/>
      <c r="F251" s="635"/>
      <c r="G251" s="635"/>
      <c r="H251" s="635"/>
      <c r="I251" s="635"/>
      <c r="L251" s="636"/>
      <c r="M251" s="636"/>
    </row>
    <row r="252" spans="1:13" s="629" customFormat="1" ht="18" customHeight="1">
      <c r="A252" s="1702"/>
      <c r="F252" s="635"/>
      <c r="G252" s="635"/>
      <c r="H252" s="635"/>
      <c r="I252" s="635"/>
      <c r="L252" s="636"/>
      <c r="M252" s="636"/>
    </row>
    <row r="253" spans="1:13" s="629" customFormat="1" ht="18" customHeight="1">
      <c r="A253" s="1702"/>
      <c r="F253" s="635"/>
      <c r="G253" s="635"/>
      <c r="H253" s="635"/>
      <c r="I253" s="635"/>
      <c r="L253" s="636"/>
      <c r="M253" s="636"/>
    </row>
    <row r="254" spans="1:13" s="629" customFormat="1" ht="18" customHeight="1">
      <c r="A254" s="1702"/>
      <c r="F254" s="635"/>
      <c r="G254" s="635"/>
      <c r="H254" s="635"/>
      <c r="I254" s="635"/>
      <c r="L254" s="636"/>
      <c r="M254" s="636"/>
    </row>
    <row r="255" spans="1:13" s="629" customFormat="1" ht="18" customHeight="1">
      <c r="A255" s="1702"/>
      <c r="F255" s="635"/>
      <c r="G255" s="635"/>
      <c r="H255" s="635"/>
      <c r="I255" s="635"/>
      <c r="L255" s="636"/>
      <c r="M255" s="636"/>
    </row>
    <row r="256" spans="1:13" s="629" customFormat="1" ht="18" customHeight="1">
      <c r="A256" s="1702"/>
      <c r="F256" s="635"/>
      <c r="G256" s="635"/>
      <c r="H256" s="635"/>
      <c r="I256" s="635"/>
      <c r="L256" s="636"/>
      <c r="M256" s="636"/>
    </row>
    <row r="257" spans="1:13" s="629" customFormat="1" ht="18" customHeight="1">
      <c r="A257" s="1702"/>
      <c r="F257" s="635"/>
      <c r="G257" s="635"/>
      <c r="H257" s="635"/>
      <c r="I257" s="635"/>
      <c r="L257" s="636"/>
      <c r="M257" s="636"/>
    </row>
    <row r="258" spans="1:13" s="629" customFormat="1" ht="18" customHeight="1">
      <c r="A258" s="1702"/>
      <c r="F258" s="635"/>
      <c r="G258" s="635"/>
      <c r="H258" s="635"/>
      <c r="I258" s="635"/>
      <c r="L258" s="636"/>
      <c r="M258" s="636"/>
    </row>
    <row r="259" spans="1:13" s="629" customFormat="1" ht="18" customHeight="1">
      <c r="A259" s="1702"/>
      <c r="F259" s="635"/>
      <c r="G259" s="635"/>
      <c r="H259" s="635"/>
      <c r="I259" s="635"/>
      <c r="L259" s="636"/>
      <c r="M259" s="636"/>
    </row>
    <row r="260" spans="1:13" s="629" customFormat="1" ht="18" customHeight="1">
      <c r="A260" s="1702"/>
      <c r="F260" s="635"/>
      <c r="G260" s="635"/>
      <c r="H260" s="635"/>
      <c r="I260" s="635"/>
      <c r="L260" s="636"/>
      <c r="M260" s="636"/>
    </row>
    <row r="261" spans="1:13" s="629" customFormat="1" ht="18" customHeight="1">
      <c r="A261" s="1702"/>
      <c r="F261" s="635"/>
      <c r="G261" s="635"/>
      <c r="H261" s="635"/>
      <c r="I261" s="635"/>
      <c r="L261" s="636"/>
      <c r="M261" s="636"/>
    </row>
    <row r="262" spans="1:13" s="629" customFormat="1" ht="18" customHeight="1">
      <c r="A262" s="1702"/>
      <c r="F262" s="635"/>
      <c r="G262" s="635"/>
      <c r="H262" s="635"/>
      <c r="I262" s="635"/>
      <c r="L262" s="636"/>
      <c r="M262" s="636"/>
    </row>
    <row r="263" spans="1:13" s="629" customFormat="1" ht="18" customHeight="1">
      <c r="A263" s="1702"/>
      <c r="F263" s="635"/>
      <c r="G263" s="635"/>
      <c r="H263" s="635"/>
      <c r="I263" s="635"/>
      <c r="L263" s="636"/>
      <c r="M263" s="636"/>
    </row>
    <row r="264" spans="1:13" s="629" customFormat="1" ht="18" customHeight="1">
      <c r="A264" s="1702"/>
      <c r="F264" s="635"/>
      <c r="G264" s="635"/>
      <c r="H264" s="635"/>
      <c r="I264" s="635"/>
      <c r="L264" s="636"/>
      <c r="M264" s="636"/>
    </row>
    <row r="265" spans="1:13" s="629" customFormat="1" ht="18" customHeight="1">
      <c r="A265" s="1702"/>
      <c r="F265" s="635"/>
      <c r="G265" s="635"/>
      <c r="H265" s="635"/>
      <c r="I265" s="635"/>
      <c r="L265" s="636"/>
      <c r="M265" s="636"/>
    </row>
    <row r="266" spans="1:13" s="629" customFormat="1" ht="18" customHeight="1">
      <c r="A266" s="1702"/>
      <c r="F266" s="635"/>
      <c r="G266" s="635"/>
      <c r="H266" s="635"/>
      <c r="I266" s="635"/>
      <c r="L266" s="636"/>
      <c r="M266" s="636"/>
    </row>
    <row r="267" spans="1:13" s="629" customFormat="1" ht="18" customHeight="1">
      <c r="A267" s="1702"/>
      <c r="F267" s="635"/>
      <c r="G267" s="635"/>
      <c r="H267" s="635"/>
      <c r="I267" s="635"/>
      <c r="L267" s="636"/>
      <c r="M267" s="636"/>
    </row>
    <row r="268" spans="1:13" s="629" customFormat="1" ht="18" customHeight="1">
      <c r="A268" s="1702"/>
      <c r="F268" s="635"/>
      <c r="G268" s="635"/>
      <c r="H268" s="635"/>
      <c r="I268" s="635"/>
      <c r="L268" s="636"/>
      <c r="M268" s="636"/>
    </row>
    <row r="269" spans="1:13" s="629" customFormat="1" ht="18" customHeight="1">
      <c r="A269" s="1702"/>
      <c r="F269" s="635"/>
      <c r="G269" s="635"/>
      <c r="H269" s="635"/>
      <c r="I269" s="635"/>
      <c r="L269" s="636"/>
      <c r="M269" s="636"/>
    </row>
    <row r="270" spans="1:13" s="629" customFormat="1" ht="18" customHeight="1">
      <c r="A270" s="1702"/>
      <c r="F270" s="635"/>
      <c r="G270" s="635"/>
      <c r="H270" s="635"/>
      <c r="I270" s="635"/>
      <c r="L270" s="636"/>
      <c r="M270" s="636"/>
    </row>
    <row r="271" spans="1:13" s="629" customFormat="1" ht="18" customHeight="1">
      <c r="A271" s="1702"/>
      <c r="F271" s="635"/>
      <c r="G271" s="635"/>
      <c r="H271" s="635"/>
      <c r="I271" s="635"/>
      <c r="L271" s="636"/>
      <c r="M271" s="636"/>
    </row>
    <row r="272" spans="1:13" s="629" customFormat="1" ht="18" customHeight="1">
      <c r="A272" s="1702"/>
      <c r="F272" s="635"/>
      <c r="G272" s="635"/>
      <c r="H272" s="635"/>
      <c r="I272" s="635"/>
      <c r="L272" s="636"/>
      <c r="M272" s="636"/>
    </row>
    <row r="273" spans="1:13" s="629" customFormat="1" ht="18" customHeight="1">
      <c r="A273" s="1702"/>
      <c r="F273" s="635"/>
      <c r="G273" s="635"/>
      <c r="H273" s="635"/>
      <c r="I273" s="635"/>
      <c r="L273" s="636"/>
      <c r="M273" s="636"/>
    </row>
    <row r="274" spans="1:13" s="629" customFormat="1" ht="18" customHeight="1">
      <c r="A274" s="1702"/>
      <c r="F274" s="635"/>
      <c r="G274" s="635"/>
      <c r="H274" s="635"/>
      <c r="I274" s="635"/>
      <c r="L274" s="636"/>
      <c r="M274" s="636"/>
    </row>
    <row r="275" spans="1:13" s="629" customFormat="1" ht="18" customHeight="1">
      <c r="A275" s="1702"/>
      <c r="F275" s="635"/>
      <c r="G275" s="635"/>
      <c r="H275" s="635"/>
      <c r="I275" s="635"/>
      <c r="L275" s="636"/>
      <c r="M275" s="636"/>
    </row>
    <row r="276" spans="1:13" s="629" customFormat="1" ht="18" customHeight="1">
      <c r="A276" s="1702"/>
      <c r="F276" s="635"/>
      <c r="G276" s="635"/>
      <c r="H276" s="635"/>
      <c r="I276" s="635"/>
      <c r="L276" s="636"/>
      <c r="M276" s="636"/>
    </row>
    <row r="277" spans="1:13" s="629" customFormat="1" ht="18" customHeight="1">
      <c r="A277" s="1702"/>
      <c r="F277" s="635"/>
      <c r="G277" s="635"/>
      <c r="H277" s="635"/>
      <c r="I277" s="635"/>
      <c r="L277" s="636"/>
      <c r="M277" s="636"/>
    </row>
    <row r="278" spans="1:13" s="629" customFormat="1" ht="18" customHeight="1">
      <c r="A278" s="1702"/>
      <c r="F278" s="635"/>
      <c r="G278" s="635"/>
      <c r="H278" s="635"/>
      <c r="I278" s="635"/>
      <c r="L278" s="636"/>
      <c r="M278" s="636"/>
    </row>
    <row r="279" spans="1:13" s="629" customFormat="1" ht="18" customHeight="1">
      <c r="A279" s="1702"/>
      <c r="F279" s="635"/>
      <c r="G279" s="635"/>
      <c r="H279" s="635"/>
      <c r="I279" s="635"/>
      <c r="L279" s="636"/>
      <c r="M279" s="636"/>
    </row>
    <row r="280" spans="1:13" s="629" customFormat="1" ht="18" customHeight="1">
      <c r="A280" s="1702"/>
      <c r="F280" s="635"/>
      <c r="G280" s="635"/>
      <c r="H280" s="635"/>
      <c r="I280" s="635"/>
      <c r="L280" s="636"/>
      <c r="M280" s="636"/>
    </row>
    <row r="281" spans="1:13" s="629" customFormat="1" ht="18" customHeight="1">
      <c r="A281" s="1702"/>
      <c r="F281" s="635"/>
      <c r="G281" s="635"/>
      <c r="H281" s="635"/>
      <c r="I281" s="635"/>
      <c r="L281" s="636"/>
      <c r="M281" s="636"/>
    </row>
    <row r="282" spans="1:13" s="629" customFormat="1" ht="18" customHeight="1">
      <c r="A282" s="1702"/>
      <c r="F282" s="635"/>
      <c r="G282" s="635"/>
      <c r="H282" s="635"/>
      <c r="I282" s="635"/>
      <c r="L282" s="636"/>
      <c r="M282" s="636"/>
    </row>
    <row r="283" spans="1:13" s="629" customFormat="1" ht="18" customHeight="1">
      <c r="A283" s="1702"/>
      <c r="F283" s="635"/>
      <c r="G283" s="635"/>
      <c r="H283" s="635"/>
      <c r="I283" s="635"/>
      <c r="L283" s="636"/>
      <c r="M283" s="636"/>
    </row>
    <row r="284" spans="1:13" s="629" customFormat="1" ht="18" customHeight="1">
      <c r="A284" s="1702"/>
      <c r="F284" s="635"/>
      <c r="G284" s="635"/>
      <c r="H284" s="635"/>
      <c r="I284" s="635"/>
      <c r="L284" s="636"/>
      <c r="M284" s="636"/>
    </row>
    <row r="285" spans="1:13" s="629" customFormat="1" ht="18" customHeight="1">
      <c r="A285" s="1702"/>
      <c r="F285" s="635"/>
      <c r="G285" s="635"/>
      <c r="H285" s="635"/>
      <c r="I285" s="635"/>
      <c r="L285" s="636"/>
      <c r="M285" s="636"/>
    </row>
    <row r="286" spans="1:13" s="629" customFormat="1" ht="18" customHeight="1">
      <c r="A286" s="1702"/>
      <c r="F286" s="635"/>
      <c r="G286" s="635"/>
      <c r="H286" s="635"/>
      <c r="I286" s="635"/>
      <c r="L286" s="636"/>
      <c r="M286" s="636"/>
    </row>
    <row r="287" spans="1:13" s="629" customFormat="1" ht="18" customHeight="1">
      <c r="A287" s="1702"/>
      <c r="F287" s="635"/>
      <c r="G287" s="635"/>
      <c r="H287" s="635"/>
      <c r="I287" s="635"/>
      <c r="L287" s="636"/>
      <c r="M287" s="636"/>
    </row>
    <row r="288" spans="1:13" s="629" customFormat="1" ht="18" customHeight="1">
      <c r="A288" s="1702"/>
      <c r="F288" s="635"/>
      <c r="G288" s="635"/>
      <c r="H288" s="635"/>
      <c r="I288" s="635"/>
      <c r="L288" s="636"/>
      <c r="M288" s="636"/>
    </row>
    <row r="289" spans="1:13" s="629" customFormat="1" ht="18" customHeight="1">
      <c r="A289" s="1702"/>
      <c r="F289" s="635"/>
      <c r="G289" s="635"/>
      <c r="H289" s="635"/>
      <c r="I289" s="635"/>
      <c r="L289" s="636"/>
      <c r="M289" s="636"/>
    </row>
    <row r="290" spans="1:13" s="629" customFormat="1" ht="18" customHeight="1">
      <c r="A290" s="1702"/>
      <c r="F290" s="635"/>
      <c r="G290" s="635"/>
      <c r="H290" s="635"/>
      <c r="I290" s="635"/>
      <c r="L290" s="636"/>
      <c r="M290" s="636"/>
    </row>
    <row r="291" spans="1:13" s="629" customFormat="1" ht="18" customHeight="1">
      <c r="A291" s="1702"/>
      <c r="F291" s="635"/>
      <c r="G291" s="635"/>
      <c r="H291" s="635"/>
      <c r="I291" s="635"/>
      <c r="L291" s="636"/>
      <c r="M291" s="636"/>
    </row>
    <row r="292" spans="1:13" s="629" customFormat="1" ht="18" customHeight="1">
      <c r="A292" s="1702"/>
      <c r="F292" s="635"/>
      <c r="G292" s="635"/>
      <c r="H292" s="635"/>
      <c r="I292" s="635"/>
      <c r="L292" s="636"/>
      <c r="M292" s="636"/>
    </row>
    <row r="293" spans="1:13" s="629" customFormat="1" ht="18" customHeight="1">
      <c r="A293" s="1702"/>
      <c r="F293" s="635"/>
      <c r="G293" s="635"/>
      <c r="H293" s="635"/>
      <c r="I293" s="635"/>
      <c r="L293" s="636"/>
      <c r="M293" s="636"/>
    </row>
    <row r="294" spans="1:13" s="629" customFormat="1" ht="18" customHeight="1">
      <c r="A294" s="1702"/>
      <c r="F294" s="635"/>
      <c r="G294" s="635"/>
      <c r="H294" s="635"/>
      <c r="I294" s="635"/>
      <c r="L294" s="636"/>
      <c r="M294" s="636"/>
    </row>
    <row r="295" spans="1:13" s="629" customFormat="1" ht="18" customHeight="1">
      <c r="A295" s="1702"/>
      <c r="F295" s="635"/>
      <c r="G295" s="635"/>
      <c r="H295" s="635"/>
      <c r="I295" s="635"/>
      <c r="L295" s="636"/>
      <c r="M295" s="636"/>
    </row>
    <row r="296" spans="1:13" s="629" customFormat="1" ht="18" customHeight="1">
      <c r="A296" s="1702"/>
      <c r="F296" s="635"/>
      <c r="G296" s="635"/>
      <c r="H296" s="635"/>
      <c r="I296" s="635"/>
      <c r="L296" s="636"/>
      <c r="M296" s="636"/>
    </row>
    <row r="297" spans="1:13" s="629" customFormat="1" ht="18" customHeight="1">
      <c r="A297" s="1702"/>
      <c r="F297" s="635"/>
      <c r="G297" s="635"/>
      <c r="H297" s="635"/>
      <c r="I297" s="635"/>
      <c r="L297" s="636"/>
      <c r="M297" s="636"/>
    </row>
    <row r="298" spans="1:13" s="629" customFormat="1" ht="13.2">
      <c r="A298" s="1702"/>
      <c r="F298" s="635"/>
      <c r="G298" s="635"/>
      <c r="H298" s="635"/>
      <c r="I298" s="635"/>
      <c r="L298" s="636"/>
      <c r="M298" s="636"/>
    </row>
    <row r="299" spans="1:13" s="629" customFormat="1" ht="13.2">
      <c r="A299" s="1702"/>
      <c r="F299" s="635"/>
      <c r="G299" s="635"/>
      <c r="H299" s="635"/>
      <c r="I299" s="635"/>
      <c r="L299" s="636"/>
      <c r="M299" s="636"/>
    </row>
    <row r="300" spans="1:13" s="629" customFormat="1" ht="13.2">
      <c r="A300" s="1702"/>
      <c r="F300" s="635"/>
      <c r="G300" s="635"/>
      <c r="H300" s="635"/>
      <c r="I300" s="635"/>
      <c r="L300" s="636"/>
      <c r="M300" s="636"/>
    </row>
    <row r="301" spans="1:13" s="629" customFormat="1" ht="13.2">
      <c r="A301" s="1702"/>
      <c r="F301" s="635"/>
      <c r="G301" s="635"/>
      <c r="H301" s="635"/>
      <c r="I301" s="635"/>
      <c r="L301" s="636"/>
      <c r="M301" s="636"/>
    </row>
    <row r="302" spans="1:13" s="629" customFormat="1" ht="13.2">
      <c r="A302" s="1702"/>
      <c r="F302" s="635"/>
      <c r="G302" s="635"/>
      <c r="H302" s="635"/>
      <c r="I302" s="635"/>
      <c r="L302" s="636"/>
      <c r="M302" s="636"/>
    </row>
    <row r="303" spans="1:13" s="629" customFormat="1" ht="13.2">
      <c r="A303" s="1702"/>
      <c r="F303" s="635"/>
      <c r="G303" s="635"/>
      <c r="H303" s="635"/>
      <c r="I303" s="635"/>
      <c r="L303" s="636"/>
      <c r="M303" s="636"/>
    </row>
    <row r="304" spans="1:13" s="629" customFormat="1" ht="13.2">
      <c r="A304" s="1702"/>
      <c r="F304" s="635"/>
      <c r="G304" s="635"/>
      <c r="H304" s="635"/>
      <c r="I304" s="635"/>
      <c r="L304" s="636"/>
      <c r="M304" s="636"/>
    </row>
    <row r="305" spans="1:13" s="629" customFormat="1" ht="13.2">
      <c r="A305" s="1702"/>
      <c r="F305" s="635"/>
      <c r="G305" s="635"/>
      <c r="H305" s="635"/>
      <c r="I305" s="635"/>
      <c r="L305" s="636"/>
      <c r="M305" s="636"/>
    </row>
    <row r="306" spans="1:13" s="629" customFormat="1" ht="13.2">
      <c r="A306" s="1702"/>
      <c r="F306" s="635"/>
      <c r="G306" s="635"/>
      <c r="H306" s="635"/>
      <c r="I306" s="635"/>
      <c r="L306" s="636"/>
      <c r="M306" s="636"/>
    </row>
    <row r="307" spans="1:13" s="629" customFormat="1" ht="13.2">
      <c r="A307" s="1702"/>
      <c r="F307" s="635"/>
      <c r="G307" s="635"/>
      <c r="H307" s="635"/>
      <c r="I307" s="635"/>
      <c r="L307" s="636"/>
      <c r="M307" s="636"/>
    </row>
    <row r="308" spans="1:13" s="629" customFormat="1" ht="13.2">
      <c r="A308" s="1702"/>
      <c r="F308" s="635"/>
      <c r="G308" s="635"/>
      <c r="H308" s="635"/>
      <c r="I308" s="635"/>
      <c r="L308" s="636"/>
      <c r="M308" s="636"/>
    </row>
    <row r="309" spans="1:13" s="629" customFormat="1" ht="13.2">
      <c r="A309" s="1702"/>
      <c r="F309" s="635"/>
      <c r="G309" s="635"/>
      <c r="H309" s="635"/>
      <c r="I309" s="635"/>
      <c r="L309" s="636"/>
      <c r="M309" s="636"/>
    </row>
    <row r="310" spans="1:13" s="629" customFormat="1" ht="13.2">
      <c r="A310" s="1702"/>
      <c r="F310" s="635"/>
      <c r="G310" s="635"/>
      <c r="H310" s="635"/>
      <c r="I310" s="635"/>
      <c r="L310" s="636"/>
      <c r="M310" s="636"/>
    </row>
    <row r="311" spans="1:13" customFormat="1" ht="13.2">
      <c r="A311" s="1703"/>
      <c r="F311" s="1"/>
      <c r="G311" s="1"/>
      <c r="H311" s="1"/>
      <c r="I311" s="1"/>
      <c r="L311" s="328"/>
      <c r="M311" s="328"/>
    </row>
    <row r="312" spans="1:13" customFormat="1" ht="13.2">
      <c r="A312" s="1703"/>
      <c r="F312" s="1"/>
      <c r="G312" s="1"/>
      <c r="H312" s="1"/>
      <c r="I312" s="1"/>
      <c r="L312" s="328"/>
      <c r="M312" s="328"/>
    </row>
    <row r="313" spans="1:13" customFormat="1" ht="13.2">
      <c r="A313" s="1703"/>
      <c r="F313" s="1"/>
      <c r="G313" s="1"/>
      <c r="H313" s="1"/>
      <c r="I313" s="1"/>
      <c r="L313" s="328"/>
      <c r="M313" s="328"/>
    </row>
    <row r="314" spans="1:13" customFormat="1" ht="13.2">
      <c r="A314" s="1703"/>
      <c r="F314" s="1"/>
      <c r="G314" s="1"/>
      <c r="H314" s="1"/>
      <c r="I314" s="1"/>
      <c r="L314" s="328"/>
      <c r="M314" s="328"/>
    </row>
    <row r="315" spans="1:13" customFormat="1" ht="13.2">
      <c r="A315" s="1703"/>
      <c r="F315" s="1"/>
      <c r="G315" s="1"/>
      <c r="H315" s="1"/>
      <c r="I315" s="1"/>
      <c r="L315" s="328"/>
      <c r="M315" s="328"/>
    </row>
    <row r="316" spans="1:13" customFormat="1" ht="13.2">
      <c r="A316" s="1703"/>
      <c r="F316" s="1"/>
      <c r="G316" s="1"/>
      <c r="H316" s="1"/>
      <c r="I316" s="1"/>
      <c r="L316" s="328"/>
      <c r="M316" s="328"/>
    </row>
    <row r="317" spans="1:13" customFormat="1" ht="13.2">
      <c r="A317" s="1703"/>
      <c r="F317" s="1"/>
      <c r="G317" s="1"/>
      <c r="H317" s="1"/>
      <c r="I317" s="1"/>
      <c r="L317" s="328"/>
      <c r="M317" s="328"/>
    </row>
    <row r="318" spans="1:13" customFormat="1" ht="13.2">
      <c r="A318" s="1703"/>
      <c r="F318" s="1"/>
      <c r="G318" s="1"/>
      <c r="H318" s="1"/>
      <c r="I318" s="1"/>
      <c r="L318" s="328"/>
      <c r="M318" s="328"/>
    </row>
    <row r="319" spans="1:13" customFormat="1" ht="13.2">
      <c r="A319" s="1703"/>
      <c r="F319" s="1"/>
      <c r="G319" s="1"/>
      <c r="H319" s="1"/>
      <c r="I319" s="1"/>
      <c r="L319" s="328"/>
      <c r="M319" s="328"/>
    </row>
    <row r="320" spans="1:13" customFormat="1" ht="13.2">
      <c r="A320" s="1703"/>
      <c r="F320" s="1"/>
      <c r="G320" s="1"/>
      <c r="H320" s="1"/>
      <c r="I320" s="1"/>
      <c r="L320" s="328"/>
      <c r="M320" s="328"/>
    </row>
    <row r="321" spans="1:13" customFormat="1" ht="13.2">
      <c r="A321" s="1703"/>
      <c r="F321" s="1"/>
      <c r="G321" s="1"/>
      <c r="H321" s="1"/>
      <c r="I321" s="1"/>
      <c r="L321" s="328"/>
      <c r="M321" s="328"/>
    </row>
    <row r="322" spans="1:13" customFormat="1" ht="13.2">
      <c r="A322" s="1703"/>
      <c r="F322" s="1"/>
      <c r="G322" s="1"/>
      <c r="H322" s="1"/>
      <c r="I322" s="1"/>
      <c r="L322" s="328"/>
      <c r="M322" s="328"/>
    </row>
    <row r="323" spans="1:13" customFormat="1" ht="13.2">
      <c r="A323" s="1703"/>
      <c r="F323" s="1"/>
      <c r="G323" s="1"/>
      <c r="H323" s="1"/>
      <c r="I323" s="1"/>
      <c r="L323" s="328"/>
      <c r="M323" s="328"/>
    </row>
    <row r="324" spans="1:13" customFormat="1" ht="13.2">
      <c r="A324" s="1703"/>
      <c r="F324" s="1"/>
      <c r="G324" s="1"/>
      <c r="H324" s="1"/>
      <c r="I324" s="1"/>
      <c r="L324" s="328"/>
      <c r="M324" s="328"/>
    </row>
    <row r="325" spans="1:13" customFormat="1" ht="13.2">
      <c r="A325" s="1703"/>
      <c r="F325" s="1"/>
      <c r="G325" s="1"/>
      <c r="H325" s="1"/>
      <c r="I325" s="1"/>
      <c r="L325" s="328"/>
      <c r="M325" s="328"/>
    </row>
    <row r="326" spans="1:13" customFormat="1" ht="13.2">
      <c r="A326" s="1703"/>
      <c r="F326" s="1"/>
      <c r="G326" s="1"/>
      <c r="H326" s="1"/>
      <c r="I326" s="1"/>
      <c r="L326" s="328"/>
      <c r="M326" s="328"/>
    </row>
    <row r="327" spans="1:13" customFormat="1" ht="13.2">
      <c r="A327" s="1703"/>
      <c r="F327" s="1"/>
      <c r="G327" s="1"/>
      <c r="H327" s="1"/>
      <c r="I327" s="1"/>
      <c r="L327" s="328"/>
      <c r="M327" s="328"/>
    </row>
    <row r="328" spans="1:13" customFormat="1" ht="13.2">
      <c r="A328" s="1703"/>
      <c r="F328" s="1"/>
      <c r="G328" s="1"/>
      <c r="H328" s="1"/>
      <c r="I328" s="1"/>
      <c r="L328" s="328"/>
      <c r="M328" s="328"/>
    </row>
    <row r="329" spans="1:13" customFormat="1" ht="13.2">
      <c r="A329" s="1703"/>
      <c r="F329" s="1"/>
      <c r="G329" s="1"/>
      <c r="H329" s="1"/>
      <c r="I329" s="1"/>
      <c r="L329" s="328"/>
      <c r="M329" s="328"/>
    </row>
    <row r="330" spans="1:13" customFormat="1" ht="13.2">
      <c r="A330" s="1703"/>
      <c r="F330" s="1"/>
      <c r="G330" s="1"/>
      <c r="H330" s="1"/>
      <c r="I330" s="1"/>
      <c r="L330" s="328"/>
      <c r="M330" s="328"/>
    </row>
    <row r="331" spans="1:13" customFormat="1" ht="13.2">
      <c r="A331" s="1703"/>
      <c r="F331" s="1"/>
      <c r="G331" s="1"/>
      <c r="H331" s="1"/>
      <c r="I331" s="1"/>
      <c r="L331" s="328"/>
      <c r="M331" s="328"/>
    </row>
    <row r="332" spans="1:13" customFormat="1" ht="13.2">
      <c r="A332" s="1703"/>
      <c r="F332" s="1"/>
      <c r="G332" s="1"/>
      <c r="H332" s="1"/>
      <c r="I332" s="1"/>
      <c r="L332" s="328"/>
      <c r="M332" s="328"/>
    </row>
    <row r="333" spans="1:13" customFormat="1" ht="13.2">
      <c r="A333" s="1703"/>
      <c r="F333" s="1"/>
      <c r="G333" s="1"/>
      <c r="H333" s="1"/>
      <c r="I333" s="1"/>
      <c r="L333" s="328"/>
      <c r="M333" s="328"/>
    </row>
    <row r="334" spans="1:13" customFormat="1" ht="13.2">
      <c r="A334" s="1703"/>
      <c r="F334" s="1"/>
      <c r="G334" s="1"/>
      <c r="H334" s="1"/>
      <c r="I334" s="1"/>
      <c r="L334" s="328"/>
      <c r="M334" s="328"/>
    </row>
    <row r="335" spans="1:13" customFormat="1" ht="13.2">
      <c r="A335" s="1703"/>
      <c r="F335" s="1"/>
      <c r="G335" s="1"/>
      <c r="H335" s="1"/>
      <c r="I335" s="1"/>
      <c r="L335" s="328"/>
      <c r="M335" s="328"/>
    </row>
    <row r="336" spans="1:13" customFormat="1" ht="13.2">
      <c r="A336" s="1703"/>
      <c r="F336" s="1"/>
      <c r="G336" s="1"/>
      <c r="H336" s="1"/>
      <c r="I336" s="1"/>
      <c r="L336" s="328"/>
      <c r="M336" s="328"/>
    </row>
    <row r="337" spans="1:13" customFormat="1" ht="13.2">
      <c r="A337" s="1703"/>
      <c r="F337" s="1"/>
      <c r="G337" s="1"/>
      <c r="H337" s="1"/>
      <c r="I337" s="1"/>
      <c r="L337" s="328"/>
      <c r="M337" s="328"/>
    </row>
    <row r="338" spans="1:13" customFormat="1" ht="13.2">
      <c r="A338" s="1703"/>
      <c r="F338" s="1"/>
      <c r="G338" s="1"/>
      <c r="H338" s="1"/>
      <c r="I338" s="1"/>
      <c r="L338" s="328"/>
      <c r="M338" s="328"/>
    </row>
    <row r="339" spans="1:13" customFormat="1" ht="13.2">
      <c r="A339" s="1703"/>
      <c r="F339" s="1"/>
      <c r="G339" s="1"/>
      <c r="H339" s="1"/>
      <c r="I339" s="1"/>
      <c r="L339" s="328"/>
      <c r="M339" s="328"/>
    </row>
    <row r="340" spans="1:13" customFormat="1" ht="13.2">
      <c r="A340" s="1703"/>
      <c r="F340" s="1"/>
      <c r="G340" s="1"/>
      <c r="H340" s="1"/>
      <c r="I340" s="1"/>
      <c r="L340" s="328"/>
      <c r="M340" s="328"/>
    </row>
    <row r="341" spans="1:13" customFormat="1" ht="13.2">
      <c r="A341" s="1703"/>
      <c r="F341" s="1"/>
      <c r="G341" s="1"/>
      <c r="H341" s="1"/>
      <c r="I341" s="1"/>
      <c r="L341" s="328"/>
      <c r="M341" s="328"/>
    </row>
    <row r="342" spans="1:13" customFormat="1" ht="13.2">
      <c r="A342" s="1703"/>
      <c r="F342" s="1"/>
      <c r="G342" s="1"/>
      <c r="H342" s="1"/>
      <c r="I342" s="1"/>
      <c r="L342" s="328"/>
      <c r="M342" s="328"/>
    </row>
    <row r="343" spans="1:13" customFormat="1" ht="13.2">
      <c r="A343" s="1703"/>
      <c r="F343" s="1"/>
      <c r="G343" s="1"/>
      <c r="H343" s="1"/>
      <c r="I343" s="1"/>
      <c r="L343" s="328"/>
      <c r="M343" s="328"/>
    </row>
    <row r="344" spans="1:13" customFormat="1" ht="13.2">
      <c r="A344" s="1703"/>
      <c r="F344" s="1"/>
      <c r="G344" s="1"/>
      <c r="H344" s="1"/>
      <c r="I344" s="1"/>
      <c r="L344" s="328"/>
      <c r="M344" s="328"/>
    </row>
    <row r="345" spans="1:13" customFormat="1" ht="13.2">
      <c r="A345" s="1703"/>
      <c r="F345" s="1"/>
      <c r="G345" s="1"/>
      <c r="H345" s="1"/>
      <c r="I345" s="1"/>
      <c r="L345" s="328"/>
      <c r="M345" s="328"/>
    </row>
    <row r="346" spans="1:13" customFormat="1" ht="13.2">
      <c r="A346" s="1703"/>
      <c r="F346" s="1"/>
      <c r="G346" s="1"/>
      <c r="H346" s="1"/>
      <c r="I346" s="1"/>
      <c r="L346" s="328"/>
      <c r="M346" s="328"/>
    </row>
    <row r="347" spans="1:13" customFormat="1" ht="13.2">
      <c r="A347" s="1703"/>
      <c r="F347" s="1"/>
      <c r="G347" s="1"/>
      <c r="H347" s="1"/>
      <c r="I347" s="1"/>
      <c r="L347" s="328"/>
      <c r="M347" s="328"/>
    </row>
    <row r="348" spans="1:13" customFormat="1" ht="13.2">
      <c r="A348" s="1703"/>
      <c r="F348" s="1"/>
      <c r="G348" s="1"/>
      <c r="H348" s="1"/>
      <c r="I348" s="1"/>
      <c r="L348" s="328"/>
      <c r="M348" s="328"/>
    </row>
    <row r="349" spans="1:13" customFormat="1" ht="13.2">
      <c r="A349" s="1703"/>
      <c r="F349" s="1"/>
      <c r="G349" s="1"/>
      <c r="H349" s="1"/>
      <c r="I349" s="1"/>
      <c r="L349" s="328"/>
      <c r="M349" s="328"/>
    </row>
    <row r="350" spans="1:13" customFormat="1" ht="13.2">
      <c r="A350" s="1703"/>
      <c r="F350" s="1"/>
      <c r="G350" s="1"/>
      <c r="H350" s="1"/>
      <c r="I350" s="1"/>
      <c r="L350" s="328"/>
      <c r="M350" s="328"/>
    </row>
    <row r="351" spans="1:13" customFormat="1" ht="13.2">
      <c r="A351" s="1703"/>
      <c r="F351" s="1"/>
      <c r="G351" s="1"/>
      <c r="H351" s="1"/>
      <c r="I351" s="1"/>
      <c r="L351" s="328"/>
      <c r="M351" s="328"/>
    </row>
    <row r="352" spans="1:13" customFormat="1" ht="13.2">
      <c r="A352" s="1703"/>
      <c r="F352" s="1"/>
      <c r="G352" s="1"/>
      <c r="H352" s="1"/>
      <c r="I352" s="1"/>
      <c r="L352" s="328"/>
      <c r="M352" s="328"/>
    </row>
    <row r="353" spans="1:13" customFormat="1" ht="13.2">
      <c r="A353" s="1703"/>
      <c r="F353" s="1"/>
      <c r="G353" s="1"/>
      <c r="H353" s="1"/>
      <c r="I353" s="1"/>
      <c r="L353" s="328"/>
      <c r="M353" s="328"/>
    </row>
    <row r="354" spans="1:13" customFormat="1" ht="13.2">
      <c r="A354" s="1703"/>
      <c r="F354" s="1"/>
      <c r="G354" s="1"/>
      <c r="H354" s="1"/>
      <c r="I354" s="1"/>
      <c r="L354" s="328"/>
      <c r="M354" s="328"/>
    </row>
    <row r="355" spans="1:13" customFormat="1" ht="13.2">
      <c r="A355" s="1703"/>
      <c r="F355" s="1"/>
      <c r="G355" s="1"/>
      <c r="H355" s="1"/>
      <c r="I355" s="1"/>
      <c r="L355" s="328"/>
      <c r="M355" s="328"/>
    </row>
    <row r="356" spans="1:13" customFormat="1" ht="13.2">
      <c r="A356" s="1703"/>
      <c r="F356" s="1"/>
      <c r="G356" s="1"/>
      <c r="H356" s="1"/>
      <c r="I356" s="1"/>
      <c r="L356" s="328"/>
      <c r="M356" s="328"/>
    </row>
    <row r="357" spans="1:13" customFormat="1" ht="13.2">
      <c r="A357" s="1703"/>
      <c r="F357" s="1"/>
      <c r="G357" s="1"/>
      <c r="H357" s="1"/>
      <c r="I357" s="1"/>
      <c r="L357" s="328"/>
      <c r="M357" s="328"/>
    </row>
    <row r="358" spans="1:13" customFormat="1" ht="13.2">
      <c r="A358" s="1703"/>
      <c r="F358" s="1"/>
      <c r="G358" s="1"/>
      <c r="H358" s="1"/>
      <c r="I358" s="1"/>
      <c r="L358" s="328"/>
      <c r="M358" s="328"/>
    </row>
    <row r="359" spans="1:13" customFormat="1" ht="13.2">
      <c r="A359" s="1703"/>
      <c r="F359" s="1"/>
      <c r="G359" s="1"/>
      <c r="H359" s="1"/>
      <c r="I359" s="1"/>
      <c r="L359" s="328"/>
      <c r="M359" s="328"/>
    </row>
    <row r="360" spans="1:13" customFormat="1" ht="13.2">
      <c r="A360" s="1703"/>
      <c r="F360" s="1"/>
      <c r="G360" s="1"/>
      <c r="H360" s="1"/>
      <c r="I360" s="1"/>
      <c r="L360" s="328"/>
      <c r="M360" s="328"/>
    </row>
    <row r="361" spans="1:13" customFormat="1" ht="13.2">
      <c r="A361" s="1703"/>
      <c r="F361" s="1"/>
      <c r="G361" s="1"/>
      <c r="H361" s="1"/>
      <c r="I361" s="1"/>
      <c r="L361" s="328"/>
      <c r="M361" s="328"/>
    </row>
    <row r="362" spans="1:13" customFormat="1" ht="13.2">
      <c r="A362" s="1703"/>
      <c r="F362" s="1"/>
      <c r="G362" s="1"/>
      <c r="H362" s="1"/>
      <c r="I362" s="1"/>
      <c r="L362" s="328"/>
      <c r="M362" s="328"/>
    </row>
    <row r="363" spans="1:13" customFormat="1" ht="13.2">
      <c r="A363" s="1703"/>
      <c r="F363" s="1"/>
      <c r="G363" s="1"/>
      <c r="H363" s="1"/>
      <c r="I363" s="1"/>
      <c r="L363" s="328"/>
      <c r="M363" s="328"/>
    </row>
    <row r="364" spans="1:13" customFormat="1" ht="13.2">
      <c r="A364" s="1703"/>
      <c r="F364" s="1"/>
      <c r="G364" s="1"/>
      <c r="H364" s="1"/>
      <c r="I364" s="1"/>
      <c r="L364" s="328"/>
      <c r="M364" s="328"/>
    </row>
    <row r="365" spans="1:13" customFormat="1" ht="13.2">
      <c r="A365" s="1703"/>
      <c r="F365" s="1"/>
      <c r="G365" s="1"/>
      <c r="H365" s="1"/>
      <c r="I365" s="1"/>
      <c r="L365" s="328"/>
      <c r="M365" s="328"/>
    </row>
    <row r="366" spans="1:13" customFormat="1" ht="13.2">
      <c r="A366" s="1703"/>
      <c r="F366" s="1"/>
      <c r="G366" s="1"/>
      <c r="H366" s="1"/>
      <c r="I366" s="1"/>
      <c r="L366" s="328"/>
      <c r="M366" s="328"/>
    </row>
    <row r="367" spans="1:13" customFormat="1" ht="13.2">
      <c r="A367" s="1703"/>
      <c r="F367" s="1"/>
      <c r="G367" s="1"/>
      <c r="H367" s="1"/>
      <c r="I367" s="1"/>
      <c r="L367" s="328"/>
      <c r="M367" s="328"/>
    </row>
    <row r="368" spans="1:13" customFormat="1" ht="13.2">
      <c r="A368" s="1703"/>
      <c r="F368" s="1"/>
      <c r="G368" s="1"/>
      <c r="H368" s="1"/>
      <c r="I368" s="1"/>
      <c r="L368" s="328"/>
      <c r="M368" s="328"/>
    </row>
    <row r="369" spans="1:13" customFormat="1" ht="13.2">
      <c r="A369" s="1703"/>
      <c r="F369" s="1"/>
      <c r="G369" s="1"/>
      <c r="H369" s="1"/>
      <c r="I369" s="1"/>
      <c r="L369" s="328"/>
      <c r="M369" s="328"/>
    </row>
    <row r="370" spans="1:13" customFormat="1" ht="13.2">
      <c r="A370" s="1703"/>
      <c r="F370" s="1"/>
      <c r="G370" s="1"/>
      <c r="H370" s="1"/>
      <c r="I370" s="1"/>
      <c r="L370" s="328"/>
      <c r="M370" s="328"/>
    </row>
    <row r="371" spans="1:13" customFormat="1" ht="13.2">
      <c r="A371" s="1703"/>
      <c r="F371" s="1"/>
      <c r="G371" s="1"/>
      <c r="H371" s="1"/>
      <c r="I371" s="1"/>
      <c r="L371" s="328"/>
      <c r="M371" s="328"/>
    </row>
    <row r="372" spans="1:13" customFormat="1" ht="13.2">
      <c r="A372" s="1703"/>
      <c r="F372" s="1"/>
      <c r="G372" s="1"/>
      <c r="H372" s="1"/>
      <c r="I372" s="1"/>
      <c r="L372" s="328"/>
      <c r="M372" s="328"/>
    </row>
    <row r="373" spans="1:13" customFormat="1" ht="13.2">
      <c r="A373" s="1703"/>
      <c r="F373" s="1"/>
      <c r="G373" s="1"/>
      <c r="H373" s="1"/>
      <c r="I373" s="1"/>
      <c r="L373" s="328"/>
      <c r="M373" s="328"/>
    </row>
    <row r="374" spans="1:13" customFormat="1" ht="13.2">
      <c r="A374" s="1703"/>
      <c r="F374" s="1"/>
      <c r="G374" s="1"/>
      <c r="H374" s="1"/>
      <c r="I374" s="1"/>
      <c r="L374" s="328"/>
      <c r="M374" s="328"/>
    </row>
    <row r="375" spans="1:13" customFormat="1" ht="13.2">
      <c r="A375" s="1703"/>
      <c r="F375" s="1"/>
      <c r="G375" s="1"/>
      <c r="H375" s="1"/>
      <c r="I375" s="1"/>
      <c r="L375" s="328"/>
      <c r="M375" s="328"/>
    </row>
    <row r="376" spans="1:13" customFormat="1" ht="13.2">
      <c r="A376" s="1703"/>
      <c r="F376" s="1"/>
      <c r="G376" s="1"/>
      <c r="H376" s="1"/>
      <c r="I376" s="1"/>
      <c r="L376" s="328"/>
      <c r="M376" s="328"/>
    </row>
    <row r="377" spans="1:13" customFormat="1" ht="13.2">
      <c r="A377" s="1703"/>
      <c r="F377" s="1"/>
      <c r="G377" s="1"/>
      <c r="H377" s="1"/>
      <c r="I377" s="1"/>
      <c r="L377" s="328"/>
      <c r="M377" s="328"/>
    </row>
    <row r="378" spans="1:13" customFormat="1" ht="13.2">
      <c r="A378" s="1703"/>
      <c r="F378" s="1"/>
      <c r="G378" s="1"/>
      <c r="H378" s="1"/>
      <c r="I378" s="1"/>
      <c r="L378" s="328"/>
      <c r="M378" s="328"/>
    </row>
    <row r="379" spans="1:13" customFormat="1" ht="13.2">
      <c r="A379" s="1703"/>
      <c r="F379" s="1"/>
      <c r="G379" s="1"/>
      <c r="H379" s="1"/>
      <c r="I379" s="1"/>
      <c r="L379" s="328"/>
      <c r="M379" s="328"/>
    </row>
    <row r="380" spans="1:13" customFormat="1" ht="13.2">
      <c r="A380" s="1703"/>
      <c r="F380" s="1"/>
      <c r="G380" s="1"/>
      <c r="H380" s="1"/>
      <c r="I380" s="1"/>
      <c r="L380" s="328"/>
      <c r="M380" s="328"/>
    </row>
    <row r="381" spans="1:13" customFormat="1" ht="13.2">
      <c r="A381" s="1703"/>
      <c r="F381" s="1"/>
      <c r="G381" s="1"/>
      <c r="H381" s="1"/>
      <c r="I381" s="1"/>
      <c r="L381" s="328"/>
      <c r="M381" s="328"/>
    </row>
    <row r="382" spans="1:13" customFormat="1" ht="13.2">
      <c r="A382" s="1703"/>
      <c r="F382" s="1"/>
      <c r="G382" s="1"/>
      <c r="H382" s="1"/>
      <c r="I382" s="1"/>
      <c r="L382" s="328"/>
      <c r="M382" s="328"/>
    </row>
    <row r="383" spans="1:13" customFormat="1" ht="13.2">
      <c r="A383" s="1703"/>
      <c r="F383" s="1"/>
      <c r="G383" s="1"/>
      <c r="H383" s="1"/>
      <c r="I383" s="1"/>
      <c r="L383" s="328"/>
      <c r="M383" s="328"/>
    </row>
    <row r="384" spans="1:13" customFormat="1" ht="13.2">
      <c r="A384" s="1703"/>
      <c r="F384" s="1"/>
      <c r="G384" s="1"/>
      <c r="H384" s="1"/>
      <c r="I384" s="1"/>
      <c r="L384" s="328"/>
      <c r="M384" s="328"/>
    </row>
    <row r="385" spans="1:13" customFormat="1" ht="13.2">
      <c r="A385" s="1703"/>
      <c r="F385" s="1"/>
      <c r="G385" s="1"/>
      <c r="H385" s="1"/>
      <c r="I385" s="1"/>
      <c r="L385" s="328"/>
      <c r="M385" s="328"/>
    </row>
    <row r="386" spans="1:13" customFormat="1" ht="13.2">
      <c r="A386" s="1703"/>
      <c r="F386" s="1"/>
      <c r="G386" s="1"/>
      <c r="H386" s="1"/>
      <c r="I386" s="1"/>
      <c r="L386" s="328"/>
      <c r="M386" s="328"/>
    </row>
    <row r="387" spans="1:13" customFormat="1" ht="13.2">
      <c r="A387" s="1703"/>
      <c r="F387" s="1"/>
      <c r="G387" s="1"/>
      <c r="H387" s="1"/>
      <c r="I387" s="1"/>
      <c r="L387" s="328"/>
      <c r="M387" s="328"/>
    </row>
    <row r="388" spans="1:13" customFormat="1" ht="13.2">
      <c r="A388" s="1703"/>
      <c r="F388" s="1"/>
      <c r="G388" s="1"/>
      <c r="H388" s="1"/>
      <c r="I388" s="1"/>
      <c r="L388" s="328"/>
      <c r="M388" s="328"/>
    </row>
    <row r="389" spans="1:13" customFormat="1" ht="13.2">
      <c r="A389" s="1703"/>
      <c r="F389" s="1"/>
      <c r="G389" s="1"/>
      <c r="H389" s="1"/>
      <c r="I389" s="1"/>
      <c r="L389" s="328"/>
      <c r="M389" s="328"/>
    </row>
    <row r="390" spans="1:13" customFormat="1" ht="13.2">
      <c r="A390" s="1703"/>
      <c r="F390" s="1"/>
      <c r="G390" s="1"/>
      <c r="H390" s="1"/>
      <c r="I390" s="1"/>
      <c r="L390" s="328"/>
      <c r="M390" s="328"/>
    </row>
    <row r="391" spans="1:13" customFormat="1" ht="13.2">
      <c r="A391" s="1703"/>
      <c r="F391" s="1"/>
      <c r="G391" s="1"/>
      <c r="H391" s="1"/>
      <c r="I391" s="1"/>
      <c r="L391" s="328"/>
      <c r="M391" s="328"/>
    </row>
    <row r="392" spans="1:13" customFormat="1" ht="13.2">
      <c r="A392" s="1703"/>
      <c r="F392" s="1"/>
      <c r="G392" s="1"/>
      <c r="H392" s="1"/>
      <c r="I392" s="1"/>
      <c r="L392" s="328"/>
      <c r="M392" s="328"/>
    </row>
    <row r="393" spans="1:13" customFormat="1" ht="13.2">
      <c r="A393" s="1703"/>
      <c r="F393" s="1"/>
      <c r="G393" s="1"/>
      <c r="H393" s="1"/>
      <c r="I393" s="1"/>
      <c r="L393" s="328"/>
      <c r="M393" s="328"/>
    </row>
    <row r="394" spans="1:13" customFormat="1" ht="13.2">
      <c r="A394" s="1703"/>
      <c r="F394" s="1"/>
      <c r="G394" s="1"/>
      <c r="H394" s="1"/>
      <c r="I394" s="1"/>
      <c r="L394" s="328"/>
      <c r="M394" s="328"/>
    </row>
    <row r="395" spans="1:13" customFormat="1" ht="13.2">
      <c r="A395" s="1703"/>
      <c r="F395" s="1"/>
      <c r="G395" s="1"/>
      <c r="H395" s="1"/>
      <c r="I395" s="1"/>
      <c r="L395" s="328"/>
      <c r="M395" s="328"/>
    </row>
    <row r="396" spans="1:13" customFormat="1" ht="13.2">
      <c r="A396" s="1703"/>
      <c r="F396" s="1"/>
      <c r="G396" s="1"/>
      <c r="H396" s="1"/>
      <c r="I396" s="1"/>
      <c r="L396" s="328"/>
      <c r="M396" s="328"/>
    </row>
    <row r="397" spans="1:13" customFormat="1" ht="13.2">
      <c r="A397" s="1703"/>
      <c r="F397" s="1"/>
      <c r="G397" s="1"/>
      <c r="H397" s="1"/>
      <c r="I397" s="1"/>
      <c r="L397" s="328"/>
      <c r="M397" s="328"/>
    </row>
    <row r="398" spans="1:13" customFormat="1" ht="13.2">
      <c r="A398" s="1703"/>
      <c r="F398" s="1"/>
      <c r="G398" s="1"/>
      <c r="H398" s="1"/>
      <c r="I398" s="1"/>
      <c r="L398" s="328"/>
      <c r="M398" s="328"/>
    </row>
    <row r="399" spans="1:13" customFormat="1" ht="13.2">
      <c r="A399" s="1703"/>
      <c r="F399" s="1"/>
      <c r="G399" s="1"/>
      <c r="H399" s="1"/>
      <c r="I399" s="1"/>
      <c r="L399" s="328"/>
      <c r="M399" s="328"/>
    </row>
    <row r="400" spans="1:13" customFormat="1" ht="13.2">
      <c r="A400" s="1703"/>
      <c r="F400" s="1"/>
      <c r="G400" s="1"/>
      <c r="H400" s="1"/>
      <c r="I400" s="1"/>
      <c r="L400" s="328"/>
      <c r="M400" s="328"/>
    </row>
    <row r="401" spans="1:13" customFormat="1" ht="13.2">
      <c r="A401" s="1703"/>
      <c r="F401" s="1"/>
      <c r="G401" s="1"/>
      <c r="H401" s="1"/>
      <c r="I401" s="1"/>
      <c r="L401" s="328"/>
      <c r="M401" s="328"/>
    </row>
    <row r="402" spans="1:13" customFormat="1" ht="13.2">
      <c r="A402" s="1703"/>
      <c r="F402" s="1"/>
      <c r="G402" s="1"/>
      <c r="H402" s="1"/>
      <c r="I402" s="1"/>
      <c r="L402" s="328"/>
      <c r="M402" s="328"/>
    </row>
    <row r="403" spans="1:13" customFormat="1" ht="13.2">
      <c r="A403" s="1703"/>
      <c r="F403" s="1"/>
      <c r="G403" s="1"/>
      <c r="H403" s="1"/>
      <c r="I403" s="1"/>
      <c r="L403" s="328"/>
      <c r="M403" s="328"/>
    </row>
    <row r="404" spans="1:13" customFormat="1" ht="13.2">
      <c r="A404" s="1703"/>
      <c r="F404" s="1"/>
      <c r="G404" s="1"/>
      <c r="H404" s="1"/>
      <c r="I404" s="1"/>
      <c r="L404" s="328"/>
      <c r="M404" s="328"/>
    </row>
    <row r="405" spans="1:13" customFormat="1" ht="13.2">
      <c r="A405" s="1703"/>
      <c r="F405" s="1"/>
      <c r="G405" s="1"/>
      <c r="H405" s="1"/>
      <c r="I405" s="1"/>
      <c r="L405" s="328"/>
      <c r="M405" s="328"/>
    </row>
    <row r="406" spans="1:13" customFormat="1" ht="13.2">
      <c r="A406" s="1703"/>
      <c r="F406" s="1"/>
      <c r="G406" s="1"/>
      <c r="H406" s="1"/>
      <c r="I406" s="1"/>
      <c r="L406" s="328"/>
      <c r="M406" s="328"/>
    </row>
    <row r="407" spans="1:13" customFormat="1" ht="13.2">
      <c r="A407" s="1703"/>
      <c r="F407" s="1"/>
      <c r="G407" s="1"/>
      <c r="H407" s="1"/>
      <c r="I407" s="1"/>
      <c r="L407" s="328"/>
      <c r="M407" s="328"/>
    </row>
    <row r="408" spans="1:13" customFormat="1" ht="13.2">
      <c r="A408" s="1703"/>
      <c r="F408" s="1"/>
      <c r="G408" s="1"/>
      <c r="H408" s="1"/>
      <c r="I408" s="1"/>
      <c r="L408" s="328"/>
      <c r="M408" s="328"/>
    </row>
    <row r="409" spans="1:13" customFormat="1" ht="13.2">
      <c r="A409" s="1703"/>
      <c r="F409" s="1"/>
      <c r="G409" s="1"/>
      <c r="H409" s="1"/>
      <c r="I409" s="1"/>
      <c r="L409" s="328"/>
      <c r="M409" s="328"/>
    </row>
    <row r="410" spans="1:13" customFormat="1" ht="13.2">
      <c r="A410" s="1703"/>
      <c r="F410" s="1"/>
      <c r="G410" s="1"/>
      <c r="H410" s="1"/>
      <c r="I410" s="1"/>
      <c r="L410" s="328"/>
      <c r="M410" s="328"/>
    </row>
    <row r="411" spans="1:13" customFormat="1" ht="13.2">
      <c r="A411" s="1703"/>
      <c r="F411" s="1"/>
      <c r="G411" s="1"/>
      <c r="H411" s="1"/>
      <c r="I411" s="1"/>
      <c r="L411" s="328"/>
      <c r="M411" s="328"/>
    </row>
    <row r="412" spans="1:13" customFormat="1" ht="13.2">
      <c r="A412" s="1703"/>
      <c r="F412" s="1"/>
      <c r="G412" s="1"/>
      <c r="H412" s="1"/>
      <c r="I412" s="1"/>
      <c r="L412" s="328"/>
      <c r="M412" s="328"/>
    </row>
    <row r="413" spans="1:13" customFormat="1" ht="13.2">
      <c r="A413" s="1703"/>
      <c r="F413" s="1"/>
      <c r="G413" s="1"/>
      <c r="H413" s="1"/>
      <c r="I413" s="1"/>
      <c r="L413" s="328"/>
      <c r="M413" s="328"/>
    </row>
    <row r="414" spans="1:13" customFormat="1" ht="13.2">
      <c r="A414" s="1703"/>
      <c r="F414" s="1"/>
      <c r="G414" s="1"/>
      <c r="H414" s="1"/>
      <c r="I414" s="1"/>
      <c r="L414" s="328"/>
      <c r="M414" s="328"/>
    </row>
    <row r="415" spans="1:13" customFormat="1" ht="13.2">
      <c r="A415" s="1703"/>
      <c r="F415" s="1"/>
      <c r="G415" s="1"/>
      <c r="H415" s="1"/>
      <c r="I415" s="1"/>
      <c r="L415" s="328"/>
      <c r="M415" s="328"/>
    </row>
    <row r="416" spans="1:13" customFormat="1" ht="13.2">
      <c r="A416" s="1703"/>
      <c r="F416" s="1"/>
      <c r="G416" s="1"/>
      <c r="H416" s="1"/>
      <c r="I416" s="1"/>
      <c r="L416" s="328"/>
      <c r="M416" s="328"/>
    </row>
    <row r="417" spans="1:13" customFormat="1" ht="13.2">
      <c r="A417" s="1703"/>
      <c r="F417" s="1"/>
      <c r="G417" s="1"/>
      <c r="H417" s="1"/>
      <c r="I417" s="1"/>
      <c r="L417" s="328"/>
      <c r="M417" s="328"/>
    </row>
    <row r="418" spans="1:13" customFormat="1" ht="13.2">
      <c r="A418" s="1703"/>
      <c r="F418" s="1"/>
      <c r="G418" s="1"/>
      <c r="H418" s="1"/>
      <c r="I418" s="1"/>
      <c r="L418" s="328"/>
      <c r="M418" s="328"/>
    </row>
    <row r="419" spans="1:13" customFormat="1" ht="13.2">
      <c r="A419" s="1703"/>
      <c r="F419" s="1"/>
      <c r="G419" s="1"/>
      <c r="H419" s="1"/>
      <c r="I419" s="1"/>
      <c r="L419" s="328"/>
      <c r="M419" s="328"/>
    </row>
    <row r="420" spans="1:13" customFormat="1" ht="13.2">
      <c r="A420" s="1703"/>
      <c r="F420" s="1"/>
      <c r="G420" s="1"/>
      <c r="H420" s="1"/>
      <c r="I420" s="1"/>
      <c r="L420" s="328"/>
      <c r="M420" s="328"/>
    </row>
    <row r="421" spans="1:13" customFormat="1" ht="13.2">
      <c r="A421" s="1703"/>
      <c r="F421" s="1"/>
      <c r="G421" s="1"/>
      <c r="H421" s="1"/>
      <c r="I421" s="1"/>
      <c r="L421" s="328"/>
      <c r="M421" s="328"/>
    </row>
    <row r="422" spans="1:13" customFormat="1" ht="13.2">
      <c r="A422" s="1703"/>
      <c r="F422" s="1"/>
      <c r="G422" s="1"/>
      <c r="H422" s="1"/>
      <c r="I422" s="1"/>
      <c r="L422" s="328"/>
      <c r="M422" s="328"/>
    </row>
    <row r="423" spans="1:13" customFormat="1" ht="13.2">
      <c r="A423" s="1703"/>
      <c r="F423" s="1"/>
      <c r="G423" s="1"/>
      <c r="H423" s="1"/>
      <c r="I423" s="1"/>
      <c r="L423" s="328"/>
      <c r="M423" s="328"/>
    </row>
    <row r="424" spans="1:13" customFormat="1" ht="13.2">
      <c r="A424" s="1703"/>
      <c r="F424" s="1"/>
      <c r="G424" s="1"/>
      <c r="H424" s="1"/>
      <c r="I424" s="1"/>
      <c r="L424" s="328"/>
      <c r="M424" s="328"/>
    </row>
    <row r="425" spans="1:13" customFormat="1" ht="13.2">
      <c r="A425" s="1703"/>
      <c r="F425" s="1"/>
      <c r="G425" s="1"/>
      <c r="H425" s="1"/>
      <c r="I425" s="1"/>
      <c r="L425" s="328"/>
      <c r="M425" s="328"/>
    </row>
    <row r="426" spans="1:13" customFormat="1" ht="13.2">
      <c r="A426" s="1703"/>
      <c r="F426" s="1"/>
      <c r="G426" s="1"/>
      <c r="H426" s="1"/>
      <c r="I426" s="1"/>
      <c r="L426" s="328"/>
      <c r="M426" s="328"/>
    </row>
    <row r="427" spans="1:13" customFormat="1" ht="13.2">
      <c r="A427" s="1703"/>
      <c r="F427" s="1"/>
      <c r="G427" s="1"/>
      <c r="H427" s="1"/>
      <c r="I427" s="1"/>
      <c r="L427" s="328"/>
      <c r="M427" s="328"/>
    </row>
    <row r="428" spans="1:13" customFormat="1" ht="13.2">
      <c r="A428" s="1703"/>
      <c r="F428" s="1"/>
      <c r="G428" s="1"/>
      <c r="H428" s="1"/>
      <c r="I428" s="1"/>
      <c r="L428" s="328"/>
      <c r="M428" s="328"/>
    </row>
    <row r="429" spans="1:13" customFormat="1" ht="13.2">
      <c r="A429" s="1703"/>
      <c r="F429" s="1"/>
      <c r="G429" s="1"/>
      <c r="H429" s="1"/>
      <c r="I429" s="1"/>
      <c r="L429" s="328"/>
      <c r="M429" s="328"/>
    </row>
    <row r="430" spans="1:13" customFormat="1" ht="13.2">
      <c r="A430" s="1703"/>
      <c r="F430" s="1"/>
      <c r="G430" s="1"/>
      <c r="H430" s="1"/>
      <c r="I430" s="1"/>
      <c r="L430" s="328"/>
      <c r="M430" s="328"/>
    </row>
    <row r="431" spans="1:13" customFormat="1" ht="13.2">
      <c r="A431" s="1703"/>
      <c r="F431" s="1"/>
      <c r="G431" s="1"/>
      <c r="H431" s="1"/>
      <c r="I431" s="1"/>
      <c r="L431" s="328"/>
      <c r="M431" s="328"/>
    </row>
    <row r="432" spans="1:13" customFormat="1" ht="13.2">
      <c r="A432" s="1703"/>
      <c r="F432" s="1"/>
      <c r="G432" s="1"/>
      <c r="H432" s="1"/>
      <c r="I432" s="1"/>
      <c r="L432" s="328"/>
      <c r="M432" s="328"/>
    </row>
    <row r="433" spans="1:13" customFormat="1" ht="13.2">
      <c r="A433" s="1703"/>
      <c r="F433" s="1"/>
      <c r="G433" s="1"/>
      <c r="H433" s="1"/>
      <c r="I433" s="1"/>
      <c r="L433" s="328"/>
      <c r="M433" s="328"/>
    </row>
    <row r="434" spans="1:13" customFormat="1" ht="13.2">
      <c r="A434" s="1703"/>
      <c r="F434" s="1"/>
      <c r="G434" s="1"/>
      <c r="H434" s="1"/>
      <c r="I434" s="1"/>
      <c r="L434" s="328"/>
      <c r="M434" s="328"/>
    </row>
    <row r="435" spans="1:13" customFormat="1" ht="13.2">
      <c r="A435" s="1703"/>
      <c r="F435" s="1"/>
      <c r="G435" s="1"/>
      <c r="H435" s="1"/>
      <c r="I435" s="1"/>
      <c r="L435" s="328"/>
      <c r="M435" s="328"/>
    </row>
    <row r="436" spans="1:13" customFormat="1" ht="13.2">
      <c r="A436" s="1703"/>
      <c r="F436" s="1"/>
      <c r="G436" s="1"/>
      <c r="H436" s="1"/>
      <c r="I436" s="1"/>
      <c r="L436" s="328"/>
      <c r="M436" s="328"/>
    </row>
    <row r="437" spans="1:13" customFormat="1" ht="13.2">
      <c r="A437" s="1703"/>
      <c r="F437" s="1"/>
      <c r="G437" s="1"/>
      <c r="H437" s="1"/>
      <c r="I437" s="1"/>
      <c r="L437" s="328"/>
      <c r="M437" s="328"/>
    </row>
    <row r="438" spans="1:13" customFormat="1" ht="13.2">
      <c r="A438" s="1703"/>
      <c r="F438" s="1"/>
      <c r="G438" s="1"/>
      <c r="H438" s="1"/>
      <c r="I438" s="1"/>
      <c r="L438" s="328"/>
      <c r="M438" s="328"/>
    </row>
    <row r="439" spans="1:13" customFormat="1" ht="13.2">
      <c r="A439" s="1703"/>
      <c r="F439" s="1"/>
      <c r="G439" s="1"/>
      <c r="H439" s="1"/>
      <c r="I439" s="1"/>
      <c r="L439" s="328"/>
      <c r="M439" s="328"/>
    </row>
    <row r="440" spans="1:13" customFormat="1" ht="13.2">
      <c r="A440" s="1703"/>
      <c r="F440" s="1"/>
      <c r="G440" s="1"/>
      <c r="H440" s="1"/>
      <c r="I440" s="1"/>
      <c r="L440" s="328"/>
      <c r="M440" s="328"/>
    </row>
    <row r="441" spans="1:13" customFormat="1" ht="13.2">
      <c r="A441" s="1703"/>
      <c r="F441" s="1"/>
      <c r="G441" s="1"/>
      <c r="H441" s="1"/>
      <c r="I441" s="1"/>
      <c r="L441" s="328"/>
      <c r="M441" s="328"/>
    </row>
    <row r="442" spans="1:13" customFormat="1" ht="13.2">
      <c r="A442" s="1703"/>
      <c r="F442" s="1"/>
      <c r="G442" s="1"/>
      <c r="H442" s="1"/>
      <c r="I442" s="1"/>
      <c r="L442" s="328"/>
      <c r="M442" s="328"/>
    </row>
    <row r="443" spans="1:13" customFormat="1" ht="13.2">
      <c r="A443" s="1703"/>
      <c r="F443" s="1"/>
      <c r="G443" s="1"/>
      <c r="H443" s="1"/>
      <c r="I443" s="1"/>
      <c r="L443" s="328"/>
      <c r="M443" s="328"/>
    </row>
    <row r="444" spans="1:13" customFormat="1" ht="13.2">
      <c r="A444" s="1703"/>
      <c r="F444" s="1"/>
      <c r="G444" s="1"/>
      <c r="H444" s="1"/>
      <c r="I444" s="1"/>
      <c r="L444" s="328"/>
      <c r="M444" s="328"/>
    </row>
    <row r="445" spans="1:13" customFormat="1" ht="13.2">
      <c r="A445" s="1703"/>
      <c r="F445" s="1"/>
      <c r="G445" s="1"/>
      <c r="H445" s="1"/>
      <c r="I445" s="1"/>
      <c r="L445" s="328"/>
      <c r="M445" s="328"/>
    </row>
    <row r="446" spans="1:13" customFormat="1" ht="13.2">
      <c r="A446" s="1703"/>
      <c r="F446" s="1"/>
      <c r="G446" s="1"/>
      <c r="H446" s="1"/>
      <c r="I446" s="1"/>
      <c r="L446" s="328"/>
      <c r="M446" s="328"/>
    </row>
    <row r="447" spans="1:13" customFormat="1" ht="13.2">
      <c r="A447" s="1703"/>
      <c r="F447" s="1"/>
      <c r="G447" s="1"/>
      <c r="H447" s="1"/>
      <c r="I447" s="1"/>
      <c r="L447" s="328"/>
      <c r="M447" s="328"/>
    </row>
    <row r="448" spans="1:13" customFormat="1" ht="13.2">
      <c r="A448" s="1703"/>
      <c r="F448" s="1"/>
      <c r="G448" s="1"/>
      <c r="H448" s="1"/>
      <c r="I448" s="1"/>
      <c r="L448" s="328"/>
      <c r="M448" s="328"/>
    </row>
    <row r="449" spans="1:13" customFormat="1" ht="13.2">
      <c r="A449" s="1703"/>
      <c r="F449" s="1"/>
      <c r="G449" s="1"/>
      <c r="H449" s="1"/>
      <c r="I449" s="1"/>
      <c r="L449" s="328"/>
      <c r="M449" s="328"/>
    </row>
    <row r="450" spans="1:13" customFormat="1" ht="13.2">
      <c r="A450" s="1703"/>
      <c r="F450" s="1"/>
      <c r="G450" s="1"/>
      <c r="H450" s="1"/>
      <c r="I450" s="1"/>
      <c r="L450" s="328"/>
      <c r="M450" s="328"/>
    </row>
    <row r="451" spans="1:13" customFormat="1" ht="13.2">
      <c r="A451" s="1703"/>
      <c r="F451" s="1"/>
      <c r="G451" s="1"/>
      <c r="H451" s="1"/>
      <c r="I451" s="1"/>
      <c r="L451" s="328"/>
      <c r="M451" s="328"/>
    </row>
    <row r="452" spans="1:13" customFormat="1" ht="13.2">
      <c r="A452" s="1703"/>
      <c r="F452" s="1"/>
      <c r="G452" s="1"/>
      <c r="H452" s="1"/>
      <c r="I452" s="1"/>
      <c r="L452" s="328"/>
      <c r="M452" s="328"/>
    </row>
    <row r="453" spans="1:13" customFormat="1" ht="13.2">
      <c r="A453" s="1703"/>
      <c r="F453" s="1"/>
      <c r="G453" s="1"/>
      <c r="H453" s="1"/>
      <c r="I453" s="1"/>
      <c r="L453" s="328"/>
      <c r="M453" s="328"/>
    </row>
    <row r="454" spans="1:13" customFormat="1" ht="13.2">
      <c r="A454" s="1703"/>
      <c r="F454" s="1"/>
      <c r="G454" s="1"/>
      <c r="H454" s="1"/>
      <c r="I454" s="1"/>
      <c r="L454" s="328"/>
      <c r="M454" s="328"/>
    </row>
    <row r="455" spans="1:13" customFormat="1" ht="13.2">
      <c r="A455" s="1703"/>
      <c r="F455" s="1"/>
      <c r="G455" s="1"/>
      <c r="H455" s="1"/>
      <c r="I455" s="1"/>
      <c r="L455" s="328"/>
      <c r="M455" s="328"/>
    </row>
    <row r="456" spans="1:13" customFormat="1" ht="13.2">
      <c r="A456" s="1703"/>
      <c r="F456" s="1"/>
      <c r="G456" s="1"/>
      <c r="H456" s="1"/>
      <c r="I456" s="1"/>
      <c r="L456" s="328"/>
      <c r="M456" s="328"/>
    </row>
    <row r="457" spans="1:13" customFormat="1" ht="13.2">
      <c r="A457" s="1703"/>
      <c r="F457" s="1"/>
      <c r="G457" s="1"/>
      <c r="H457" s="1"/>
      <c r="I457" s="1"/>
      <c r="L457" s="328"/>
      <c r="M457" s="328"/>
    </row>
    <row r="458" spans="1:13" customFormat="1" ht="13.2">
      <c r="A458" s="1703"/>
      <c r="F458" s="1"/>
      <c r="G458" s="1"/>
      <c r="H458" s="1"/>
      <c r="I458" s="1"/>
      <c r="L458" s="328"/>
      <c r="M458" s="328"/>
    </row>
    <row r="459" spans="1:13" customFormat="1" ht="13.2">
      <c r="A459" s="1703"/>
      <c r="F459" s="1"/>
      <c r="G459" s="1"/>
      <c r="H459" s="1"/>
      <c r="I459" s="1"/>
      <c r="L459" s="328"/>
      <c r="M459" s="328"/>
    </row>
    <row r="460" spans="1:13" customFormat="1" ht="13.2">
      <c r="A460" s="1703"/>
      <c r="F460" s="1"/>
      <c r="G460" s="1"/>
      <c r="H460" s="1"/>
      <c r="I460" s="1"/>
      <c r="L460" s="328"/>
      <c r="M460" s="328"/>
    </row>
    <row r="461" spans="1:13" customFormat="1" ht="13.2">
      <c r="A461" s="1703"/>
      <c r="F461" s="1"/>
      <c r="G461" s="1"/>
      <c r="H461" s="1"/>
      <c r="I461" s="1"/>
      <c r="L461" s="328"/>
      <c r="M461" s="328"/>
    </row>
    <row r="462" spans="1:13" customFormat="1" ht="13.2">
      <c r="A462" s="1703"/>
      <c r="F462" s="1"/>
      <c r="G462" s="1"/>
      <c r="H462" s="1"/>
      <c r="I462" s="1"/>
      <c r="L462" s="328"/>
      <c r="M462" s="328"/>
    </row>
    <row r="463" spans="1:13" customFormat="1" ht="13.2">
      <c r="A463" s="1703"/>
      <c r="F463" s="1"/>
      <c r="G463" s="1"/>
      <c r="H463" s="1"/>
      <c r="I463" s="1"/>
      <c r="L463" s="328"/>
      <c r="M463" s="328"/>
    </row>
    <row r="464" spans="1:13" customFormat="1" ht="13.2">
      <c r="A464" s="1703"/>
      <c r="F464" s="1"/>
      <c r="G464" s="1"/>
      <c r="H464" s="1"/>
      <c r="I464" s="1"/>
      <c r="L464" s="328"/>
      <c r="M464" s="328"/>
    </row>
    <row r="465" spans="1:13" customFormat="1" ht="13.2">
      <c r="A465" s="1703"/>
      <c r="F465" s="1"/>
      <c r="G465" s="1"/>
      <c r="H465" s="1"/>
      <c r="I465" s="1"/>
      <c r="L465" s="328"/>
      <c r="M465" s="328"/>
    </row>
    <row r="466" spans="1:13" customFormat="1" ht="13.2">
      <c r="A466" s="1703"/>
      <c r="F466" s="1"/>
      <c r="G466" s="1"/>
      <c r="H466" s="1"/>
      <c r="I466" s="1"/>
      <c r="L466" s="328"/>
      <c r="M466" s="328"/>
    </row>
    <row r="467" spans="1:13" customFormat="1" ht="13.2">
      <c r="A467" s="1703"/>
      <c r="F467" s="1"/>
      <c r="G467" s="1"/>
      <c r="H467" s="1"/>
      <c r="I467" s="1"/>
      <c r="L467" s="328"/>
      <c r="M467" s="328"/>
    </row>
    <row r="468" spans="1:13" customFormat="1" ht="13.2">
      <c r="A468" s="1703"/>
      <c r="F468" s="1"/>
      <c r="G468" s="1"/>
      <c r="H468" s="1"/>
      <c r="I468" s="1"/>
      <c r="L468" s="328"/>
      <c r="M468" s="328"/>
    </row>
    <row r="469" spans="1:13" customFormat="1" ht="13.2">
      <c r="A469" s="1703"/>
      <c r="F469" s="1"/>
      <c r="G469" s="1"/>
      <c r="H469" s="1"/>
      <c r="I469" s="1"/>
      <c r="L469" s="328"/>
      <c r="M469" s="328"/>
    </row>
    <row r="470" spans="1:13" customFormat="1" ht="13.2">
      <c r="A470" s="1703"/>
      <c r="F470" s="1"/>
      <c r="G470" s="1"/>
      <c r="H470" s="1"/>
      <c r="I470" s="1"/>
      <c r="L470" s="328"/>
      <c r="M470" s="328"/>
    </row>
    <row r="471" spans="1:13" customFormat="1" ht="13.2">
      <c r="A471" s="1703"/>
      <c r="F471" s="1"/>
      <c r="G471" s="1"/>
      <c r="H471" s="1"/>
      <c r="I471" s="1"/>
      <c r="L471" s="328"/>
      <c r="M471" s="328"/>
    </row>
    <row r="472" spans="1:13" customFormat="1" ht="13.2">
      <c r="A472" s="1703"/>
      <c r="F472" s="1"/>
      <c r="G472" s="1"/>
      <c r="H472" s="1"/>
      <c r="I472" s="1"/>
      <c r="L472" s="328"/>
      <c r="M472" s="328"/>
    </row>
    <row r="473" spans="1:13" customFormat="1" ht="13.2">
      <c r="A473" s="1703"/>
      <c r="F473" s="1"/>
      <c r="G473" s="1"/>
      <c r="H473" s="1"/>
      <c r="I473" s="1"/>
      <c r="L473" s="328"/>
      <c r="M473" s="328"/>
    </row>
    <row r="474" spans="1:13" customFormat="1" ht="13.2">
      <c r="A474" s="1703"/>
      <c r="F474" s="1"/>
      <c r="G474" s="1"/>
      <c r="H474" s="1"/>
      <c r="I474" s="1"/>
      <c r="L474" s="328"/>
      <c r="M474" s="328"/>
    </row>
    <row r="475" spans="1:13" customFormat="1" ht="13.2">
      <c r="A475" s="1703"/>
      <c r="F475" s="1"/>
      <c r="G475" s="1"/>
      <c r="H475" s="1"/>
      <c r="I475" s="1"/>
      <c r="L475" s="328"/>
      <c r="M475" s="328"/>
    </row>
    <row r="476" spans="1:13" customFormat="1" ht="13.2">
      <c r="A476" s="1703"/>
      <c r="F476" s="1"/>
      <c r="G476" s="1"/>
      <c r="H476" s="1"/>
      <c r="I476" s="1"/>
      <c r="L476" s="328"/>
      <c r="M476" s="328"/>
    </row>
    <row r="477" spans="1:13" customFormat="1" ht="13.2">
      <c r="A477" s="1703"/>
      <c r="F477" s="1"/>
      <c r="G477" s="1"/>
      <c r="H477" s="1"/>
      <c r="I477" s="1"/>
      <c r="L477" s="328"/>
      <c r="M477" s="328"/>
    </row>
    <row r="478" spans="1:13" customFormat="1" ht="13.2">
      <c r="A478" s="1703"/>
      <c r="F478" s="1"/>
      <c r="G478" s="1"/>
      <c r="H478" s="1"/>
      <c r="I478" s="1"/>
      <c r="L478" s="328"/>
      <c r="M478" s="328"/>
    </row>
    <row r="479" spans="1:13" customFormat="1" ht="13.2">
      <c r="A479" s="1703"/>
      <c r="F479" s="1"/>
      <c r="G479" s="1"/>
      <c r="H479" s="1"/>
      <c r="I479" s="1"/>
      <c r="L479" s="328"/>
      <c r="M479" s="328"/>
    </row>
    <row r="480" spans="1:13" customFormat="1" ht="13.2">
      <c r="A480" s="1703"/>
      <c r="F480" s="1"/>
      <c r="G480" s="1"/>
      <c r="H480" s="1"/>
      <c r="I480" s="1"/>
      <c r="L480" s="328"/>
      <c r="M480" s="328"/>
    </row>
    <row r="481" spans="1:13" customFormat="1" ht="13.2">
      <c r="A481" s="1703"/>
      <c r="F481" s="1"/>
      <c r="G481" s="1"/>
      <c r="H481" s="1"/>
      <c r="I481" s="1"/>
      <c r="L481" s="328"/>
      <c r="M481" s="328"/>
    </row>
    <row r="482" spans="1:13" customFormat="1" ht="13.2">
      <c r="A482" s="1703"/>
      <c r="F482" s="1"/>
      <c r="G482" s="1"/>
      <c r="H482" s="1"/>
      <c r="I482" s="1"/>
      <c r="L482" s="328"/>
      <c r="M482" s="328"/>
    </row>
    <row r="483" spans="1:13" customFormat="1" ht="13.2">
      <c r="A483" s="1703"/>
      <c r="F483" s="1"/>
      <c r="G483" s="1"/>
      <c r="H483" s="1"/>
      <c r="I483" s="1"/>
      <c r="L483" s="328"/>
      <c r="M483" s="328"/>
    </row>
    <row r="484" spans="1:13" customFormat="1" ht="13.2">
      <c r="A484" s="1703"/>
      <c r="F484" s="1"/>
      <c r="G484" s="1"/>
      <c r="H484" s="1"/>
      <c r="I484" s="1"/>
      <c r="L484" s="328"/>
      <c r="M484" s="328"/>
    </row>
    <row r="485" spans="1:13" customFormat="1" ht="13.2">
      <c r="A485" s="1703"/>
      <c r="F485" s="1"/>
      <c r="G485" s="1"/>
      <c r="H485" s="1"/>
      <c r="I485" s="1"/>
      <c r="L485" s="328"/>
      <c r="M485" s="328"/>
    </row>
    <row r="486" spans="1:13" customFormat="1" ht="13.2">
      <c r="A486" s="1703"/>
      <c r="F486" s="1"/>
      <c r="G486" s="1"/>
      <c r="H486" s="1"/>
      <c r="I486" s="1"/>
      <c r="L486" s="328"/>
      <c r="M486" s="328"/>
    </row>
    <row r="487" spans="1:13" customFormat="1" ht="13.2">
      <c r="A487" s="1703"/>
      <c r="F487" s="1"/>
      <c r="G487" s="1"/>
      <c r="H487" s="1"/>
      <c r="I487" s="1"/>
      <c r="L487" s="328"/>
      <c r="M487" s="328"/>
    </row>
    <row r="488" spans="1:13" customFormat="1" ht="13.2">
      <c r="A488" s="1703"/>
      <c r="F488" s="1"/>
      <c r="G488" s="1"/>
      <c r="H488" s="1"/>
      <c r="I488" s="1"/>
      <c r="L488" s="328"/>
      <c r="M488" s="328"/>
    </row>
    <row r="489" spans="1:13" customFormat="1" ht="13.2">
      <c r="A489" s="1703"/>
      <c r="F489" s="1"/>
      <c r="G489" s="1"/>
      <c r="H489" s="1"/>
      <c r="I489" s="1"/>
      <c r="L489" s="328"/>
      <c r="M489" s="328"/>
    </row>
    <row r="490" spans="1:13" customFormat="1" ht="13.2">
      <c r="A490" s="1703"/>
      <c r="F490" s="1"/>
      <c r="G490" s="1"/>
      <c r="H490" s="1"/>
      <c r="I490" s="1"/>
      <c r="L490" s="328"/>
      <c r="M490" s="328"/>
    </row>
    <row r="491" spans="1:13" customFormat="1" ht="13.2">
      <c r="A491" s="1703"/>
      <c r="F491" s="1"/>
      <c r="G491" s="1"/>
      <c r="H491" s="1"/>
      <c r="I491" s="1"/>
      <c r="L491" s="328"/>
      <c r="M491" s="328"/>
    </row>
    <row r="492" spans="1:13" customFormat="1" ht="13.2">
      <c r="A492" s="1703"/>
      <c r="F492" s="1"/>
      <c r="G492" s="1"/>
      <c r="H492" s="1"/>
      <c r="I492" s="1"/>
      <c r="L492" s="328"/>
      <c r="M492" s="328"/>
    </row>
    <row r="493" spans="1:13" customFormat="1" ht="13.2">
      <c r="A493" s="1703"/>
      <c r="F493" s="1"/>
      <c r="G493" s="1"/>
      <c r="H493" s="1"/>
      <c r="I493" s="1"/>
      <c r="L493" s="328"/>
      <c r="M493" s="328"/>
    </row>
    <row r="494" spans="1:13" customFormat="1" ht="13.2">
      <c r="A494" s="1703"/>
      <c r="F494" s="1"/>
      <c r="G494" s="1"/>
      <c r="H494" s="1"/>
      <c r="I494" s="1"/>
      <c r="L494" s="328"/>
      <c r="M494" s="328"/>
    </row>
    <row r="495" spans="1:13" customFormat="1" ht="13.2">
      <c r="A495" s="1703"/>
      <c r="F495" s="1"/>
      <c r="G495" s="1"/>
      <c r="H495" s="1"/>
      <c r="I495" s="1"/>
      <c r="L495" s="328"/>
      <c r="M495" s="328"/>
    </row>
    <row r="496" spans="1:13" customFormat="1" ht="13.2">
      <c r="A496" s="1703"/>
      <c r="F496" s="1"/>
      <c r="G496" s="1"/>
      <c r="H496" s="1"/>
      <c r="I496" s="1"/>
      <c r="L496" s="328"/>
      <c r="M496" s="328"/>
    </row>
    <row r="497" spans="1:13" customFormat="1" ht="13.2">
      <c r="A497" s="1703"/>
      <c r="F497" s="1"/>
      <c r="G497" s="1"/>
      <c r="H497" s="1"/>
      <c r="I497" s="1"/>
      <c r="L497" s="328"/>
      <c r="M497" s="328"/>
    </row>
    <row r="498" spans="1:13" customFormat="1" ht="13.2">
      <c r="A498" s="1703"/>
      <c r="F498" s="1"/>
      <c r="G498" s="1"/>
      <c r="H498" s="1"/>
      <c r="I498" s="1"/>
      <c r="L498" s="328"/>
      <c r="M498" s="328"/>
    </row>
    <row r="499" spans="1:13" customFormat="1" ht="13.2">
      <c r="A499" s="1703"/>
      <c r="F499" s="1"/>
      <c r="G499" s="1"/>
      <c r="H499" s="1"/>
      <c r="I499" s="1"/>
      <c r="L499" s="328"/>
      <c r="M499" s="328"/>
    </row>
    <row r="500" spans="1:13" customFormat="1" ht="13.2">
      <c r="A500" s="1703"/>
      <c r="F500" s="1"/>
      <c r="G500" s="1"/>
      <c r="H500" s="1"/>
      <c r="I500" s="1"/>
      <c r="L500" s="328"/>
      <c r="M500" s="328"/>
    </row>
    <row r="501" spans="1:13" customFormat="1" ht="13.2">
      <c r="A501" s="1703"/>
      <c r="F501" s="1"/>
      <c r="G501" s="1"/>
      <c r="H501" s="1"/>
      <c r="I501" s="1"/>
      <c r="L501" s="328"/>
      <c r="M501" s="328"/>
    </row>
    <row r="502" spans="1:13" customFormat="1" ht="13.2">
      <c r="A502" s="1703"/>
      <c r="F502" s="1"/>
      <c r="G502" s="1"/>
      <c r="H502" s="1"/>
      <c r="I502" s="1"/>
      <c r="L502" s="328"/>
      <c r="M502" s="328"/>
    </row>
    <row r="503" spans="1:13" customFormat="1" ht="13.2">
      <c r="A503" s="1703"/>
      <c r="F503" s="1"/>
      <c r="G503" s="1"/>
      <c r="H503" s="1"/>
      <c r="I503" s="1"/>
      <c r="L503" s="328"/>
      <c r="M503" s="328"/>
    </row>
    <row r="504" spans="1:13" customFormat="1" ht="13.2">
      <c r="A504" s="1703"/>
      <c r="F504" s="1"/>
      <c r="G504" s="1"/>
      <c r="H504" s="1"/>
      <c r="I504" s="1"/>
      <c r="L504" s="328"/>
      <c r="M504" s="328"/>
    </row>
    <row r="505" spans="1:13" customFormat="1" ht="13.2">
      <c r="A505" s="1703"/>
      <c r="F505" s="1"/>
      <c r="G505" s="1"/>
      <c r="H505" s="1"/>
      <c r="I505" s="1"/>
      <c r="L505" s="328"/>
      <c r="M505" s="328"/>
    </row>
    <row r="506" spans="1:13" customFormat="1" ht="13.2">
      <c r="A506" s="1703"/>
      <c r="F506" s="1"/>
      <c r="G506" s="1"/>
      <c r="H506" s="1"/>
      <c r="I506" s="1"/>
      <c r="L506" s="328"/>
      <c r="M506" s="328"/>
    </row>
    <row r="507" spans="1:13" customFormat="1" ht="13.2">
      <c r="A507" s="1703"/>
      <c r="F507" s="1"/>
      <c r="G507" s="1"/>
      <c r="H507" s="1"/>
      <c r="I507" s="1"/>
      <c r="L507" s="328"/>
      <c r="M507" s="328"/>
    </row>
    <row r="508" spans="1:13" customFormat="1" ht="13.2">
      <c r="A508" s="1703"/>
      <c r="F508" s="1"/>
      <c r="G508" s="1"/>
      <c r="H508" s="1"/>
      <c r="I508" s="1"/>
      <c r="L508" s="328"/>
      <c r="M508" s="328"/>
    </row>
    <row r="509" spans="1:13" customFormat="1" ht="13.2">
      <c r="A509" s="1703"/>
      <c r="F509" s="1"/>
      <c r="G509" s="1"/>
      <c r="H509" s="1"/>
      <c r="I509" s="1"/>
      <c r="L509" s="328"/>
      <c r="M509" s="328"/>
    </row>
    <row r="510" spans="1:13" customFormat="1" ht="13.2">
      <c r="A510" s="1703"/>
      <c r="F510" s="1"/>
      <c r="G510" s="1"/>
      <c r="H510" s="1"/>
      <c r="I510" s="1"/>
      <c r="L510" s="328"/>
      <c r="M510" s="328"/>
    </row>
    <row r="511" spans="1:13" customFormat="1" ht="13.2">
      <c r="A511" s="1703"/>
      <c r="F511" s="1"/>
      <c r="G511" s="1"/>
      <c r="H511" s="1"/>
      <c r="I511" s="1"/>
      <c r="L511" s="328"/>
      <c r="M511" s="328"/>
    </row>
    <row r="512" spans="1:13" customFormat="1" ht="13.2">
      <c r="A512" s="1703"/>
      <c r="F512" s="1"/>
      <c r="G512" s="1"/>
      <c r="H512" s="1"/>
      <c r="I512" s="1"/>
      <c r="L512" s="328"/>
      <c r="M512" s="328"/>
    </row>
    <row r="513" spans="1:13" customFormat="1" ht="13.2">
      <c r="A513" s="1703"/>
      <c r="F513" s="1"/>
      <c r="G513" s="1"/>
      <c r="H513" s="1"/>
      <c r="I513" s="1"/>
      <c r="L513" s="328"/>
      <c r="M513" s="328"/>
    </row>
    <row r="514" spans="1:13" customFormat="1" ht="13.2">
      <c r="A514" s="1703"/>
      <c r="F514" s="1"/>
      <c r="G514" s="1"/>
      <c r="H514" s="1"/>
      <c r="I514" s="1"/>
      <c r="L514" s="328"/>
      <c r="M514" s="328"/>
    </row>
    <row r="515" spans="1:13" customFormat="1" ht="13.2">
      <c r="A515" s="1703"/>
      <c r="F515" s="1"/>
      <c r="G515" s="1"/>
      <c r="H515" s="1"/>
      <c r="I515" s="1"/>
      <c r="L515" s="328"/>
      <c r="M515" s="328"/>
    </row>
    <row r="516" spans="1:13" customFormat="1" ht="13.2">
      <c r="A516" s="1703"/>
      <c r="F516" s="1"/>
      <c r="G516" s="1"/>
      <c r="H516" s="1"/>
      <c r="I516" s="1"/>
      <c r="L516" s="328"/>
      <c r="M516" s="328"/>
    </row>
    <row r="517" spans="1:13" customFormat="1" ht="13.2">
      <c r="A517" s="1703"/>
      <c r="F517" s="1"/>
      <c r="G517" s="1"/>
      <c r="H517" s="1"/>
      <c r="I517" s="1"/>
      <c r="L517" s="328"/>
      <c r="M517" s="328"/>
    </row>
    <row r="518" spans="1:13" customFormat="1" ht="13.2">
      <c r="A518" s="1703"/>
      <c r="F518" s="1"/>
      <c r="G518" s="1"/>
      <c r="H518" s="1"/>
      <c r="I518" s="1"/>
      <c r="L518" s="328"/>
      <c r="M518" s="328"/>
    </row>
    <row r="519" spans="1:13" customFormat="1" ht="13.2">
      <c r="A519" s="1703"/>
      <c r="F519" s="1"/>
      <c r="G519" s="1"/>
      <c r="H519" s="1"/>
      <c r="I519" s="1"/>
      <c r="L519" s="328"/>
      <c r="M519" s="328"/>
    </row>
    <row r="520" spans="1:13" customFormat="1" ht="13.2">
      <c r="A520" s="1703"/>
      <c r="F520" s="1"/>
      <c r="G520" s="1"/>
      <c r="H520" s="1"/>
      <c r="I520" s="1"/>
      <c r="L520" s="328"/>
      <c r="M520" s="328"/>
    </row>
    <row r="521" spans="1:13" customFormat="1" ht="13.2">
      <c r="A521" s="1703"/>
      <c r="F521" s="1"/>
      <c r="G521" s="1"/>
      <c r="H521" s="1"/>
      <c r="I521" s="1"/>
      <c r="L521" s="328"/>
      <c r="M521" s="328"/>
    </row>
    <row r="522" spans="1:13" customFormat="1" ht="13.2">
      <c r="A522" s="1703"/>
      <c r="F522" s="1"/>
      <c r="G522" s="1"/>
      <c r="H522" s="1"/>
      <c r="I522" s="1"/>
      <c r="L522" s="328"/>
      <c r="M522" s="328"/>
    </row>
    <row r="523" spans="1:13" customFormat="1" ht="13.2">
      <c r="A523" s="1703"/>
      <c r="F523" s="1"/>
      <c r="G523" s="1"/>
      <c r="H523" s="1"/>
      <c r="I523" s="1"/>
      <c r="L523" s="328"/>
      <c r="M523" s="328"/>
    </row>
    <row r="524" spans="1:13" customFormat="1" ht="13.2">
      <c r="A524" s="1703"/>
      <c r="F524" s="1"/>
      <c r="G524" s="1"/>
      <c r="H524" s="1"/>
      <c r="I524" s="1"/>
      <c r="L524" s="328"/>
      <c r="M524" s="328"/>
    </row>
    <row r="525" spans="1:13" customFormat="1" ht="13.2">
      <c r="A525" s="1703"/>
      <c r="F525" s="1"/>
      <c r="G525" s="1"/>
      <c r="H525" s="1"/>
      <c r="I525" s="1"/>
      <c r="L525" s="328"/>
      <c r="M525" s="328"/>
    </row>
    <row r="526" spans="1:13" customFormat="1" ht="13.2">
      <c r="A526" s="1703"/>
      <c r="F526" s="1"/>
      <c r="G526" s="1"/>
      <c r="H526" s="1"/>
      <c r="I526" s="1"/>
      <c r="L526" s="328"/>
      <c r="M526" s="328"/>
    </row>
    <row r="527" spans="1:13" customFormat="1" ht="13.2">
      <c r="A527" s="1703"/>
      <c r="F527" s="1"/>
      <c r="G527" s="1"/>
      <c r="H527" s="1"/>
      <c r="I527" s="1"/>
      <c r="L527" s="328"/>
      <c r="M527" s="328"/>
    </row>
    <row r="528" spans="1:13" customFormat="1" ht="13.2">
      <c r="A528" s="1703"/>
      <c r="F528" s="1"/>
      <c r="G528" s="1"/>
      <c r="H528" s="1"/>
      <c r="I528" s="1"/>
      <c r="L528" s="328"/>
      <c r="M528" s="328"/>
    </row>
    <row r="529" spans="1:13" customFormat="1" ht="13.2">
      <c r="A529" s="1703"/>
      <c r="F529" s="1"/>
      <c r="G529" s="1"/>
      <c r="H529" s="1"/>
      <c r="I529" s="1"/>
      <c r="L529" s="328"/>
      <c r="M529" s="328"/>
    </row>
    <row r="530" spans="1:13" customFormat="1" ht="13.2">
      <c r="A530" s="1703"/>
      <c r="F530" s="1"/>
      <c r="G530" s="1"/>
      <c r="H530" s="1"/>
      <c r="I530" s="1"/>
      <c r="L530" s="328"/>
      <c r="M530" s="328"/>
    </row>
    <row r="531" spans="1:13" customFormat="1" ht="13.2">
      <c r="A531" s="1703"/>
      <c r="F531" s="1"/>
      <c r="G531" s="1"/>
      <c r="H531" s="1"/>
      <c r="I531" s="1"/>
      <c r="L531" s="328"/>
      <c r="M531" s="328"/>
    </row>
    <row r="532" spans="1:13" customFormat="1" ht="13.2">
      <c r="A532" s="1703"/>
      <c r="F532" s="1"/>
      <c r="G532" s="1"/>
      <c r="H532" s="1"/>
      <c r="I532" s="1"/>
      <c r="L532" s="328"/>
      <c r="M532" s="328"/>
    </row>
    <row r="533" spans="1:13" customFormat="1" ht="13.2">
      <c r="A533" s="1703"/>
      <c r="F533" s="1"/>
      <c r="G533" s="1"/>
      <c r="H533" s="1"/>
      <c r="I533" s="1"/>
      <c r="L533" s="328"/>
      <c r="M533" s="328"/>
    </row>
    <row r="534" spans="1:13" customFormat="1" ht="13.2">
      <c r="A534" s="1703"/>
      <c r="F534" s="1"/>
      <c r="G534" s="1"/>
      <c r="H534" s="1"/>
      <c r="I534" s="1"/>
      <c r="L534" s="328"/>
      <c r="M534" s="328"/>
    </row>
    <row r="535" spans="1:13" customFormat="1" ht="13.2">
      <c r="A535" s="1703"/>
      <c r="F535" s="1"/>
      <c r="G535" s="1"/>
      <c r="H535" s="1"/>
      <c r="I535" s="1"/>
      <c r="L535" s="328"/>
      <c r="M535" s="328"/>
    </row>
    <row r="536" spans="1:13" customFormat="1" ht="13.2">
      <c r="A536" s="1703"/>
      <c r="F536" s="1"/>
      <c r="G536" s="1"/>
      <c r="H536" s="1"/>
      <c r="I536" s="1"/>
      <c r="L536" s="328"/>
      <c r="M536" s="328"/>
    </row>
    <row r="537" spans="1:13" customFormat="1" ht="13.2">
      <c r="A537" s="1703"/>
      <c r="F537" s="1"/>
      <c r="G537" s="1"/>
      <c r="H537" s="1"/>
      <c r="I537" s="1"/>
      <c r="L537" s="328"/>
      <c r="M537" s="328"/>
    </row>
    <row r="538" spans="1:13" customFormat="1" ht="13.2">
      <c r="A538" s="1703"/>
      <c r="F538" s="1"/>
      <c r="G538" s="1"/>
      <c r="H538" s="1"/>
      <c r="I538" s="1"/>
      <c r="L538" s="328"/>
      <c r="M538" s="328"/>
    </row>
    <row r="539" spans="1:13" customFormat="1" ht="13.2">
      <c r="A539" s="1703"/>
      <c r="F539" s="1"/>
      <c r="G539" s="1"/>
      <c r="H539" s="1"/>
      <c r="I539" s="1"/>
      <c r="L539" s="328"/>
      <c r="M539" s="328"/>
    </row>
    <row r="540" spans="1:13" customFormat="1" ht="13.2">
      <c r="A540" s="1703"/>
      <c r="F540" s="1"/>
      <c r="G540" s="1"/>
      <c r="H540" s="1"/>
      <c r="I540" s="1"/>
      <c r="L540" s="328"/>
      <c r="M540" s="328"/>
    </row>
    <row r="541" spans="1:13" customFormat="1" ht="13.2">
      <c r="A541" s="1703"/>
      <c r="F541" s="1"/>
      <c r="G541" s="1"/>
      <c r="H541" s="1"/>
      <c r="I541" s="1"/>
      <c r="L541" s="328"/>
      <c r="M541" s="328"/>
    </row>
    <row r="542" spans="1:13" customFormat="1" ht="13.2">
      <c r="A542" s="1703"/>
      <c r="F542" s="1"/>
      <c r="G542" s="1"/>
      <c r="H542" s="1"/>
      <c r="I542" s="1"/>
      <c r="L542" s="328"/>
      <c r="M542" s="328"/>
    </row>
    <row r="543" spans="1:13" customFormat="1" ht="13.2">
      <c r="A543" s="1703"/>
      <c r="F543" s="1"/>
      <c r="G543" s="1"/>
      <c r="H543" s="1"/>
      <c r="I543" s="1"/>
      <c r="L543" s="328"/>
      <c r="M543" s="328"/>
    </row>
    <row r="544" spans="1:13" customFormat="1" ht="13.2">
      <c r="A544" s="1703"/>
      <c r="F544" s="1"/>
      <c r="G544" s="1"/>
      <c r="H544" s="1"/>
      <c r="I544" s="1"/>
      <c r="L544" s="328"/>
      <c r="M544" s="328"/>
    </row>
    <row r="545" spans="1:13" customFormat="1" ht="13.2">
      <c r="A545" s="1703"/>
      <c r="F545" s="1"/>
      <c r="G545" s="1"/>
      <c r="H545" s="1"/>
      <c r="I545" s="1"/>
      <c r="L545" s="328"/>
      <c r="M545" s="328"/>
    </row>
    <row r="546" spans="1:13" customFormat="1" ht="13.2">
      <c r="A546" s="1703"/>
      <c r="F546" s="1"/>
      <c r="G546" s="1"/>
      <c r="H546" s="1"/>
      <c r="I546" s="1"/>
      <c r="L546" s="328"/>
      <c r="M546" s="328"/>
    </row>
    <row r="547" spans="1:13" customFormat="1" ht="13.2">
      <c r="A547" s="1703"/>
      <c r="F547" s="1"/>
      <c r="G547" s="1"/>
      <c r="H547" s="1"/>
      <c r="I547" s="1"/>
      <c r="L547" s="328"/>
      <c r="M547" s="328"/>
    </row>
    <row r="548" spans="1:13" customFormat="1" ht="13.2">
      <c r="A548" s="1703"/>
      <c r="F548" s="1"/>
      <c r="G548" s="1"/>
      <c r="H548" s="1"/>
      <c r="I548" s="1"/>
      <c r="L548" s="328"/>
      <c r="M548" s="328"/>
    </row>
    <row r="549" spans="1:13" customFormat="1" ht="13.2">
      <c r="A549" s="1703"/>
      <c r="F549" s="1"/>
      <c r="G549" s="1"/>
      <c r="H549" s="1"/>
      <c r="I549" s="1"/>
      <c r="L549" s="328"/>
      <c r="M549" s="328"/>
    </row>
    <row r="550" spans="1:13" customFormat="1" ht="13.2">
      <c r="A550" s="1703"/>
      <c r="F550" s="1"/>
      <c r="G550" s="1"/>
      <c r="H550" s="1"/>
      <c r="I550" s="1"/>
      <c r="L550" s="328"/>
      <c r="M550" s="328"/>
    </row>
    <row r="551" spans="1:13" customFormat="1" ht="13.2">
      <c r="A551" s="1703"/>
      <c r="F551" s="1"/>
      <c r="G551" s="1"/>
      <c r="H551" s="1"/>
      <c r="I551" s="1"/>
      <c r="L551" s="328"/>
      <c r="M551" s="328"/>
    </row>
    <row r="552" spans="1:13" customFormat="1" ht="13.2">
      <c r="A552" s="1703"/>
      <c r="F552" s="1"/>
      <c r="G552" s="1"/>
      <c r="H552" s="1"/>
      <c r="I552" s="1"/>
      <c r="L552" s="328"/>
      <c r="M552" s="328"/>
    </row>
    <row r="553" spans="1:13" customFormat="1" ht="13.2">
      <c r="A553" s="1703"/>
      <c r="F553" s="1"/>
      <c r="G553" s="1"/>
      <c r="H553" s="1"/>
      <c r="I553" s="1"/>
      <c r="L553" s="328"/>
      <c r="M553" s="328"/>
    </row>
    <row r="554" spans="1:13" customFormat="1" ht="13.2">
      <c r="A554" s="1703"/>
      <c r="F554" s="1"/>
      <c r="G554" s="1"/>
      <c r="H554" s="1"/>
      <c r="I554" s="1"/>
      <c r="L554" s="328"/>
      <c r="M554" s="328"/>
    </row>
    <row r="555" spans="1:13" customFormat="1" ht="13.2">
      <c r="A555" s="1703"/>
      <c r="F555" s="1"/>
      <c r="G555" s="1"/>
      <c r="H555" s="1"/>
      <c r="I555" s="1"/>
      <c r="L555" s="328"/>
      <c r="M555" s="328"/>
    </row>
    <row r="556" spans="1:13" customFormat="1" ht="13.2">
      <c r="A556" s="1703"/>
      <c r="F556" s="1"/>
      <c r="G556" s="1"/>
      <c r="H556" s="1"/>
      <c r="I556" s="1"/>
      <c r="L556" s="328"/>
      <c r="M556" s="328"/>
    </row>
    <row r="557" spans="1:13" customFormat="1" ht="13.2">
      <c r="A557" s="1703"/>
      <c r="F557" s="1"/>
      <c r="G557" s="1"/>
      <c r="H557" s="1"/>
      <c r="I557" s="1"/>
      <c r="L557" s="328"/>
      <c r="M557" s="328"/>
    </row>
    <row r="558" spans="1:13" customFormat="1" ht="13.2">
      <c r="A558" s="1703"/>
      <c r="F558" s="1"/>
      <c r="G558" s="1"/>
      <c r="H558" s="1"/>
      <c r="I558" s="1"/>
      <c r="L558" s="328"/>
      <c r="M558" s="328"/>
    </row>
    <row r="559" spans="1:13" customFormat="1" ht="13.2">
      <c r="A559" s="1703"/>
      <c r="F559" s="1"/>
      <c r="G559" s="1"/>
      <c r="H559" s="1"/>
      <c r="I559" s="1"/>
      <c r="L559" s="328"/>
      <c r="M559" s="328"/>
    </row>
    <row r="560" spans="1:13" customFormat="1" ht="13.2">
      <c r="A560" s="1703"/>
      <c r="F560" s="1"/>
      <c r="G560" s="1"/>
      <c r="H560" s="1"/>
      <c r="I560" s="1"/>
      <c r="L560" s="328"/>
      <c r="M560" s="328"/>
    </row>
    <row r="561" spans="1:13" customFormat="1" ht="13.2">
      <c r="A561" s="1703"/>
      <c r="F561" s="1"/>
      <c r="G561" s="1"/>
      <c r="H561" s="1"/>
      <c r="I561" s="1"/>
      <c r="L561" s="328"/>
      <c r="M561" s="328"/>
    </row>
    <row r="562" spans="1:13" customFormat="1" ht="13.2">
      <c r="A562" s="1703"/>
      <c r="F562" s="1"/>
      <c r="G562" s="1"/>
      <c r="H562" s="1"/>
      <c r="I562" s="1"/>
      <c r="L562" s="328"/>
      <c r="M562" s="328"/>
    </row>
    <row r="563" spans="1:13" customFormat="1" ht="13.2">
      <c r="A563" s="1703"/>
      <c r="F563" s="1"/>
      <c r="G563" s="1"/>
      <c r="H563" s="1"/>
      <c r="I563" s="1"/>
      <c r="L563" s="328"/>
      <c r="M563" s="328"/>
    </row>
    <row r="564" spans="1:13" customFormat="1" ht="13.2">
      <c r="A564" s="1703"/>
      <c r="F564" s="1"/>
      <c r="G564" s="1"/>
      <c r="H564" s="1"/>
      <c r="I564" s="1"/>
      <c r="L564" s="328"/>
      <c r="M564" s="328"/>
    </row>
    <row r="565" spans="1:13" customFormat="1" ht="13.2">
      <c r="A565" s="1703"/>
      <c r="F565" s="1"/>
      <c r="G565" s="1"/>
      <c r="H565" s="1"/>
      <c r="I565" s="1"/>
      <c r="L565" s="328"/>
      <c r="M565" s="328"/>
    </row>
    <row r="566" spans="1:13" customFormat="1" ht="13.2">
      <c r="A566" s="1703"/>
      <c r="F566" s="1"/>
      <c r="G566" s="1"/>
      <c r="H566" s="1"/>
      <c r="I566" s="1"/>
      <c r="L566" s="328"/>
      <c r="M566" s="328"/>
    </row>
    <row r="567" spans="1:13" customFormat="1" ht="13.2">
      <c r="A567" s="1703"/>
      <c r="F567" s="1"/>
      <c r="G567" s="1"/>
      <c r="H567" s="1"/>
      <c r="I567" s="1"/>
      <c r="L567" s="328"/>
      <c r="M567" s="328"/>
    </row>
    <row r="568" spans="1:13" customFormat="1" ht="13.2">
      <c r="A568" s="1703"/>
      <c r="F568" s="1"/>
      <c r="G568" s="1"/>
      <c r="H568" s="1"/>
      <c r="I568" s="1"/>
      <c r="L568" s="328"/>
      <c r="M568" s="328"/>
    </row>
    <row r="569" spans="1:13" customFormat="1" ht="13.2">
      <c r="A569" s="1703"/>
      <c r="F569" s="1"/>
      <c r="G569" s="1"/>
      <c r="H569" s="1"/>
      <c r="I569" s="1"/>
      <c r="L569" s="328"/>
      <c r="M569" s="328"/>
    </row>
    <row r="570" spans="1:13" customFormat="1" ht="13.2">
      <c r="A570" s="1703"/>
      <c r="F570" s="1"/>
      <c r="G570" s="1"/>
      <c r="H570" s="1"/>
      <c r="I570" s="1"/>
      <c r="L570" s="328"/>
      <c r="M570" s="328"/>
    </row>
    <row r="571" spans="1:13" customFormat="1" ht="13.2">
      <c r="A571" s="1703"/>
      <c r="F571" s="1"/>
      <c r="G571" s="1"/>
      <c r="H571" s="1"/>
      <c r="I571" s="1"/>
      <c r="L571" s="328"/>
      <c r="M571" s="328"/>
    </row>
    <row r="572" spans="1:13" customFormat="1" ht="13.2">
      <c r="A572" s="1703"/>
      <c r="F572" s="1"/>
      <c r="G572" s="1"/>
      <c r="H572" s="1"/>
      <c r="I572" s="1"/>
      <c r="L572" s="328"/>
      <c r="M572" s="328"/>
    </row>
    <row r="573" spans="1:13" customFormat="1" ht="13.2">
      <c r="A573" s="1703"/>
      <c r="F573" s="1"/>
      <c r="G573" s="1"/>
      <c r="H573" s="1"/>
      <c r="I573" s="1"/>
      <c r="L573" s="328"/>
      <c r="M573" s="328"/>
    </row>
    <row r="574" spans="1:13" customFormat="1" ht="13.2">
      <c r="A574" s="1703"/>
      <c r="F574" s="1"/>
      <c r="G574" s="1"/>
      <c r="H574" s="1"/>
      <c r="I574" s="1"/>
      <c r="L574" s="328"/>
      <c r="M574" s="328"/>
    </row>
    <row r="575" spans="1:13" customFormat="1" ht="13.2">
      <c r="A575" s="1703"/>
      <c r="F575" s="1"/>
      <c r="G575" s="1"/>
      <c r="H575" s="1"/>
      <c r="I575" s="1"/>
      <c r="L575" s="328"/>
      <c r="M575" s="328"/>
    </row>
    <row r="576" spans="1:13" customFormat="1" ht="13.2">
      <c r="A576" s="1703"/>
      <c r="F576" s="1"/>
      <c r="G576" s="1"/>
      <c r="H576" s="1"/>
      <c r="I576" s="1"/>
      <c r="L576" s="328"/>
      <c r="M576" s="328"/>
    </row>
    <row r="577" spans="1:13" customFormat="1" ht="13.2">
      <c r="A577" s="1703"/>
      <c r="F577" s="1"/>
      <c r="G577" s="1"/>
      <c r="H577" s="1"/>
      <c r="I577" s="1"/>
      <c r="L577" s="328"/>
      <c r="M577" s="328"/>
    </row>
    <row r="578" spans="1:13" customFormat="1" ht="13.2">
      <c r="A578" s="1703"/>
      <c r="F578" s="1"/>
      <c r="G578" s="1"/>
      <c r="H578" s="1"/>
      <c r="I578" s="1"/>
      <c r="L578" s="328"/>
      <c r="M578" s="328"/>
    </row>
    <row r="579" spans="1:13" customFormat="1" ht="13.2">
      <c r="A579" s="1703"/>
      <c r="F579" s="1"/>
      <c r="G579" s="1"/>
      <c r="H579" s="1"/>
      <c r="I579" s="1"/>
      <c r="L579" s="328"/>
      <c r="M579" s="328"/>
    </row>
    <row r="580" spans="1:13" customFormat="1" ht="13.2">
      <c r="A580" s="1703"/>
      <c r="F580" s="1"/>
      <c r="G580" s="1"/>
      <c r="H580" s="1"/>
      <c r="I580" s="1"/>
      <c r="L580" s="328"/>
      <c r="M580" s="328"/>
    </row>
    <row r="581" spans="1:13" customFormat="1" ht="13.2">
      <c r="A581" s="1703"/>
      <c r="F581" s="1"/>
      <c r="G581" s="1"/>
      <c r="H581" s="1"/>
      <c r="I581" s="1"/>
      <c r="L581" s="328"/>
      <c r="M581" s="328"/>
    </row>
    <row r="582" spans="1:13" customFormat="1" ht="13.2">
      <c r="A582" s="1703"/>
      <c r="F582" s="1"/>
      <c r="G582" s="1"/>
      <c r="H582" s="1"/>
      <c r="I582" s="1"/>
      <c r="L582" s="328"/>
      <c r="M582" s="328"/>
    </row>
    <row r="583" spans="1:13" customFormat="1" ht="13.2">
      <c r="A583" s="1703"/>
      <c r="F583" s="1"/>
      <c r="G583" s="1"/>
      <c r="H583" s="1"/>
      <c r="I583" s="1"/>
      <c r="L583" s="328"/>
      <c r="M583" s="328"/>
    </row>
    <row r="584" spans="1:13" customFormat="1" ht="13.2">
      <c r="A584" s="1703"/>
      <c r="F584" s="1"/>
      <c r="G584" s="1"/>
      <c r="H584" s="1"/>
      <c r="I584" s="1"/>
      <c r="L584" s="328"/>
      <c r="M584" s="328"/>
    </row>
    <row r="585" spans="1:13" customFormat="1" ht="13.2">
      <c r="A585" s="1703"/>
      <c r="F585" s="1"/>
      <c r="G585" s="1"/>
      <c r="H585" s="1"/>
      <c r="I585" s="1"/>
      <c r="L585" s="328"/>
      <c r="M585" s="328"/>
    </row>
    <row r="586" spans="1:13" customFormat="1" ht="13.2">
      <c r="A586" s="1703"/>
      <c r="F586" s="1"/>
      <c r="G586" s="1"/>
      <c r="H586" s="1"/>
      <c r="I586" s="1"/>
      <c r="L586" s="328"/>
      <c r="M586" s="328"/>
    </row>
    <row r="587" spans="1:13" customFormat="1" ht="13.2">
      <c r="A587" s="1703"/>
      <c r="F587" s="1"/>
      <c r="G587" s="1"/>
      <c r="H587" s="1"/>
      <c r="I587" s="1"/>
      <c r="L587" s="328"/>
      <c r="M587" s="328"/>
    </row>
    <row r="588" spans="1:13" customFormat="1" ht="13.2">
      <c r="A588" s="1703"/>
      <c r="F588" s="1"/>
      <c r="G588" s="1"/>
      <c r="H588" s="1"/>
      <c r="I588" s="1"/>
      <c r="L588" s="328"/>
      <c r="M588" s="328"/>
    </row>
    <row r="589" spans="1:13" customFormat="1" ht="13.2">
      <c r="A589" s="1703"/>
      <c r="F589" s="1"/>
      <c r="G589" s="1"/>
      <c r="H589" s="1"/>
      <c r="I589" s="1"/>
      <c r="L589" s="328"/>
      <c r="M589" s="328"/>
    </row>
    <row r="590" spans="1:13" customFormat="1" ht="13.2">
      <c r="A590" s="1703"/>
      <c r="F590" s="1"/>
      <c r="G590" s="1"/>
      <c r="H590" s="1"/>
      <c r="I590" s="1"/>
      <c r="L590" s="328"/>
      <c r="M590" s="328"/>
    </row>
    <row r="591" spans="1:13" customFormat="1" ht="13.2">
      <c r="A591" s="1703"/>
      <c r="F591" s="1"/>
      <c r="G591" s="1"/>
      <c r="H591" s="1"/>
      <c r="I591" s="1"/>
      <c r="L591" s="328"/>
      <c r="M591" s="328"/>
    </row>
    <row r="592" spans="1:13" customFormat="1" ht="13.2">
      <c r="A592" s="1703"/>
      <c r="F592" s="1"/>
      <c r="G592" s="1"/>
      <c r="H592" s="1"/>
      <c r="I592" s="1"/>
      <c r="L592" s="328"/>
      <c r="M592" s="328"/>
    </row>
    <row r="593" spans="1:13" customFormat="1" ht="13.2">
      <c r="A593" s="1703"/>
      <c r="F593" s="1"/>
      <c r="G593" s="1"/>
      <c r="H593" s="1"/>
      <c r="I593" s="1"/>
      <c r="L593" s="328"/>
      <c r="M593" s="328"/>
    </row>
    <row r="594" spans="1:13" customFormat="1" ht="13.2">
      <c r="A594" s="1703"/>
      <c r="F594" s="1"/>
      <c r="G594" s="1"/>
      <c r="H594" s="1"/>
      <c r="I594" s="1"/>
      <c r="L594" s="328"/>
      <c r="M594" s="328"/>
    </row>
    <row r="595" spans="1:13" customFormat="1" ht="13.2">
      <c r="A595" s="1703"/>
      <c r="F595" s="1"/>
      <c r="G595" s="1"/>
      <c r="H595" s="1"/>
      <c r="I595" s="1"/>
      <c r="L595" s="328"/>
      <c r="M595" s="328"/>
    </row>
    <row r="596" spans="1:13" customFormat="1" ht="13.2">
      <c r="A596" s="1703"/>
      <c r="F596" s="1"/>
      <c r="G596" s="1"/>
      <c r="H596" s="1"/>
      <c r="I596" s="1"/>
      <c r="L596" s="328"/>
      <c r="M596" s="328"/>
    </row>
    <row r="597" spans="1:13" customFormat="1" ht="13.2">
      <c r="A597" s="1703"/>
      <c r="F597" s="1"/>
      <c r="G597" s="1"/>
      <c r="H597" s="1"/>
      <c r="I597" s="1"/>
      <c r="L597" s="328"/>
      <c r="M597" s="328"/>
    </row>
    <row r="598" spans="1:13" customFormat="1" ht="13.2">
      <c r="A598" s="1703"/>
      <c r="F598" s="1"/>
      <c r="G598" s="1"/>
      <c r="H598" s="1"/>
      <c r="I598" s="1"/>
      <c r="L598" s="328"/>
      <c r="M598" s="328"/>
    </row>
    <row r="599" spans="1:13" customFormat="1" ht="13.2">
      <c r="A599" s="1703"/>
      <c r="F599" s="1"/>
      <c r="G599" s="1"/>
      <c r="H599" s="1"/>
      <c r="I599" s="1"/>
      <c r="L599" s="328"/>
      <c r="M599" s="328"/>
    </row>
    <row r="600" spans="1:13" customFormat="1" ht="13.2">
      <c r="A600" s="1703"/>
      <c r="F600" s="1"/>
      <c r="G600" s="1"/>
      <c r="H600" s="1"/>
      <c r="I600" s="1"/>
      <c r="L600" s="328"/>
      <c r="M600" s="328"/>
    </row>
    <row r="601" spans="1:13" customFormat="1" ht="13.2">
      <c r="A601" s="1703"/>
      <c r="F601" s="1"/>
      <c r="G601" s="1"/>
      <c r="H601" s="1"/>
      <c r="I601" s="1"/>
      <c r="L601" s="328"/>
      <c r="M601" s="328"/>
    </row>
    <row r="602" spans="1:13" customFormat="1" ht="13.2">
      <c r="A602" s="1703"/>
      <c r="F602" s="1"/>
      <c r="G602" s="1"/>
      <c r="H602" s="1"/>
      <c r="I602" s="1"/>
      <c r="L602" s="328"/>
      <c r="M602" s="328"/>
    </row>
    <row r="603" spans="1:13" customFormat="1" ht="13.2">
      <c r="A603" s="1703"/>
      <c r="F603" s="1"/>
      <c r="G603" s="1"/>
      <c r="H603" s="1"/>
      <c r="I603" s="1"/>
      <c r="L603" s="328"/>
      <c r="M603" s="328"/>
    </row>
    <row r="604" spans="1:13" customFormat="1" ht="13.2">
      <c r="A604" s="1703"/>
      <c r="F604" s="1"/>
      <c r="G604" s="1"/>
      <c r="H604" s="1"/>
      <c r="I604" s="1"/>
      <c r="L604" s="328"/>
      <c r="M604" s="328"/>
    </row>
    <row r="605" spans="1:13" customFormat="1" ht="13.2">
      <c r="A605" s="1703"/>
      <c r="F605" s="1"/>
      <c r="G605" s="1"/>
      <c r="H605" s="1"/>
      <c r="I605" s="1"/>
      <c r="L605" s="328"/>
      <c r="M605" s="328"/>
    </row>
    <row r="606" spans="1:13" customFormat="1" ht="13.2">
      <c r="A606" s="1703"/>
      <c r="F606" s="1"/>
      <c r="G606" s="1"/>
      <c r="H606" s="1"/>
      <c r="I606" s="1"/>
      <c r="L606" s="328"/>
      <c r="M606" s="328"/>
    </row>
    <row r="607" spans="1:13" customFormat="1" ht="13.2">
      <c r="A607" s="1703"/>
      <c r="F607" s="1"/>
      <c r="G607" s="1"/>
      <c r="H607" s="1"/>
      <c r="I607" s="1"/>
      <c r="L607" s="328"/>
      <c r="M607" s="328"/>
    </row>
    <row r="608" spans="1:13" customFormat="1" ht="13.2">
      <c r="A608" s="1703"/>
      <c r="F608" s="1"/>
      <c r="G608" s="1"/>
      <c r="H608" s="1"/>
      <c r="I608" s="1"/>
      <c r="L608" s="328"/>
      <c r="M608" s="328"/>
    </row>
    <row r="609" spans="1:13" customFormat="1" ht="13.2">
      <c r="A609" s="1703"/>
      <c r="F609" s="1"/>
      <c r="G609" s="1"/>
      <c r="H609" s="1"/>
      <c r="I609" s="1"/>
      <c r="L609" s="328"/>
      <c r="M609" s="328"/>
    </row>
    <row r="610" spans="1:13" customFormat="1" ht="13.2">
      <c r="A610" s="1703"/>
      <c r="F610" s="1"/>
      <c r="G610" s="1"/>
      <c r="H610" s="1"/>
      <c r="I610" s="1"/>
      <c r="L610" s="328"/>
      <c r="M610" s="328"/>
    </row>
    <row r="611" spans="1:13" customFormat="1" ht="13.2">
      <c r="A611" s="1703"/>
      <c r="F611" s="1"/>
      <c r="G611" s="1"/>
      <c r="H611" s="1"/>
      <c r="I611" s="1"/>
      <c r="L611" s="328"/>
      <c r="M611" s="328"/>
    </row>
    <row r="612" spans="1:13" customFormat="1" ht="13.2">
      <c r="A612" s="1703"/>
      <c r="F612" s="1"/>
      <c r="G612" s="1"/>
      <c r="H612" s="1"/>
      <c r="I612" s="1"/>
      <c r="L612" s="328"/>
      <c r="M612" s="328"/>
    </row>
    <row r="613" spans="1:13" customFormat="1" ht="13.2">
      <c r="A613" s="1703"/>
      <c r="F613" s="1"/>
      <c r="G613" s="1"/>
      <c r="H613" s="1"/>
      <c r="I613" s="1"/>
      <c r="L613" s="328"/>
      <c r="M613" s="328"/>
    </row>
    <row r="614" spans="1:13" customFormat="1" ht="13.2">
      <c r="A614" s="1703"/>
      <c r="F614" s="1"/>
      <c r="G614" s="1"/>
      <c r="H614" s="1"/>
      <c r="I614" s="1"/>
      <c r="L614" s="328"/>
      <c r="M614" s="328"/>
    </row>
    <row r="615" spans="1:13" customFormat="1" ht="13.2">
      <c r="A615" s="1703"/>
      <c r="F615" s="1"/>
      <c r="G615" s="1"/>
      <c r="H615" s="1"/>
      <c r="I615" s="1"/>
      <c r="L615" s="328"/>
      <c r="M615" s="328"/>
    </row>
    <row r="616" spans="1:13" customFormat="1" ht="13.2">
      <c r="A616" s="1703"/>
      <c r="F616" s="1"/>
      <c r="G616" s="1"/>
      <c r="H616" s="1"/>
      <c r="I616" s="1"/>
      <c r="L616" s="328"/>
      <c r="M616" s="328"/>
    </row>
    <row r="617" spans="1:13" customFormat="1" ht="13.2">
      <c r="A617" s="1703"/>
      <c r="F617" s="1"/>
      <c r="G617" s="1"/>
      <c r="H617" s="1"/>
      <c r="I617" s="1"/>
      <c r="L617" s="328"/>
      <c r="M617" s="328"/>
    </row>
    <row r="618" spans="1:13" customFormat="1" ht="13.2">
      <c r="A618" s="1703"/>
      <c r="F618" s="1"/>
      <c r="G618" s="1"/>
      <c r="H618" s="1"/>
      <c r="I618" s="1"/>
      <c r="L618" s="328"/>
      <c r="M618" s="328"/>
    </row>
    <row r="619" spans="1:13" customFormat="1" ht="13.2">
      <c r="A619" s="1703"/>
      <c r="F619" s="1"/>
      <c r="G619" s="1"/>
      <c r="H619" s="1"/>
      <c r="I619" s="1"/>
      <c r="L619" s="328"/>
      <c r="M619" s="328"/>
    </row>
    <row r="620" spans="1:13" customFormat="1" ht="13.2">
      <c r="A620" s="1703"/>
      <c r="F620" s="1"/>
      <c r="G620" s="1"/>
      <c r="H620" s="1"/>
      <c r="I620" s="1"/>
      <c r="L620" s="328"/>
      <c r="M620" s="328"/>
    </row>
    <row r="621" spans="1:13" customFormat="1" ht="13.2">
      <c r="A621" s="1703"/>
      <c r="F621" s="1"/>
      <c r="G621" s="1"/>
      <c r="H621" s="1"/>
      <c r="I621" s="1"/>
      <c r="L621" s="328"/>
      <c r="M621" s="328"/>
    </row>
    <row r="622" spans="1:13" customFormat="1" ht="13.2">
      <c r="A622" s="1703"/>
      <c r="F622" s="1"/>
      <c r="G622" s="1"/>
      <c r="H622" s="1"/>
      <c r="I622" s="1"/>
      <c r="L622" s="328"/>
      <c r="M622" s="328"/>
    </row>
    <row r="623" spans="1:13" customFormat="1" ht="13.2">
      <c r="A623" s="1703"/>
      <c r="F623" s="1"/>
      <c r="G623" s="1"/>
      <c r="H623" s="1"/>
      <c r="I623" s="1"/>
      <c r="L623" s="328"/>
      <c r="M623" s="328"/>
    </row>
    <row r="624" spans="1:13" customFormat="1" ht="13.2">
      <c r="A624" s="1703"/>
      <c r="F624" s="1"/>
      <c r="G624" s="1"/>
      <c r="H624" s="1"/>
      <c r="I624" s="1"/>
      <c r="L624" s="328"/>
      <c r="M624" s="328"/>
    </row>
    <row r="625" spans="1:13" customFormat="1" ht="13.2">
      <c r="A625" s="1703"/>
      <c r="F625" s="1"/>
      <c r="G625" s="1"/>
      <c r="H625" s="1"/>
      <c r="I625" s="1"/>
      <c r="L625" s="328"/>
      <c r="M625" s="328"/>
    </row>
    <row r="626" spans="1:13" customFormat="1" ht="13.2">
      <c r="A626" s="1703"/>
      <c r="F626" s="1"/>
      <c r="G626" s="1"/>
      <c r="H626" s="1"/>
      <c r="I626" s="1"/>
      <c r="L626" s="328"/>
      <c r="M626" s="328"/>
    </row>
    <row r="627" spans="1:13" customFormat="1" ht="13.2">
      <c r="A627" s="1703"/>
      <c r="F627" s="1"/>
      <c r="G627" s="1"/>
      <c r="H627" s="1"/>
      <c r="I627" s="1"/>
      <c r="L627" s="328"/>
      <c r="M627" s="328"/>
    </row>
    <row r="628" spans="1:13" customFormat="1" ht="13.2">
      <c r="A628" s="1703"/>
      <c r="F628" s="1"/>
      <c r="G628" s="1"/>
      <c r="H628" s="1"/>
      <c r="I628" s="1"/>
      <c r="L628" s="328"/>
      <c r="M628" s="328"/>
    </row>
    <row r="629" spans="1:13" customFormat="1" ht="13.2">
      <c r="A629" s="1703"/>
      <c r="F629" s="1"/>
      <c r="G629" s="1"/>
      <c r="H629" s="1"/>
      <c r="I629" s="1"/>
      <c r="L629" s="328"/>
      <c r="M629" s="328"/>
    </row>
    <row r="630" spans="1:13" customFormat="1" ht="13.2">
      <c r="A630" s="1703"/>
      <c r="F630" s="1"/>
      <c r="G630" s="1"/>
      <c r="H630" s="1"/>
      <c r="I630" s="1"/>
      <c r="L630" s="328"/>
      <c r="M630" s="328"/>
    </row>
    <row r="631" spans="1:13" customFormat="1" ht="13.2">
      <c r="A631" s="1703"/>
      <c r="F631" s="1"/>
      <c r="G631" s="1"/>
      <c r="H631" s="1"/>
      <c r="I631" s="1"/>
      <c r="L631" s="328"/>
      <c r="M631" s="328"/>
    </row>
    <row r="632" spans="1:13" customFormat="1" ht="13.2">
      <c r="A632" s="1703"/>
      <c r="F632" s="1"/>
      <c r="G632" s="1"/>
      <c r="H632" s="1"/>
      <c r="I632" s="1"/>
      <c r="L632" s="328"/>
      <c r="M632" s="328"/>
    </row>
    <row r="633" spans="1:13" customFormat="1" ht="13.2">
      <c r="A633" s="1703"/>
      <c r="F633" s="1"/>
      <c r="G633" s="1"/>
      <c r="H633" s="1"/>
      <c r="I633" s="1"/>
      <c r="L633" s="328"/>
      <c r="M633" s="328"/>
    </row>
    <row r="634" spans="1:13" customFormat="1" ht="13.2">
      <c r="A634" s="1703"/>
      <c r="F634" s="1"/>
      <c r="G634" s="1"/>
      <c r="H634" s="1"/>
      <c r="I634" s="1"/>
      <c r="L634" s="328"/>
      <c r="M634" s="328"/>
    </row>
    <row r="635" spans="1:13" customFormat="1" ht="13.2">
      <c r="A635" s="1703"/>
      <c r="F635" s="1"/>
      <c r="G635" s="1"/>
      <c r="H635" s="1"/>
      <c r="I635" s="1"/>
      <c r="L635" s="328"/>
      <c r="M635" s="328"/>
    </row>
    <row r="636" spans="1:13" customFormat="1" ht="13.2">
      <c r="A636" s="1703"/>
      <c r="F636" s="1"/>
      <c r="G636" s="1"/>
      <c r="H636" s="1"/>
      <c r="I636" s="1"/>
      <c r="L636" s="328"/>
      <c r="M636" s="328"/>
    </row>
    <row r="637" spans="1:13" customFormat="1" ht="13.2">
      <c r="A637" s="1703"/>
      <c r="F637" s="1"/>
      <c r="G637" s="1"/>
      <c r="H637" s="1"/>
      <c r="I637" s="1"/>
      <c r="L637" s="328"/>
      <c r="M637" s="328"/>
    </row>
    <row r="638" spans="1:13" customFormat="1" ht="13.2">
      <c r="A638" s="1703"/>
      <c r="F638" s="1"/>
      <c r="G638" s="1"/>
      <c r="H638" s="1"/>
      <c r="I638" s="1"/>
      <c r="L638" s="328"/>
      <c r="M638" s="328"/>
    </row>
    <row r="639" spans="1:13" customFormat="1" ht="13.2">
      <c r="A639" s="1703"/>
      <c r="F639" s="1"/>
      <c r="G639" s="1"/>
      <c r="H639" s="1"/>
      <c r="I639" s="1"/>
      <c r="L639" s="328"/>
      <c r="M639" s="328"/>
    </row>
    <row r="640" spans="1:13" customFormat="1" ht="13.2">
      <c r="A640" s="1703"/>
      <c r="F640" s="1"/>
      <c r="G640" s="1"/>
      <c r="H640" s="1"/>
      <c r="I640" s="1"/>
      <c r="L640" s="328"/>
      <c r="M640" s="328"/>
    </row>
    <row r="641" spans="1:13" customFormat="1" ht="13.2">
      <c r="A641" s="1703"/>
      <c r="F641" s="1"/>
      <c r="G641" s="1"/>
      <c r="H641" s="1"/>
      <c r="I641" s="1"/>
      <c r="L641" s="328"/>
      <c r="M641" s="328"/>
    </row>
    <row r="642" spans="1:13" customFormat="1" ht="13.2">
      <c r="A642" s="1703"/>
      <c r="F642" s="1"/>
      <c r="G642" s="1"/>
      <c r="H642" s="1"/>
      <c r="I642" s="1"/>
      <c r="L642" s="328"/>
      <c r="M642" s="328"/>
    </row>
    <row r="643" spans="1:13" customFormat="1" ht="13.2">
      <c r="A643" s="1703"/>
      <c r="F643" s="1"/>
      <c r="G643" s="1"/>
      <c r="H643" s="1"/>
      <c r="I643" s="1"/>
      <c r="L643" s="328"/>
      <c r="M643" s="328"/>
    </row>
    <row r="644" spans="1:13" customFormat="1" ht="13.2">
      <c r="A644" s="1703"/>
      <c r="F644" s="1"/>
      <c r="G644" s="1"/>
      <c r="H644" s="1"/>
      <c r="I644" s="1"/>
      <c r="L644" s="328"/>
      <c r="M644" s="328"/>
    </row>
    <row r="645" spans="1:13" customFormat="1" ht="13.2">
      <c r="A645" s="1703"/>
      <c r="F645" s="1"/>
      <c r="G645" s="1"/>
      <c r="H645" s="1"/>
      <c r="I645" s="1"/>
      <c r="L645" s="328"/>
      <c r="M645" s="328"/>
    </row>
    <row r="646" spans="1:13" customFormat="1" ht="13.2">
      <c r="A646" s="1703"/>
      <c r="F646" s="1"/>
      <c r="G646" s="1"/>
      <c r="H646" s="1"/>
      <c r="I646" s="1"/>
      <c r="L646" s="328"/>
      <c r="M646" s="328"/>
    </row>
    <row r="647" spans="1:13" customFormat="1" ht="13.2">
      <c r="A647" s="1703"/>
      <c r="F647" s="1"/>
      <c r="G647" s="1"/>
      <c r="H647" s="1"/>
      <c r="I647" s="1"/>
      <c r="L647" s="328"/>
      <c r="M647" s="328"/>
    </row>
    <row r="648" spans="1:13" customFormat="1" ht="13.2">
      <c r="A648" s="1703"/>
      <c r="F648" s="1"/>
      <c r="G648" s="1"/>
      <c r="H648" s="1"/>
      <c r="I648" s="1"/>
      <c r="L648" s="328"/>
      <c r="M648" s="328"/>
    </row>
    <row r="649" spans="1:13" customFormat="1" ht="13.2">
      <c r="A649" s="1703"/>
      <c r="F649" s="1"/>
      <c r="G649" s="1"/>
      <c r="H649" s="1"/>
      <c r="I649" s="1"/>
      <c r="L649" s="328"/>
      <c r="M649" s="328"/>
    </row>
    <row r="650" spans="1:13" customFormat="1" ht="13.2">
      <c r="A650" s="1703"/>
      <c r="F650" s="1"/>
      <c r="G650" s="1"/>
      <c r="H650" s="1"/>
      <c r="I650" s="1"/>
      <c r="L650" s="328"/>
      <c r="M650" s="328"/>
    </row>
    <row r="651" spans="1:13" customFormat="1" ht="13.2">
      <c r="A651" s="1703"/>
      <c r="F651" s="1"/>
      <c r="G651" s="1"/>
      <c r="H651" s="1"/>
      <c r="I651" s="1"/>
      <c r="L651" s="328"/>
      <c r="M651" s="328"/>
    </row>
    <row r="652" spans="1:13" customFormat="1" ht="13.2">
      <c r="A652" s="1703"/>
      <c r="F652" s="1"/>
      <c r="G652" s="1"/>
      <c r="H652" s="1"/>
      <c r="I652" s="1"/>
      <c r="L652" s="328"/>
      <c r="M652" s="328"/>
    </row>
    <row r="653" spans="1:13" customFormat="1" ht="13.2">
      <c r="A653" s="1703"/>
      <c r="F653" s="1"/>
      <c r="G653" s="1"/>
      <c r="H653" s="1"/>
      <c r="I653" s="1"/>
      <c r="L653" s="328"/>
      <c r="M653" s="328"/>
    </row>
    <row r="654" spans="1:13" customFormat="1" ht="13.2">
      <c r="A654" s="1703"/>
      <c r="F654" s="1"/>
      <c r="G654" s="1"/>
      <c r="H654" s="1"/>
      <c r="I654" s="1"/>
      <c r="L654" s="328"/>
      <c r="M654" s="328"/>
    </row>
    <row r="655" spans="1:13" customFormat="1" ht="13.2">
      <c r="A655" s="1703"/>
      <c r="F655" s="1"/>
      <c r="G655" s="1"/>
      <c r="H655" s="1"/>
      <c r="I655" s="1"/>
      <c r="L655" s="328"/>
      <c r="M655" s="328"/>
    </row>
    <row r="656" spans="1:13" customFormat="1" ht="13.2">
      <c r="A656" s="1703"/>
      <c r="F656" s="1"/>
      <c r="G656" s="1"/>
      <c r="H656" s="1"/>
      <c r="I656" s="1"/>
      <c r="L656" s="328"/>
      <c r="M656" s="328"/>
    </row>
    <row r="657" spans="1:13" customFormat="1" ht="13.2">
      <c r="A657" s="1703"/>
      <c r="F657" s="1"/>
      <c r="G657" s="1"/>
      <c r="H657" s="1"/>
      <c r="I657" s="1"/>
      <c r="L657" s="328"/>
      <c r="M657" s="328"/>
    </row>
    <row r="658" spans="1:13" customFormat="1" ht="13.2">
      <c r="A658" s="1703"/>
      <c r="F658" s="1"/>
      <c r="G658" s="1"/>
      <c r="H658" s="1"/>
      <c r="I658" s="1"/>
      <c r="L658" s="328"/>
      <c r="M658" s="328"/>
    </row>
    <row r="659" spans="1:13" customFormat="1" ht="13.2">
      <c r="A659" s="1703"/>
      <c r="F659" s="1"/>
      <c r="G659" s="1"/>
      <c r="H659" s="1"/>
      <c r="I659" s="1"/>
      <c r="L659" s="328"/>
      <c r="M659" s="328"/>
    </row>
    <row r="660" spans="1:13" customFormat="1" ht="13.2">
      <c r="A660" s="1703"/>
      <c r="F660" s="1"/>
      <c r="G660" s="1"/>
      <c r="H660" s="1"/>
      <c r="I660" s="1"/>
      <c r="L660" s="328"/>
      <c r="M660" s="328"/>
    </row>
    <row r="661" spans="1:13" customFormat="1" ht="13.2">
      <c r="A661" s="1703"/>
      <c r="F661" s="1"/>
      <c r="G661" s="1"/>
      <c r="H661" s="1"/>
      <c r="I661" s="1"/>
      <c r="L661" s="328"/>
      <c r="M661" s="328"/>
    </row>
    <row r="662" spans="1:13" customFormat="1" ht="13.2">
      <c r="A662" s="1703"/>
      <c r="F662" s="1"/>
      <c r="G662" s="1"/>
      <c r="H662" s="1"/>
      <c r="I662" s="1"/>
      <c r="L662" s="328"/>
      <c r="M662" s="328"/>
    </row>
    <row r="663" spans="1:13" customFormat="1" ht="13.2">
      <c r="A663" s="1703"/>
      <c r="F663" s="1"/>
      <c r="G663" s="1"/>
      <c r="H663" s="1"/>
      <c r="I663" s="1"/>
      <c r="L663" s="328"/>
      <c r="M663" s="328"/>
    </row>
    <row r="664" spans="1:13" customFormat="1" ht="13.2">
      <c r="A664" s="1703"/>
      <c r="F664" s="1"/>
      <c r="G664" s="1"/>
      <c r="H664" s="1"/>
      <c r="I664" s="1"/>
      <c r="L664" s="328"/>
      <c r="M664" s="328"/>
    </row>
    <row r="665" spans="1:13" customFormat="1" ht="13.2">
      <c r="A665" s="1703"/>
      <c r="F665" s="1"/>
      <c r="G665" s="1"/>
      <c r="H665" s="1"/>
      <c r="I665" s="1"/>
      <c r="L665" s="328"/>
      <c r="M665" s="328"/>
    </row>
    <row r="666" spans="1:13" customFormat="1" ht="13.2">
      <c r="A666" s="1703"/>
      <c r="F666" s="1"/>
      <c r="G666" s="1"/>
      <c r="H666" s="1"/>
      <c r="I666" s="1"/>
      <c r="L666" s="328"/>
      <c r="M666" s="328"/>
    </row>
    <row r="667" spans="1:13" customFormat="1" ht="13.2">
      <c r="A667" s="1703"/>
      <c r="F667" s="1"/>
      <c r="G667" s="1"/>
      <c r="H667" s="1"/>
      <c r="I667" s="1"/>
      <c r="L667" s="328"/>
      <c r="M667" s="328"/>
    </row>
    <row r="668" spans="1:13" customFormat="1" ht="13.2">
      <c r="A668" s="1703"/>
      <c r="F668" s="1"/>
      <c r="G668" s="1"/>
      <c r="H668" s="1"/>
      <c r="I668" s="1"/>
      <c r="L668" s="328"/>
      <c r="M668" s="328"/>
    </row>
    <row r="669" spans="1:13" customFormat="1" ht="13.2">
      <c r="A669" s="1703"/>
      <c r="F669" s="1"/>
      <c r="G669" s="1"/>
      <c r="H669" s="1"/>
      <c r="I669" s="1"/>
      <c r="L669" s="328"/>
      <c r="M669" s="328"/>
    </row>
    <row r="670" spans="1:13" customFormat="1" ht="13.2">
      <c r="A670" s="1703"/>
      <c r="F670" s="1"/>
      <c r="G670" s="1"/>
      <c r="H670" s="1"/>
      <c r="I670" s="1"/>
      <c r="L670" s="328"/>
      <c r="M670" s="328"/>
    </row>
    <row r="671" spans="1:13" customFormat="1" ht="13.2">
      <c r="A671" s="1703"/>
      <c r="F671" s="1"/>
      <c r="G671" s="1"/>
      <c r="H671" s="1"/>
      <c r="I671" s="1"/>
      <c r="L671" s="328"/>
      <c r="M671" s="328"/>
    </row>
    <row r="672" spans="1:13" customFormat="1" ht="13.2">
      <c r="A672" s="1703"/>
      <c r="F672" s="1"/>
      <c r="G672" s="1"/>
      <c r="H672" s="1"/>
      <c r="I672" s="1"/>
      <c r="L672" s="328"/>
      <c r="M672" s="328"/>
    </row>
    <row r="673" spans="1:13" customFormat="1" ht="13.2">
      <c r="A673" s="1703"/>
      <c r="F673" s="1"/>
      <c r="G673" s="1"/>
      <c r="H673" s="1"/>
      <c r="I673" s="1"/>
      <c r="L673" s="328"/>
      <c r="M673" s="328"/>
    </row>
    <row r="674" spans="1:13" customFormat="1" ht="13.2">
      <c r="A674" s="1703"/>
      <c r="F674" s="1"/>
      <c r="G674" s="1"/>
      <c r="H674" s="1"/>
      <c r="I674" s="1"/>
      <c r="L674" s="328"/>
      <c r="M674" s="328"/>
    </row>
    <row r="675" spans="1:13" customFormat="1" ht="13.2">
      <c r="A675" s="1703"/>
      <c r="F675" s="1"/>
      <c r="G675" s="1"/>
      <c r="H675" s="1"/>
      <c r="I675" s="1"/>
      <c r="L675" s="328"/>
      <c r="M675" s="328"/>
    </row>
    <row r="676" spans="1:13" customFormat="1" ht="13.2">
      <c r="A676" s="1703"/>
      <c r="F676" s="1"/>
      <c r="G676" s="1"/>
      <c r="H676" s="1"/>
      <c r="I676" s="1"/>
      <c r="L676" s="328"/>
      <c r="M676" s="328"/>
    </row>
    <row r="677" spans="1:13" customFormat="1" ht="13.2">
      <c r="A677" s="1703"/>
      <c r="F677" s="1"/>
      <c r="G677" s="1"/>
      <c r="H677" s="1"/>
      <c r="I677" s="1"/>
      <c r="L677" s="328"/>
      <c r="M677" s="328"/>
    </row>
    <row r="678" spans="1:13" customFormat="1" ht="13.2">
      <c r="A678" s="1703"/>
      <c r="F678" s="1"/>
      <c r="G678" s="1"/>
      <c r="H678" s="1"/>
      <c r="I678" s="1"/>
      <c r="L678" s="328"/>
      <c r="M678" s="328"/>
    </row>
    <row r="679" spans="1:13" customFormat="1" ht="13.2">
      <c r="A679" s="1703"/>
      <c r="F679" s="1"/>
      <c r="G679" s="1"/>
      <c r="H679" s="1"/>
      <c r="I679" s="1"/>
      <c r="L679" s="328"/>
      <c r="M679" s="328"/>
    </row>
    <row r="680" spans="1:13" customFormat="1" ht="13.2">
      <c r="A680" s="1703"/>
      <c r="F680" s="1"/>
      <c r="G680" s="1"/>
      <c r="H680" s="1"/>
      <c r="I680" s="1"/>
      <c r="L680" s="328"/>
      <c r="M680" s="328"/>
    </row>
    <row r="681" spans="1:13" customFormat="1" ht="13.2">
      <c r="A681" s="1703"/>
      <c r="F681" s="1"/>
      <c r="G681" s="1"/>
      <c r="H681" s="1"/>
      <c r="I681" s="1"/>
      <c r="L681" s="328"/>
      <c r="M681" s="328"/>
    </row>
    <row r="682" spans="1:13" customFormat="1" ht="13.2">
      <c r="A682" s="1703"/>
      <c r="F682" s="1"/>
      <c r="G682" s="1"/>
      <c r="H682" s="1"/>
      <c r="I682" s="1"/>
      <c r="L682" s="328"/>
      <c r="M682" s="328"/>
    </row>
    <row r="683" spans="1:13" customFormat="1" ht="13.2">
      <c r="A683" s="1703"/>
      <c r="F683" s="1"/>
      <c r="G683" s="1"/>
      <c r="H683" s="1"/>
      <c r="I683" s="1"/>
      <c r="L683" s="328"/>
      <c r="M683" s="328"/>
    </row>
    <row r="684" spans="1:13" customFormat="1" ht="13.2">
      <c r="A684" s="1703"/>
      <c r="F684" s="1"/>
      <c r="G684" s="1"/>
      <c r="H684" s="1"/>
      <c r="I684" s="1"/>
      <c r="L684" s="328"/>
      <c r="M684" s="328"/>
    </row>
    <row r="685" spans="1:13" customFormat="1" ht="13.2">
      <c r="A685" s="1703"/>
      <c r="F685" s="1"/>
      <c r="G685" s="1"/>
      <c r="H685" s="1"/>
      <c r="I685" s="1"/>
      <c r="L685" s="328"/>
      <c r="M685" s="328"/>
    </row>
    <row r="686" spans="1:13" customFormat="1" ht="13.2">
      <c r="A686" s="1703"/>
      <c r="F686" s="1"/>
      <c r="G686" s="1"/>
      <c r="H686" s="1"/>
      <c r="I686" s="1"/>
      <c r="L686" s="328"/>
      <c r="M686" s="328"/>
    </row>
    <row r="687" spans="1:13" customFormat="1" ht="13.2">
      <c r="A687" s="1703"/>
      <c r="F687" s="1"/>
      <c r="G687" s="1"/>
      <c r="H687" s="1"/>
      <c r="I687" s="1"/>
      <c r="L687" s="328"/>
      <c r="M687" s="328"/>
    </row>
    <row r="688" spans="1:13" customFormat="1" ht="13.2">
      <c r="A688" s="1703"/>
      <c r="F688" s="1"/>
      <c r="G688" s="1"/>
      <c r="H688" s="1"/>
      <c r="I688" s="1"/>
      <c r="L688" s="328"/>
      <c r="M688" s="328"/>
    </row>
    <row r="689" spans="1:13" customFormat="1" ht="13.2">
      <c r="A689" s="1703"/>
      <c r="F689" s="1"/>
      <c r="G689" s="1"/>
      <c r="H689" s="1"/>
      <c r="I689" s="1"/>
      <c r="L689" s="328"/>
      <c r="M689" s="328"/>
    </row>
    <row r="690" spans="1:13" customFormat="1" ht="13.2">
      <c r="A690" s="1703"/>
      <c r="F690" s="1"/>
      <c r="G690" s="1"/>
      <c r="H690" s="1"/>
      <c r="I690" s="1"/>
      <c r="L690" s="328"/>
      <c r="M690" s="328"/>
    </row>
    <row r="691" spans="1:13" customFormat="1" ht="13.2">
      <c r="A691" s="1703"/>
      <c r="F691" s="1"/>
      <c r="G691" s="1"/>
      <c r="H691" s="1"/>
      <c r="I691" s="1"/>
      <c r="L691" s="328"/>
      <c r="M691" s="328"/>
    </row>
    <row r="692" spans="1:13" customFormat="1" ht="13.2">
      <c r="A692" s="1703"/>
      <c r="F692" s="1"/>
      <c r="G692" s="1"/>
      <c r="H692" s="1"/>
      <c r="I692" s="1"/>
      <c r="L692" s="328"/>
      <c r="M692" s="328"/>
    </row>
    <row r="693" spans="1:13" customFormat="1" ht="13.2">
      <c r="A693" s="1703"/>
      <c r="F693" s="1"/>
      <c r="G693" s="1"/>
      <c r="H693" s="1"/>
      <c r="I693" s="1"/>
      <c r="L693" s="328"/>
      <c r="M693" s="328"/>
    </row>
    <row r="694" spans="1:13" customFormat="1" ht="13.2">
      <c r="A694" s="1703"/>
      <c r="F694" s="1"/>
      <c r="G694" s="1"/>
      <c r="H694" s="1"/>
      <c r="I694" s="1"/>
      <c r="L694" s="328"/>
      <c r="M694" s="328"/>
    </row>
    <row r="695" spans="1:13" customFormat="1" ht="13.2">
      <c r="A695" s="1703"/>
      <c r="F695" s="1"/>
      <c r="G695" s="1"/>
      <c r="H695" s="1"/>
      <c r="I695" s="1"/>
      <c r="L695" s="328"/>
      <c r="M695" s="328"/>
    </row>
    <row r="696" spans="1:13" customFormat="1" ht="13.2">
      <c r="A696" s="1703"/>
      <c r="F696" s="1"/>
      <c r="G696" s="1"/>
      <c r="H696" s="1"/>
      <c r="I696" s="1"/>
      <c r="L696" s="328"/>
      <c r="M696" s="328"/>
    </row>
    <row r="697" spans="1:13" customFormat="1" ht="13.2">
      <c r="A697" s="1703"/>
      <c r="F697" s="1"/>
      <c r="G697" s="1"/>
      <c r="H697" s="1"/>
      <c r="I697" s="1"/>
      <c r="L697" s="328"/>
      <c r="M697" s="328"/>
    </row>
    <row r="698" spans="1:13" customFormat="1" ht="13.2">
      <c r="A698" s="1703"/>
      <c r="F698" s="1"/>
      <c r="G698" s="1"/>
      <c r="H698" s="1"/>
      <c r="I698" s="1"/>
      <c r="L698" s="328"/>
      <c r="M698" s="328"/>
    </row>
    <row r="699" spans="1:13" customFormat="1" ht="13.2">
      <c r="A699" s="1703"/>
      <c r="F699" s="1"/>
      <c r="G699" s="1"/>
      <c r="H699" s="1"/>
      <c r="I699" s="1"/>
      <c r="L699" s="328"/>
      <c r="M699" s="328"/>
    </row>
    <row r="700" spans="1:13" customFormat="1" ht="13.2">
      <c r="A700" s="1703"/>
      <c r="F700" s="1"/>
      <c r="G700" s="1"/>
      <c r="H700" s="1"/>
      <c r="I700" s="1"/>
      <c r="L700" s="328"/>
      <c r="M700" s="328"/>
    </row>
    <row r="701" spans="1:13" customFormat="1" ht="13.2">
      <c r="A701" s="1703"/>
      <c r="F701" s="1"/>
      <c r="G701" s="1"/>
      <c r="H701" s="1"/>
      <c r="I701" s="1"/>
      <c r="L701" s="328"/>
      <c r="M701" s="328"/>
    </row>
    <row r="702" spans="1:13" customFormat="1" ht="13.2">
      <c r="A702" s="1703"/>
      <c r="F702" s="1"/>
      <c r="G702" s="1"/>
      <c r="H702" s="1"/>
      <c r="I702" s="1"/>
      <c r="L702" s="328"/>
      <c r="M702" s="328"/>
    </row>
    <row r="703" spans="1:13" customFormat="1" ht="13.2">
      <c r="A703" s="1703"/>
      <c r="F703" s="1"/>
      <c r="G703" s="1"/>
      <c r="H703" s="1"/>
      <c r="I703" s="1"/>
      <c r="L703" s="328"/>
      <c r="M703" s="328"/>
    </row>
    <row r="704" spans="1:13" customFormat="1" ht="13.2">
      <c r="A704" s="1703"/>
      <c r="F704" s="1"/>
      <c r="G704" s="1"/>
      <c r="H704" s="1"/>
      <c r="I704" s="1"/>
      <c r="L704" s="328"/>
      <c r="M704" s="328"/>
    </row>
    <row r="705" spans="1:13" customFormat="1" ht="13.2">
      <c r="A705" s="1703"/>
      <c r="F705" s="1"/>
      <c r="G705" s="1"/>
      <c r="H705" s="1"/>
      <c r="I705" s="1"/>
      <c r="L705" s="328"/>
      <c r="M705" s="328"/>
    </row>
    <row r="706" spans="1:13" customFormat="1" ht="13.2">
      <c r="A706" s="1703"/>
      <c r="F706" s="1"/>
      <c r="G706" s="1"/>
      <c r="H706" s="1"/>
      <c r="I706" s="1"/>
      <c r="L706" s="328"/>
      <c r="M706" s="328"/>
    </row>
    <row r="707" spans="1:13" customFormat="1" ht="13.2">
      <c r="A707" s="1703"/>
      <c r="F707" s="1"/>
      <c r="G707" s="1"/>
      <c r="H707" s="1"/>
      <c r="I707" s="1"/>
      <c r="L707" s="328"/>
      <c r="M707" s="328"/>
    </row>
    <row r="708" spans="1:13" customFormat="1" ht="13.2">
      <c r="A708" s="1703"/>
      <c r="F708" s="1"/>
      <c r="G708" s="1"/>
      <c r="H708" s="1"/>
      <c r="I708" s="1"/>
      <c r="L708" s="328"/>
      <c r="M708" s="328"/>
    </row>
    <row r="709" spans="1:13" customFormat="1" ht="13.2">
      <c r="A709" s="1703"/>
      <c r="F709" s="1"/>
      <c r="G709" s="1"/>
      <c r="H709" s="1"/>
      <c r="I709" s="1"/>
      <c r="L709" s="328"/>
      <c r="M709" s="328"/>
    </row>
    <row r="710" spans="1:13" customFormat="1" ht="13.2">
      <c r="A710" s="1703"/>
      <c r="F710" s="1"/>
      <c r="G710" s="1"/>
      <c r="H710" s="1"/>
      <c r="I710" s="1"/>
      <c r="L710" s="328"/>
      <c r="M710" s="328"/>
    </row>
    <row r="711" spans="1:13" customFormat="1" ht="13.2">
      <c r="A711" s="1703"/>
      <c r="F711" s="1"/>
      <c r="G711" s="1"/>
      <c r="H711" s="1"/>
      <c r="I711" s="1"/>
      <c r="L711" s="328"/>
      <c r="M711" s="328"/>
    </row>
    <row r="712" spans="1:13" customFormat="1" ht="13.2">
      <c r="A712" s="1703"/>
      <c r="F712" s="1"/>
      <c r="G712" s="1"/>
      <c r="H712" s="1"/>
      <c r="I712" s="1"/>
      <c r="L712" s="328"/>
      <c r="M712" s="328"/>
    </row>
    <row r="713" spans="1:13" customFormat="1" ht="13.2">
      <c r="A713" s="1703"/>
      <c r="F713" s="1"/>
      <c r="G713" s="1"/>
      <c r="H713" s="1"/>
      <c r="I713" s="1"/>
      <c r="L713" s="328"/>
      <c r="M713" s="328"/>
    </row>
    <row r="714" spans="1:13" customFormat="1" ht="13.2">
      <c r="A714" s="1703"/>
      <c r="F714" s="1"/>
      <c r="G714" s="1"/>
      <c r="H714" s="1"/>
      <c r="I714" s="1"/>
      <c r="L714" s="328"/>
      <c r="M714" s="328"/>
    </row>
    <row r="715" spans="1:13" customFormat="1" ht="13.2">
      <c r="A715" s="1703"/>
      <c r="F715" s="1"/>
      <c r="G715" s="1"/>
      <c r="H715" s="1"/>
      <c r="I715" s="1"/>
      <c r="L715" s="328"/>
      <c r="M715" s="328"/>
    </row>
    <row r="716" spans="1:13" customFormat="1" ht="13.2">
      <c r="A716" s="1703"/>
      <c r="F716" s="1"/>
      <c r="G716" s="1"/>
      <c r="H716" s="1"/>
      <c r="I716" s="1"/>
      <c r="L716" s="328"/>
      <c r="M716" s="328"/>
    </row>
    <row r="717" spans="1:13" customFormat="1" ht="13.2">
      <c r="A717" s="1703"/>
      <c r="F717" s="1"/>
      <c r="G717" s="1"/>
      <c r="H717" s="1"/>
      <c r="I717" s="1"/>
      <c r="L717" s="328"/>
      <c r="M717" s="328"/>
    </row>
    <row r="718" spans="1:13" customFormat="1" ht="13.2">
      <c r="A718" s="1703"/>
      <c r="F718" s="1"/>
      <c r="G718" s="1"/>
      <c r="H718" s="1"/>
      <c r="I718" s="1"/>
      <c r="L718" s="328"/>
      <c r="M718" s="328"/>
    </row>
    <row r="719" spans="1:13" customFormat="1" ht="13.2">
      <c r="A719" s="1703"/>
      <c r="F719" s="1"/>
      <c r="G719" s="1"/>
      <c r="H719" s="1"/>
      <c r="I719" s="1"/>
      <c r="L719" s="328"/>
      <c r="M719" s="328"/>
    </row>
    <row r="720" spans="1:13" customFormat="1" ht="13.2">
      <c r="A720" s="1703"/>
      <c r="F720" s="1"/>
      <c r="G720" s="1"/>
      <c r="H720" s="1"/>
      <c r="I720" s="1"/>
      <c r="L720" s="328"/>
      <c r="M720" s="328"/>
    </row>
    <row r="721" spans="1:13" customFormat="1" ht="13.2">
      <c r="A721" s="1703"/>
      <c r="F721" s="1"/>
      <c r="G721" s="1"/>
      <c r="H721" s="1"/>
      <c r="I721" s="1"/>
      <c r="L721" s="328"/>
      <c r="M721" s="328"/>
    </row>
    <row r="722" spans="1:13" customFormat="1" ht="13.2">
      <c r="A722" s="1703"/>
      <c r="F722" s="1"/>
      <c r="G722" s="1"/>
      <c r="H722" s="1"/>
      <c r="I722" s="1"/>
      <c r="L722" s="328"/>
      <c r="M722" s="328"/>
    </row>
    <row r="723" spans="1:13" customFormat="1" ht="13.2">
      <c r="A723" s="1703"/>
      <c r="F723" s="1"/>
      <c r="G723" s="1"/>
      <c r="H723" s="1"/>
      <c r="I723" s="1"/>
      <c r="L723" s="328"/>
      <c r="M723" s="328"/>
    </row>
    <row r="724" spans="1:13" customFormat="1" ht="13.2">
      <c r="A724" s="1703"/>
      <c r="F724" s="1"/>
      <c r="G724" s="1"/>
      <c r="H724" s="1"/>
      <c r="I724" s="1"/>
      <c r="L724" s="328"/>
      <c r="M724" s="328"/>
    </row>
    <row r="725" spans="1:13" customFormat="1" ht="13.2">
      <c r="A725" s="1703"/>
      <c r="F725" s="1"/>
      <c r="G725" s="1"/>
      <c r="H725" s="1"/>
      <c r="I725" s="1"/>
      <c r="L725" s="328"/>
      <c r="M725" s="328"/>
    </row>
    <row r="726" spans="1:13" customFormat="1" ht="13.2">
      <c r="A726" s="1703"/>
      <c r="F726" s="1"/>
      <c r="G726" s="1"/>
      <c r="H726" s="1"/>
      <c r="I726" s="1"/>
      <c r="L726" s="328"/>
      <c r="M726" s="328"/>
    </row>
    <row r="727" spans="1:13" customFormat="1" ht="13.2">
      <c r="A727" s="1703"/>
      <c r="F727" s="1"/>
      <c r="G727" s="1"/>
      <c r="H727" s="1"/>
      <c r="I727" s="1"/>
      <c r="L727" s="328"/>
      <c r="M727" s="328"/>
    </row>
    <row r="728" spans="1:13" customFormat="1" ht="13.2">
      <c r="A728" s="1703"/>
      <c r="F728" s="1"/>
      <c r="G728" s="1"/>
      <c r="H728" s="1"/>
      <c r="I728" s="1"/>
      <c r="L728" s="328"/>
      <c r="M728" s="328"/>
    </row>
    <row r="729" spans="1:13" customFormat="1" ht="13.2">
      <c r="A729" s="1703"/>
      <c r="F729" s="1"/>
      <c r="G729" s="1"/>
      <c r="H729" s="1"/>
      <c r="I729" s="1"/>
      <c r="L729" s="328"/>
      <c r="M729" s="328"/>
    </row>
    <row r="730" spans="1:13" customFormat="1" ht="13.2">
      <c r="A730" s="1703"/>
      <c r="F730" s="1"/>
      <c r="G730" s="1"/>
      <c r="H730" s="1"/>
      <c r="I730" s="1"/>
      <c r="L730" s="328"/>
      <c r="M730" s="328"/>
    </row>
    <row r="731" spans="1:13" customFormat="1" ht="13.2">
      <c r="A731" s="1703"/>
      <c r="F731" s="1"/>
      <c r="G731" s="1"/>
      <c r="H731" s="1"/>
      <c r="I731" s="1"/>
      <c r="L731" s="328"/>
      <c r="M731" s="328"/>
    </row>
    <row r="732" spans="1:13" customFormat="1" ht="13.2">
      <c r="A732" s="1703"/>
      <c r="F732" s="1"/>
      <c r="G732" s="1"/>
      <c r="H732" s="1"/>
      <c r="I732" s="1"/>
      <c r="L732" s="328"/>
      <c r="M732" s="328"/>
    </row>
    <row r="733" spans="1:13" customFormat="1" ht="13.2">
      <c r="A733" s="1703"/>
      <c r="F733" s="1"/>
      <c r="G733" s="1"/>
      <c r="H733" s="1"/>
      <c r="I733" s="1"/>
      <c r="L733" s="328"/>
      <c r="M733" s="328"/>
    </row>
    <row r="734" spans="1:13" customFormat="1" ht="13.2">
      <c r="A734" s="1703"/>
      <c r="F734" s="1"/>
      <c r="G734" s="1"/>
      <c r="H734" s="1"/>
      <c r="I734" s="1"/>
      <c r="L734" s="328"/>
      <c r="M734" s="328"/>
    </row>
    <row r="735" spans="1:13" customFormat="1" ht="13.2">
      <c r="A735" s="1703"/>
      <c r="F735" s="1"/>
      <c r="G735" s="1"/>
      <c r="H735" s="1"/>
      <c r="I735" s="1"/>
      <c r="L735" s="328"/>
      <c r="M735" s="328"/>
    </row>
    <row r="736" spans="1:13" customFormat="1" ht="13.2">
      <c r="A736" s="1703"/>
      <c r="F736" s="1"/>
      <c r="G736" s="1"/>
      <c r="H736" s="1"/>
      <c r="I736" s="1"/>
      <c r="L736" s="328"/>
      <c r="M736" s="328"/>
    </row>
    <row r="737" spans="1:13" customFormat="1" ht="13.2">
      <c r="A737" s="1703"/>
      <c r="F737" s="1"/>
      <c r="G737" s="1"/>
      <c r="H737" s="1"/>
      <c r="I737" s="1"/>
      <c r="L737" s="328"/>
      <c r="M737" s="328"/>
    </row>
    <row r="738" spans="1:13" customFormat="1" ht="13.2">
      <c r="A738" s="1703"/>
      <c r="F738" s="1"/>
      <c r="G738" s="1"/>
      <c r="H738" s="1"/>
      <c r="I738" s="1"/>
      <c r="L738" s="328"/>
      <c r="M738" s="328"/>
    </row>
    <row r="739" spans="1:13" customFormat="1" ht="13.2">
      <c r="A739" s="1703"/>
      <c r="F739" s="1"/>
      <c r="G739" s="1"/>
      <c r="H739" s="1"/>
      <c r="I739" s="1"/>
      <c r="L739" s="328"/>
      <c r="M739" s="328"/>
    </row>
    <row r="740" spans="1:13" customFormat="1" ht="13.2">
      <c r="A740" s="1703"/>
      <c r="F740" s="1"/>
      <c r="G740" s="1"/>
      <c r="H740" s="1"/>
      <c r="I740" s="1"/>
      <c r="L740" s="328"/>
      <c r="M740" s="328"/>
    </row>
    <row r="741" spans="1:13" customFormat="1" ht="13.2">
      <c r="A741" s="1703"/>
      <c r="F741" s="1"/>
      <c r="G741" s="1"/>
      <c r="H741" s="1"/>
      <c r="I741" s="1"/>
      <c r="L741" s="328"/>
      <c r="M741" s="328"/>
    </row>
    <row r="742" spans="1:13" customFormat="1" ht="13.2">
      <c r="A742" s="1703"/>
      <c r="F742" s="1"/>
      <c r="G742" s="1"/>
      <c r="H742" s="1"/>
      <c r="I742" s="1"/>
      <c r="L742" s="328"/>
      <c r="M742" s="328"/>
    </row>
    <row r="743" spans="1:13" customFormat="1" ht="13.2">
      <c r="A743" s="1703"/>
      <c r="F743" s="1"/>
      <c r="G743" s="1"/>
      <c r="H743" s="1"/>
      <c r="I743" s="1"/>
      <c r="L743" s="328"/>
      <c r="M743" s="328"/>
    </row>
    <row r="744" spans="1:13" customFormat="1" ht="13.2">
      <c r="A744" s="1703"/>
      <c r="F744" s="1"/>
      <c r="G744" s="1"/>
      <c r="H744" s="1"/>
      <c r="I744" s="1"/>
      <c r="L744" s="328"/>
      <c r="M744" s="328"/>
    </row>
    <row r="745" spans="1:13" customFormat="1" ht="13.2">
      <c r="A745" s="1703"/>
      <c r="F745" s="1"/>
      <c r="G745" s="1"/>
      <c r="H745" s="1"/>
      <c r="I745" s="1"/>
      <c r="L745" s="328"/>
      <c r="M745" s="328"/>
    </row>
    <row r="746" spans="1:13" customFormat="1" ht="13.2">
      <c r="A746" s="1703"/>
      <c r="F746" s="1"/>
      <c r="G746" s="1"/>
      <c r="H746" s="1"/>
      <c r="I746" s="1"/>
      <c r="L746" s="328"/>
      <c r="M746" s="328"/>
    </row>
    <row r="747" spans="1:13" customFormat="1" ht="13.2">
      <c r="A747" s="1703"/>
      <c r="F747" s="1"/>
      <c r="G747" s="1"/>
      <c r="H747" s="1"/>
      <c r="I747" s="1"/>
      <c r="L747" s="328"/>
      <c r="M747" s="328"/>
    </row>
    <row r="748" spans="1:13" customFormat="1" ht="13.2">
      <c r="A748" s="1703"/>
      <c r="F748" s="1"/>
      <c r="G748" s="1"/>
      <c r="H748" s="1"/>
      <c r="I748" s="1"/>
      <c r="L748" s="328"/>
      <c r="M748" s="328"/>
    </row>
    <row r="749" spans="1:13" customFormat="1" ht="13.2">
      <c r="A749" s="1703"/>
      <c r="F749" s="1"/>
      <c r="G749" s="1"/>
      <c r="H749" s="1"/>
      <c r="I749" s="1"/>
      <c r="L749" s="328"/>
      <c r="M749" s="328"/>
    </row>
    <row r="750" spans="1:13" customFormat="1" ht="13.2">
      <c r="A750" s="1703"/>
      <c r="F750" s="1"/>
      <c r="G750" s="1"/>
      <c r="H750" s="1"/>
      <c r="I750" s="1"/>
      <c r="L750" s="328"/>
      <c r="M750" s="328"/>
    </row>
    <row r="751" spans="1:13" customFormat="1" ht="13.2">
      <c r="A751" s="1703"/>
      <c r="F751" s="1"/>
      <c r="G751" s="1"/>
      <c r="H751" s="1"/>
      <c r="I751" s="1"/>
      <c r="L751" s="328"/>
      <c r="M751" s="328"/>
    </row>
    <row r="752" spans="1:13" customFormat="1" ht="13.2">
      <c r="A752" s="1703"/>
      <c r="F752" s="1"/>
      <c r="G752" s="1"/>
      <c r="H752" s="1"/>
      <c r="I752" s="1"/>
      <c r="L752" s="328"/>
      <c r="M752" s="328"/>
    </row>
    <row r="753" spans="1:13" customFormat="1" ht="13.2">
      <c r="A753" s="1703"/>
      <c r="F753" s="1"/>
      <c r="G753" s="1"/>
      <c r="H753" s="1"/>
      <c r="I753" s="1"/>
      <c r="L753" s="328"/>
      <c r="M753" s="328"/>
    </row>
    <row r="754" spans="1:13" customFormat="1" ht="13.2">
      <c r="A754" s="1703"/>
      <c r="F754" s="1"/>
      <c r="G754" s="1"/>
      <c r="H754" s="1"/>
      <c r="I754" s="1"/>
      <c r="L754" s="328"/>
      <c r="M754" s="328"/>
    </row>
    <row r="755" spans="1:13" customFormat="1" ht="13.2">
      <c r="A755" s="1703"/>
      <c r="F755" s="1"/>
      <c r="G755" s="1"/>
      <c r="H755" s="1"/>
      <c r="I755" s="1"/>
      <c r="L755" s="328"/>
      <c r="M755" s="328"/>
    </row>
    <row r="756" spans="1:13" customFormat="1" ht="13.2">
      <c r="A756" s="1703"/>
      <c r="F756" s="1"/>
      <c r="G756" s="1"/>
      <c r="H756" s="1"/>
      <c r="I756" s="1"/>
      <c r="L756" s="328"/>
      <c r="M756" s="328"/>
    </row>
    <row r="757" spans="1:13" customFormat="1" ht="13.2">
      <c r="A757" s="1703"/>
      <c r="F757" s="1"/>
      <c r="G757" s="1"/>
      <c r="H757" s="1"/>
      <c r="I757" s="1"/>
      <c r="L757" s="328"/>
      <c r="M757" s="328"/>
    </row>
    <row r="758" spans="1:13" customFormat="1" ht="13.2">
      <c r="A758" s="1703"/>
      <c r="F758" s="1"/>
      <c r="G758" s="1"/>
      <c r="H758" s="1"/>
      <c r="I758" s="1"/>
      <c r="L758" s="328"/>
      <c r="M758" s="328"/>
    </row>
    <row r="759" spans="1:13" customFormat="1" ht="13.2">
      <c r="A759" s="1703"/>
      <c r="F759" s="1"/>
      <c r="G759" s="1"/>
      <c r="H759" s="1"/>
      <c r="I759" s="1"/>
      <c r="L759" s="328"/>
      <c r="M759" s="328"/>
    </row>
    <row r="760" spans="1:13" customFormat="1" ht="13.2">
      <c r="A760" s="1703"/>
      <c r="F760" s="1"/>
      <c r="G760" s="1"/>
      <c r="H760" s="1"/>
      <c r="I760" s="1"/>
      <c r="L760" s="328"/>
      <c r="M760" s="328"/>
    </row>
    <row r="761" spans="1:13" customFormat="1" ht="13.2">
      <c r="A761" s="1703"/>
      <c r="F761" s="1"/>
      <c r="G761" s="1"/>
      <c r="H761" s="1"/>
      <c r="I761" s="1"/>
      <c r="L761" s="328"/>
      <c r="M761" s="328"/>
    </row>
    <row r="762" spans="1:13" customFormat="1" ht="13.2">
      <c r="A762" s="1703"/>
      <c r="F762" s="1"/>
      <c r="G762" s="1"/>
      <c r="H762" s="1"/>
      <c r="I762" s="1"/>
      <c r="L762" s="328"/>
      <c r="M762" s="328"/>
    </row>
    <row r="763" spans="1:13" customFormat="1" ht="13.2">
      <c r="A763" s="1703"/>
      <c r="F763" s="1"/>
      <c r="G763" s="1"/>
      <c r="H763" s="1"/>
      <c r="I763" s="1"/>
      <c r="L763" s="328"/>
      <c r="M763" s="328"/>
    </row>
    <row r="764" spans="1:13" customFormat="1" ht="13.2">
      <c r="A764" s="1703"/>
      <c r="F764" s="1"/>
      <c r="G764" s="1"/>
      <c r="H764" s="1"/>
      <c r="I764" s="1"/>
      <c r="L764" s="328"/>
      <c r="M764" s="328"/>
    </row>
    <row r="765" spans="1:13" customFormat="1" ht="13.2">
      <c r="A765" s="1703"/>
      <c r="F765" s="1"/>
      <c r="G765" s="1"/>
      <c r="H765" s="1"/>
      <c r="I765" s="1"/>
      <c r="L765" s="328"/>
      <c r="M765" s="328"/>
    </row>
    <row r="766" spans="1:13" customFormat="1" ht="13.2">
      <c r="A766" s="1703"/>
      <c r="F766" s="1"/>
      <c r="G766" s="1"/>
      <c r="H766" s="1"/>
      <c r="I766" s="1"/>
      <c r="L766" s="328"/>
      <c r="M766" s="328"/>
    </row>
    <row r="767" spans="1:13" customFormat="1" ht="13.2">
      <c r="A767" s="1703"/>
      <c r="F767" s="1"/>
      <c r="G767" s="1"/>
      <c r="H767" s="1"/>
      <c r="I767" s="1"/>
      <c r="L767" s="328"/>
      <c r="M767" s="328"/>
    </row>
    <row r="768" spans="1:13" customFormat="1" ht="13.2">
      <c r="A768" s="1703"/>
      <c r="F768" s="1"/>
      <c r="G768" s="1"/>
      <c r="H768" s="1"/>
      <c r="I768" s="1"/>
      <c r="L768" s="328"/>
      <c r="M768" s="328"/>
    </row>
    <row r="769" spans="1:13" customFormat="1" ht="13.2">
      <c r="A769" s="1703"/>
      <c r="F769" s="1"/>
      <c r="G769" s="1"/>
      <c r="H769" s="1"/>
      <c r="I769" s="1"/>
      <c r="L769" s="328"/>
      <c r="M769" s="328"/>
    </row>
    <row r="770" spans="1:13" customFormat="1" ht="13.2">
      <c r="A770" s="1703"/>
      <c r="F770" s="1"/>
      <c r="G770" s="1"/>
      <c r="H770" s="1"/>
      <c r="I770" s="1"/>
      <c r="L770" s="328"/>
      <c r="M770" s="328"/>
    </row>
    <row r="771" spans="1:13" customFormat="1" ht="13.2">
      <c r="A771" s="1703"/>
      <c r="F771" s="1"/>
      <c r="G771" s="1"/>
      <c r="H771" s="1"/>
      <c r="I771" s="1"/>
      <c r="L771" s="328"/>
      <c r="M771" s="328"/>
    </row>
    <row r="772" spans="1:13" customFormat="1" ht="13.2">
      <c r="A772" s="1703"/>
      <c r="F772" s="1"/>
      <c r="G772" s="1"/>
      <c r="H772" s="1"/>
      <c r="I772" s="1"/>
      <c r="L772" s="328"/>
      <c r="M772" s="328"/>
    </row>
    <row r="773" spans="1:13" customFormat="1" ht="13.2">
      <c r="A773" s="1703"/>
      <c r="F773" s="1"/>
      <c r="G773" s="1"/>
      <c r="H773" s="1"/>
      <c r="I773" s="1"/>
      <c r="L773" s="328"/>
      <c r="M773" s="328"/>
    </row>
    <row r="774" spans="1:13" customFormat="1" ht="13.2">
      <c r="A774" s="1703"/>
      <c r="F774" s="1"/>
      <c r="G774" s="1"/>
      <c r="H774" s="1"/>
      <c r="I774" s="1"/>
      <c r="L774" s="328"/>
      <c r="M774" s="328"/>
    </row>
    <row r="775" spans="1:13" customFormat="1" ht="13.2">
      <c r="A775" s="1703"/>
      <c r="F775" s="1"/>
      <c r="G775" s="1"/>
      <c r="H775" s="1"/>
      <c r="I775" s="1"/>
      <c r="L775" s="328"/>
      <c r="M775" s="328"/>
    </row>
    <row r="776" spans="1:13" customFormat="1" ht="13.2">
      <c r="A776" s="1703"/>
      <c r="F776" s="1"/>
      <c r="G776" s="1"/>
      <c r="H776" s="1"/>
      <c r="I776" s="1"/>
      <c r="L776" s="328"/>
      <c r="M776" s="328"/>
    </row>
    <row r="777" spans="1:13" customFormat="1" ht="13.2">
      <c r="A777" s="1703"/>
      <c r="F777" s="1"/>
      <c r="G777" s="1"/>
      <c r="H777" s="1"/>
      <c r="I777" s="1"/>
      <c r="L777" s="328"/>
      <c r="M777" s="328"/>
    </row>
    <row r="778" spans="1:13" customFormat="1" ht="13.2">
      <c r="A778" s="1703"/>
      <c r="F778" s="1"/>
      <c r="G778" s="1"/>
      <c r="H778" s="1"/>
      <c r="I778" s="1"/>
      <c r="L778" s="328"/>
      <c r="M778" s="328"/>
    </row>
    <row r="779" spans="1:13" customFormat="1" ht="13.2">
      <c r="A779" s="1703"/>
      <c r="F779" s="1"/>
      <c r="G779" s="1"/>
      <c r="H779" s="1"/>
      <c r="I779" s="1"/>
      <c r="L779" s="328"/>
      <c r="M779" s="328"/>
    </row>
    <row r="780" spans="1:13" customFormat="1" ht="13.2">
      <c r="A780" s="1703"/>
      <c r="F780" s="1"/>
      <c r="G780" s="1"/>
      <c r="H780" s="1"/>
      <c r="I780" s="1"/>
      <c r="L780" s="328"/>
      <c r="M780" s="328"/>
    </row>
    <row r="781" spans="1:13" customFormat="1" ht="13.2">
      <c r="A781" s="1703"/>
      <c r="F781" s="1"/>
      <c r="G781" s="1"/>
      <c r="H781" s="1"/>
      <c r="I781" s="1"/>
      <c r="L781" s="328"/>
      <c r="M781" s="328"/>
    </row>
    <row r="782" spans="1:13" customFormat="1" ht="13.2">
      <c r="A782" s="1703"/>
      <c r="F782" s="1"/>
      <c r="G782" s="1"/>
      <c r="H782" s="1"/>
      <c r="I782" s="1"/>
      <c r="L782" s="328"/>
      <c r="M782" s="328"/>
    </row>
    <row r="783" spans="1:13" customFormat="1" ht="13.2">
      <c r="A783" s="1703"/>
      <c r="F783" s="1"/>
      <c r="G783" s="1"/>
      <c r="H783" s="1"/>
      <c r="I783" s="1"/>
      <c r="L783" s="328"/>
      <c r="M783" s="328"/>
    </row>
    <row r="784" spans="1:13" customFormat="1" ht="13.2">
      <c r="A784" s="1703"/>
      <c r="F784" s="1"/>
      <c r="G784" s="1"/>
      <c r="H784" s="1"/>
      <c r="I784" s="1"/>
      <c r="L784" s="328"/>
      <c r="M784" s="328"/>
    </row>
    <row r="785" spans="1:13" customFormat="1" ht="13.2">
      <c r="A785" s="1703"/>
      <c r="F785" s="1"/>
      <c r="G785" s="1"/>
      <c r="H785" s="1"/>
      <c r="I785" s="1"/>
      <c r="L785" s="328"/>
      <c r="M785" s="328"/>
    </row>
    <row r="786" spans="1:13" customFormat="1" ht="13.2">
      <c r="A786" s="1703"/>
      <c r="F786" s="1"/>
      <c r="G786" s="1"/>
      <c r="H786" s="1"/>
      <c r="I786" s="1"/>
      <c r="L786" s="328"/>
      <c r="M786" s="328"/>
    </row>
    <row r="787" spans="1:13" customFormat="1" ht="13.2">
      <c r="A787" s="1703"/>
      <c r="F787" s="1"/>
      <c r="G787" s="1"/>
      <c r="H787" s="1"/>
      <c r="I787" s="1"/>
      <c r="L787" s="328"/>
      <c r="M787" s="328"/>
    </row>
    <row r="788" spans="1:13" customFormat="1" ht="13.2">
      <c r="A788" s="1703"/>
      <c r="F788" s="1"/>
      <c r="G788" s="1"/>
      <c r="H788" s="1"/>
      <c r="I788" s="1"/>
      <c r="L788" s="328"/>
      <c r="M788" s="328"/>
    </row>
    <row r="789" spans="1:13" customFormat="1" ht="13.2">
      <c r="A789" s="1703"/>
      <c r="F789" s="1"/>
      <c r="G789" s="1"/>
      <c r="H789" s="1"/>
      <c r="I789" s="1"/>
      <c r="L789" s="328"/>
      <c r="M789" s="328"/>
    </row>
    <row r="790" spans="1:13" customFormat="1" ht="13.2">
      <c r="A790" s="1703"/>
      <c r="F790" s="1"/>
      <c r="G790" s="1"/>
      <c r="H790" s="1"/>
      <c r="I790" s="1"/>
      <c r="L790" s="328"/>
      <c r="M790" s="328"/>
    </row>
    <row r="791" spans="1:13" customFormat="1" ht="13.2">
      <c r="A791" s="1703"/>
      <c r="F791" s="1"/>
      <c r="G791" s="1"/>
      <c r="H791" s="1"/>
      <c r="I791" s="1"/>
      <c r="L791" s="328"/>
      <c r="M791" s="328"/>
    </row>
    <row r="792" spans="1:13" customFormat="1" ht="13.2">
      <c r="A792" s="1703"/>
      <c r="F792" s="1"/>
      <c r="G792" s="1"/>
      <c r="H792" s="1"/>
      <c r="I792" s="1"/>
      <c r="L792" s="328"/>
      <c r="M792" s="328"/>
    </row>
    <row r="793" spans="1:13" customFormat="1" ht="13.2">
      <c r="A793" s="1703"/>
      <c r="F793" s="1"/>
      <c r="G793" s="1"/>
      <c r="H793" s="1"/>
      <c r="I793" s="1"/>
      <c r="L793" s="328"/>
      <c r="M793" s="328"/>
    </row>
    <row r="794" spans="1:13" customFormat="1" ht="13.2">
      <c r="A794" s="1703"/>
      <c r="F794" s="1"/>
      <c r="G794" s="1"/>
      <c r="H794" s="1"/>
      <c r="I794" s="1"/>
      <c r="L794" s="328"/>
      <c r="M794" s="328"/>
    </row>
    <row r="795" spans="1:13" customFormat="1" ht="13.2">
      <c r="A795" s="1703"/>
      <c r="F795" s="1"/>
      <c r="G795" s="1"/>
      <c r="H795" s="1"/>
      <c r="I795" s="1"/>
      <c r="L795" s="328"/>
      <c r="M795" s="328"/>
    </row>
    <row r="796" spans="1:13" customFormat="1" ht="13.2">
      <c r="A796" s="1703"/>
      <c r="F796" s="1"/>
      <c r="G796" s="1"/>
      <c r="H796" s="1"/>
      <c r="I796" s="1"/>
      <c r="L796" s="328"/>
      <c r="M796" s="328"/>
    </row>
    <row r="797" spans="1:13" customFormat="1" ht="13.2">
      <c r="A797" s="1703"/>
      <c r="F797" s="1"/>
      <c r="G797" s="1"/>
      <c r="H797" s="1"/>
      <c r="I797" s="1"/>
      <c r="L797" s="328"/>
      <c r="M797" s="328"/>
    </row>
    <row r="798" spans="1:13" customFormat="1" ht="13.2">
      <c r="A798" s="1703"/>
      <c r="F798" s="1"/>
      <c r="G798" s="1"/>
      <c r="H798" s="1"/>
      <c r="I798" s="1"/>
      <c r="L798" s="328"/>
      <c r="M798" s="328"/>
    </row>
    <row r="799" spans="1:13" customFormat="1" ht="13.2">
      <c r="A799" s="1703"/>
      <c r="F799" s="1"/>
      <c r="G799" s="1"/>
      <c r="H799" s="1"/>
      <c r="I799" s="1"/>
      <c r="L799" s="328"/>
      <c r="M799" s="328"/>
    </row>
    <row r="800" spans="1:13" customFormat="1" ht="13.2">
      <c r="A800" s="1703"/>
      <c r="F800" s="1"/>
      <c r="G800" s="1"/>
      <c r="H800" s="1"/>
      <c r="I800" s="1"/>
      <c r="L800" s="328"/>
      <c r="M800" s="328"/>
    </row>
    <row r="801" spans="1:13" customFormat="1" ht="13.2">
      <c r="A801" s="1703"/>
      <c r="F801" s="1"/>
      <c r="G801" s="1"/>
      <c r="H801" s="1"/>
      <c r="I801" s="1"/>
      <c r="L801" s="328"/>
      <c r="M801" s="328"/>
    </row>
    <row r="802" spans="1:13" customFormat="1" ht="13.2">
      <c r="A802" s="1703"/>
      <c r="F802" s="1"/>
      <c r="G802" s="1"/>
      <c r="H802" s="1"/>
      <c r="I802" s="1"/>
      <c r="L802" s="328"/>
      <c r="M802" s="328"/>
    </row>
    <row r="803" spans="1:13" customFormat="1" ht="13.2">
      <c r="A803" s="1703"/>
      <c r="F803" s="1"/>
      <c r="G803" s="1"/>
      <c r="H803" s="1"/>
      <c r="I803" s="1"/>
      <c r="L803" s="328"/>
      <c r="M803" s="328"/>
    </row>
    <row r="804" spans="1:13" customFormat="1" ht="13.2">
      <c r="A804" s="1703"/>
      <c r="F804" s="1"/>
      <c r="G804" s="1"/>
      <c r="H804" s="1"/>
      <c r="I804" s="1"/>
      <c r="L804" s="328"/>
      <c r="M804" s="328"/>
    </row>
    <row r="805" spans="1:13" customFormat="1" ht="13.2">
      <c r="A805" s="1703"/>
      <c r="F805" s="1"/>
      <c r="G805" s="1"/>
      <c r="H805" s="1"/>
      <c r="I805" s="1"/>
      <c r="L805" s="328"/>
      <c r="M805" s="328"/>
    </row>
    <row r="806" spans="1:13" customFormat="1" ht="13.2">
      <c r="A806" s="1703"/>
      <c r="F806" s="1"/>
      <c r="G806" s="1"/>
      <c r="H806" s="1"/>
      <c r="I806" s="1"/>
      <c r="L806" s="328"/>
      <c r="M806" s="328"/>
    </row>
    <row r="807" spans="1:13" customFormat="1" ht="13.2">
      <c r="A807" s="1703"/>
      <c r="F807" s="1"/>
      <c r="G807" s="1"/>
      <c r="H807" s="1"/>
      <c r="I807" s="1"/>
      <c r="L807" s="328"/>
      <c r="M807" s="328"/>
    </row>
    <row r="808" spans="1:13" customFormat="1" ht="13.2">
      <c r="A808" s="1703"/>
      <c r="F808" s="1"/>
      <c r="G808" s="1"/>
      <c r="H808" s="1"/>
      <c r="I808" s="1"/>
      <c r="L808" s="328"/>
      <c r="M808" s="328"/>
    </row>
    <row r="809" spans="1:13" customFormat="1" ht="13.2">
      <c r="A809" s="1703"/>
      <c r="F809" s="1"/>
      <c r="G809" s="1"/>
      <c r="H809" s="1"/>
      <c r="I809" s="1"/>
      <c r="L809" s="328"/>
      <c r="M809" s="328"/>
    </row>
    <row r="810" spans="1:13" customFormat="1" ht="13.2">
      <c r="A810" s="1703"/>
      <c r="F810" s="1"/>
      <c r="G810" s="1"/>
      <c r="H810" s="1"/>
      <c r="I810" s="1"/>
      <c r="L810" s="328"/>
      <c r="M810" s="328"/>
    </row>
    <row r="811" spans="1:13" customFormat="1" ht="13.2">
      <c r="A811" s="1703"/>
      <c r="F811" s="1"/>
      <c r="G811" s="1"/>
      <c r="H811" s="1"/>
      <c r="I811" s="1"/>
      <c r="L811" s="328"/>
      <c r="M811" s="328"/>
    </row>
    <row r="812" spans="1:13" customFormat="1" ht="13.2">
      <c r="A812" s="1703"/>
      <c r="F812" s="1"/>
      <c r="G812" s="1"/>
      <c r="H812" s="1"/>
      <c r="I812" s="1"/>
      <c r="L812" s="328"/>
      <c r="M812" s="328"/>
    </row>
    <row r="813" spans="1:13" customFormat="1" ht="13.2">
      <c r="A813" s="1703"/>
      <c r="F813" s="1"/>
      <c r="G813" s="1"/>
      <c r="H813" s="1"/>
      <c r="I813" s="1"/>
      <c r="L813" s="328"/>
      <c r="M813" s="328"/>
    </row>
    <row r="814" spans="1:13" customFormat="1" ht="13.2">
      <c r="A814" s="1703"/>
      <c r="F814" s="1"/>
      <c r="G814" s="1"/>
      <c r="H814" s="1"/>
      <c r="I814" s="1"/>
      <c r="L814" s="328"/>
      <c r="M814" s="328"/>
    </row>
    <row r="815" spans="1:13" customFormat="1" ht="13.2">
      <c r="A815" s="1703"/>
      <c r="F815" s="1"/>
      <c r="G815" s="1"/>
      <c r="H815" s="1"/>
      <c r="I815" s="1"/>
      <c r="L815" s="328"/>
      <c r="M815" s="328"/>
    </row>
    <row r="816" spans="1:13" customFormat="1" ht="13.2">
      <c r="A816" s="1703"/>
      <c r="F816" s="1"/>
      <c r="G816" s="1"/>
      <c r="H816" s="1"/>
      <c r="I816" s="1"/>
      <c r="L816" s="328"/>
      <c r="M816" s="328"/>
    </row>
    <row r="817" spans="1:13" customFormat="1" ht="13.2">
      <c r="A817" s="1703"/>
      <c r="F817" s="1"/>
      <c r="G817" s="1"/>
      <c r="H817" s="1"/>
      <c r="I817" s="1"/>
      <c r="L817" s="328"/>
      <c r="M817" s="328"/>
    </row>
    <row r="818" spans="1:13" customFormat="1" ht="13.2">
      <c r="A818" s="1703"/>
      <c r="F818" s="1"/>
      <c r="G818" s="1"/>
      <c r="H818" s="1"/>
      <c r="I818" s="1"/>
      <c r="L818" s="328"/>
      <c r="M818" s="328"/>
    </row>
    <row r="819" spans="1:13" customFormat="1" ht="13.2">
      <c r="A819" s="1703"/>
      <c r="F819" s="1"/>
      <c r="G819" s="1"/>
      <c r="H819" s="1"/>
      <c r="I819" s="1"/>
      <c r="L819" s="328"/>
      <c r="M819" s="328"/>
    </row>
    <row r="820" spans="1:13" customFormat="1" ht="13.2">
      <c r="A820" s="1703"/>
      <c r="F820" s="1"/>
      <c r="G820" s="1"/>
      <c r="H820" s="1"/>
      <c r="I820" s="1"/>
      <c r="L820" s="328"/>
      <c r="M820" s="328"/>
    </row>
    <row r="821" spans="1:13" customFormat="1" ht="13.2">
      <c r="A821" s="1703"/>
      <c r="F821" s="1"/>
      <c r="G821" s="1"/>
      <c r="H821" s="1"/>
      <c r="I821" s="1"/>
      <c r="L821" s="328"/>
      <c r="M821" s="328"/>
    </row>
    <row r="822" spans="1:13" customFormat="1" ht="13.2">
      <c r="A822" s="1703"/>
      <c r="F822" s="1"/>
      <c r="G822" s="1"/>
      <c r="H822" s="1"/>
      <c r="I822" s="1"/>
      <c r="L822" s="328"/>
      <c r="M822" s="328"/>
    </row>
    <row r="823" spans="1:13" customFormat="1" ht="13.2">
      <c r="A823" s="1703"/>
      <c r="F823" s="1"/>
      <c r="G823" s="1"/>
      <c r="H823" s="1"/>
      <c r="I823" s="1"/>
      <c r="L823" s="328"/>
      <c r="M823" s="328"/>
    </row>
    <row r="824" spans="1:13" customFormat="1" ht="13.2">
      <c r="A824" s="1703"/>
      <c r="F824" s="1"/>
      <c r="G824" s="1"/>
      <c r="H824" s="1"/>
      <c r="I824" s="1"/>
      <c r="L824" s="328"/>
      <c r="M824" s="328"/>
    </row>
    <row r="825" spans="1:13" customFormat="1" ht="13.2">
      <c r="A825" s="1703"/>
      <c r="F825" s="1"/>
      <c r="G825" s="1"/>
      <c r="H825" s="1"/>
      <c r="I825" s="1"/>
      <c r="L825" s="328"/>
      <c r="M825" s="328"/>
    </row>
    <row r="826" spans="1:13" customFormat="1" ht="13.2">
      <c r="A826" s="1703"/>
      <c r="F826" s="1"/>
      <c r="G826" s="1"/>
      <c r="H826" s="1"/>
      <c r="I826" s="1"/>
      <c r="L826" s="328"/>
      <c r="M826" s="328"/>
    </row>
    <row r="827" spans="1:13" customFormat="1" ht="13.2">
      <c r="A827" s="1703"/>
      <c r="F827" s="1"/>
      <c r="G827" s="1"/>
      <c r="H827" s="1"/>
      <c r="I827" s="1"/>
      <c r="L827" s="328"/>
      <c r="M827" s="328"/>
    </row>
    <row r="828" spans="1:13" customFormat="1" ht="13.2">
      <c r="A828" s="1703"/>
      <c r="F828" s="1"/>
      <c r="G828" s="1"/>
      <c r="H828" s="1"/>
      <c r="I828" s="1"/>
      <c r="L828" s="328"/>
      <c r="M828" s="328"/>
    </row>
    <row r="829" spans="1:13" customFormat="1" ht="13.2">
      <c r="A829" s="1703"/>
      <c r="F829" s="1"/>
      <c r="G829" s="1"/>
      <c r="H829" s="1"/>
      <c r="I829" s="1"/>
      <c r="L829" s="328"/>
      <c r="M829" s="328"/>
    </row>
    <row r="830" spans="1:13" customFormat="1" ht="13.2">
      <c r="A830" s="1703"/>
      <c r="F830" s="1"/>
      <c r="G830" s="1"/>
      <c r="H830" s="1"/>
      <c r="I830" s="1"/>
      <c r="L830" s="328"/>
      <c r="M830" s="328"/>
    </row>
    <row r="831" spans="1:13" customFormat="1" ht="13.2">
      <c r="A831" s="1703"/>
      <c r="F831" s="1"/>
      <c r="G831" s="1"/>
      <c r="H831" s="1"/>
      <c r="I831" s="1"/>
      <c r="L831" s="328"/>
      <c r="M831" s="328"/>
    </row>
    <row r="832" spans="1:13" customFormat="1" ht="13.2">
      <c r="A832" s="1703"/>
      <c r="F832" s="1"/>
      <c r="G832" s="1"/>
      <c r="H832" s="1"/>
      <c r="I832" s="1"/>
      <c r="L832" s="328"/>
      <c r="M832" s="328"/>
    </row>
    <row r="833" spans="1:13" customFormat="1" ht="13.2">
      <c r="A833" s="1703"/>
      <c r="F833" s="1"/>
      <c r="G833" s="1"/>
      <c r="H833" s="1"/>
      <c r="I833" s="1"/>
      <c r="L833" s="328"/>
      <c r="M833" s="328"/>
    </row>
    <row r="834" spans="1:13" customFormat="1" ht="13.2">
      <c r="A834" s="1703"/>
      <c r="F834" s="1"/>
      <c r="G834" s="1"/>
      <c r="H834" s="1"/>
      <c r="I834" s="1"/>
      <c r="L834" s="328"/>
      <c r="M834" s="328"/>
    </row>
  </sheetData>
  <sheetProtection password="C616" sheet="1" objects="1" scenarios="1"/>
  <mergeCells count="71">
    <mergeCell ref="B41:C41"/>
    <mergeCell ref="B45:C45"/>
    <mergeCell ref="B34:C34"/>
    <mergeCell ref="B39:C39"/>
    <mergeCell ref="B35:C35"/>
    <mergeCell ref="B37:C37"/>
    <mergeCell ref="B40:C40"/>
    <mergeCell ref="I57:K57"/>
    <mergeCell ref="I59:K59"/>
    <mergeCell ref="G53:H53"/>
    <mergeCell ref="I53:K53"/>
    <mergeCell ref="B53:F53"/>
    <mergeCell ref="B59:E59"/>
    <mergeCell ref="B57:D57"/>
    <mergeCell ref="J56:K56"/>
    <mergeCell ref="J54:K54"/>
    <mergeCell ref="J55:K55"/>
    <mergeCell ref="D50:E50"/>
    <mergeCell ref="B50:C50"/>
    <mergeCell ref="B43:D43"/>
    <mergeCell ref="B46:C46"/>
    <mergeCell ref="B65:C65"/>
    <mergeCell ref="B47:C47"/>
    <mergeCell ref="B44:C44"/>
    <mergeCell ref="B63:C63"/>
    <mergeCell ref="D64:G64"/>
    <mergeCell ref="I62:K62"/>
    <mergeCell ref="J63:K63"/>
    <mergeCell ref="B64:C64"/>
    <mergeCell ref="B71:C71"/>
    <mergeCell ref="B66:C66"/>
    <mergeCell ref="B67:C67"/>
    <mergeCell ref="B68:C68"/>
    <mergeCell ref="B69:C69"/>
    <mergeCell ref="B70:C70"/>
    <mergeCell ref="J68:K68"/>
    <mergeCell ref="J70:K70"/>
    <mergeCell ref="J71:K71"/>
    <mergeCell ref="D63:H63"/>
    <mergeCell ref="D65:H65"/>
    <mergeCell ref="D67:H67"/>
    <mergeCell ref="D68:H68"/>
    <mergeCell ref="G2:K2"/>
    <mergeCell ref="E3:F3"/>
    <mergeCell ref="G3:K3"/>
    <mergeCell ref="G4:K4"/>
    <mergeCell ref="C7:F7"/>
    <mergeCell ref="J7:K7"/>
    <mergeCell ref="B17:C17"/>
    <mergeCell ref="B22:C22"/>
    <mergeCell ref="B30:C30"/>
    <mergeCell ref="B33:C33"/>
    <mergeCell ref="B19:C19"/>
    <mergeCell ref="B20:C20"/>
    <mergeCell ref="B18:C18"/>
    <mergeCell ref="B25:C25"/>
    <mergeCell ref="B21:C21"/>
    <mergeCell ref="B26:C26"/>
    <mergeCell ref="AC4:AH11"/>
    <mergeCell ref="C8:H8"/>
    <mergeCell ref="J8:K8"/>
    <mergeCell ref="B15:C15"/>
    <mergeCell ref="D15:E15"/>
    <mergeCell ref="U4:W11"/>
    <mergeCell ref="J65:K65"/>
    <mergeCell ref="D70:H70"/>
    <mergeCell ref="D71:H71"/>
    <mergeCell ref="D66:G66"/>
    <mergeCell ref="J67:K67"/>
    <mergeCell ref="D69:H69"/>
    <mergeCell ref="J69:K69"/>
  </mergeCells>
  <conditionalFormatting sqref="J64">
    <cfRule type="expression" dxfId="164" priority="290" stopIfTrue="1">
      <formula>$B$64=""</formula>
    </cfRule>
  </conditionalFormatting>
  <conditionalFormatting sqref="I65">
    <cfRule type="expression" dxfId="163" priority="308" stopIfTrue="1">
      <formula>$B$65&lt;&gt;""</formula>
    </cfRule>
  </conditionalFormatting>
  <conditionalFormatting sqref="I66">
    <cfRule type="expression" dxfId="162" priority="309" stopIfTrue="1">
      <formula>$B$66&lt;&gt;""</formula>
    </cfRule>
  </conditionalFormatting>
  <conditionalFormatting sqref="I67">
    <cfRule type="expression" dxfId="161" priority="310" stopIfTrue="1">
      <formula>$B$67&lt;&gt;""</formula>
    </cfRule>
  </conditionalFormatting>
  <conditionalFormatting sqref="I68">
    <cfRule type="expression" dxfId="160" priority="311" stopIfTrue="1">
      <formula>OR($B$68&lt;&gt;"",$B$68=0)</formula>
    </cfRule>
  </conditionalFormatting>
  <conditionalFormatting sqref="I70">
    <cfRule type="expression" dxfId="159" priority="312" stopIfTrue="1">
      <formula>$B$70&lt;&gt;""</formula>
    </cfRule>
  </conditionalFormatting>
  <conditionalFormatting sqref="F33:F40">
    <cfRule type="expression" dxfId="158" priority="182">
      <formula>wohnen1</formula>
    </cfRule>
  </conditionalFormatting>
  <conditionalFormatting sqref="H33:H40">
    <cfRule type="expression" dxfId="157" priority="179">
      <formula>wohnen3</formula>
    </cfRule>
  </conditionalFormatting>
  <conditionalFormatting sqref="G33:G40">
    <cfRule type="expression" dxfId="156" priority="172">
      <formula>wohnen2</formula>
    </cfRule>
  </conditionalFormatting>
  <conditionalFormatting sqref="B44:C44">
    <cfRule type="expression" dxfId="155" priority="111">
      <formula>Zweckumbau=FALSE</formula>
    </cfRule>
  </conditionalFormatting>
  <conditionalFormatting sqref="I64">
    <cfRule type="expression" dxfId="154" priority="89" stopIfTrue="1">
      <formula>$B$64&lt;&gt;""</formula>
    </cfRule>
  </conditionalFormatting>
  <conditionalFormatting sqref="I63">
    <cfRule type="expression" dxfId="153" priority="88" stopIfTrue="1">
      <formula>$B$63&lt;&gt;""</formula>
    </cfRule>
  </conditionalFormatting>
  <conditionalFormatting sqref="K64">
    <cfRule type="expression" dxfId="152" priority="85">
      <formula>$B$64=""</formula>
    </cfRule>
  </conditionalFormatting>
  <conditionalFormatting sqref="I71">
    <cfRule type="expression" dxfId="151" priority="72" stopIfTrue="1">
      <formula>OR($B$71&lt;&gt;"",$B$71=0)</formula>
    </cfRule>
  </conditionalFormatting>
  <conditionalFormatting sqref="I69">
    <cfRule type="expression" dxfId="150" priority="71" stopIfTrue="1">
      <formula>$B$69&lt;&gt;""</formula>
    </cfRule>
  </conditionalFormatting>
  <conditionalFormatting sqref="I33:I40">
    <cfRule type="expression" dxfId="149" priority="68">
      <formula>wohnen4</formula>
    </cfRule>
  </conditionalFormatting>
  <conditionalFormatting sqref="B57 E57:K57">
    <cfRule type="expression" dxfId="148" priority="48">
      <formula>OR(minergie=TRUE,minergiep=TRUE,MUKEN=warh)</formula>
    </cfRule>
  </conditionalFormatting>
  <conditionalFormatting sqref="B58:K58">
    <cfRule type="expression" dxfId="147" priority="47" stopIfTrue="1">
      <formula>minergiea=FALSE</formula>
    </cfRule>
  </conditionalFormatting>
  <conditionalFormatting sqref="C61:E61">
    <cfRule type="expression" dxfId="146" priority="44">
      <formula>minergiea=FALSE</formula>
    </cfRule>
  </conditionalFormatting>
  <conditionalFormatting sqref="F41">
    <cfRule type="expression" dxfId="145" priority="42">
      <formula>wohnen1</formula>
    </cfRule>
  </conditionalFormatting>
  <conditionalFormatting sqref="H41">
    <cfRule type="expression" dxfId="144" priority="41">
      <formula>wohnen3</formula>
    </cfRule>
  </conditionalFormatting>
  <conditionalFormatting sqref="G41">
    <cfRule type="expression" dxfId="143" priority="40">
      <formula>wohnen2</formula>
    </cfRule>
  </conditionalFormatting>
  <conditionalFormatting sqref="I41">
    <cfRule type="expression" dxfId="142" priority="39">
      <formula>wohnen4</formula>
    </cfRule>
  </conditionalFormatting>
  <conditionalFormatting sqref="A59:K59">
    <cfRule type="expression" dxfId="141" priority="38">
      <formula>minergiea=FALSE</formula>
    </cfRule>
  </conditionalFormatting>
  <conditionalFormatting sqref="G18">
    <cfRule type="expression" dxfId="140" priority="29">
      <formula>Zonen&gt;1</formula>
    </cfRule>
  </conditionalFormatting>
  <conditionalFormatting sqref="H18">
    <cfRule type="expression" dxfId="139" priority="28">
      <formula>Zonen&gt;2</formula>
    </cfRule>
  </conditionalFormatting>
  <conditionalFormatting sqref="I18">
    <cfRule type="expression" dxfId="138" priority="27">
      <formula>Zonen&gt;3</formula>
    </cfRule>
  </conditionalFormatting>
  <conditionalFormatting sqref="F45">
    <cfRule type="expression" dxfId="137" priority="23">
      <formula>Kategorie1&gt;3</formula>
    </cfRule>
  </conditionalFormatting>
  <conditionalFormatting sqref="I45">
    <cfRule type="expression" dxfId="136" priority="22">
      <formula>AND(Kategorie4&gt;3,Zonen&gt;3)</formula>
    </cfRule>
  </conditionalFormatting>
  <conditionalFormatting sqref="G45">
    <cfRule type="expression" dxfId="135" priority="21">
      <formula>AND(Kategorie2&gt;3,Zonen&gt;1)</formula>
    </cfRule>
  </conditionalFormatting>
  <conditionalFormatting sqref="H45">
    <cfRule type="expression" dxfId="134" priority="20">
      <formula>AND(Kategorie3&gt;3,Zonen&gt;2)</formula>
    </cfRule>
  </conditionalFormatting>
  <conditionalFormatting sqref="I56:K56">
    <cfRule type="expression" dxfId="133" priority="17">
      <formula>OR($H$56=0,$H$56="")</formula>
    </cfRule>
  </conditionalFormatting>
  <conditionalFormatting sqref="J56">
    <cfRule type="expression" dxfId="132" priority="16">
      <formula>OR($H$56=0,$H$56="")</formula>
    </cfRule>
  </conditionalFormatting>
  <conditionalFormatting sqref="F21">
    <cfRule type="expression" dxfId="131" priority="15">
      <formula>wohnen1</formula>
    </cfRule>
  </conditionalFormatting>
  <conditionalFormatting sqref="H21">
    <cfRule type="expression" dxfId="130" priority="14">
      <formula>wohnen3</formula>
    </cfRule>
  </conditionalFormatting>
  <conditionalFormatting sqref="G21">
    <cfRule type="expression" dxfId="129" priority="13">
      <formula>wohnen2</formula>
    </cfRule>
  </conditionalFormatting>
  <conditionalFormatting sqref="I21">
    <cfRule type="expression" dxfId="128" priority="12">
      <formula>wohnen4</formula>
    </cfRule>
  </conditionalFormatting>
  <conditionalFormatting sqref="F25">
    <cfRule type="expression" dxfId="127" priority="11">
      <formula>wohnen1</formula>
    </cfRule>
  </conditionalFormatting>
  <conditionalFormatting sqref="G25">
    <cfRule type="expression" dxfId="126" priority="10">
      <formula>wohnen2</formula>
    </cfRule>
  </conditionalFormatting>
  <conditionalFormatting sqref="H25">
    <cfRule type="expression" dxfId="125" priority="9">
      <formula>wohnen3</formula>
    </cfRule>
  </conditionalFormatting>
  <conditionalFormatting sqref="I25">
    <cfRule type="expression" dxfId="124" priority="8">
      <formula>wohnen4</formula>
    </cfRule>
  </conditionalFormatting>
  <conditionalFormatting sqref="F26">
    <cfRule type="expression" dxfId="123" priority="7">
      <formula>AND(Kategorie1 &gt;1, Kategorie1&lt;10)</formula>
    </cfRule>
  </conditionalFormatting>
  <conditionalFormatting sqref="G26">
    <cfRule type="expression" dxfId="122" priority="6">
      <formula>AND(Kategorie2 &gt;1, Kategorie2&lt;10)</formula>
    </cfRule>
  </conditionalFormatting>
  <conditionalFormatting sqref="H26">
    <cfRule type="expression" dxfId="121" priority="5">
      <formula>AND(Kategorie3 &gt;1, Kategorie3&lt;10)</formula>
    </cfRule>
  </conditionalFormatting>
  <conditionalFormatting sqref="I26">
    <cfRule type="expression" dxfId="120" priority="4">
      <formula>AND(Kategorie4 &gt;1, Kategorie4&lt;10)</formula>
    </cfRule>
  </conditionalFormatting>
  <conditionalFormatting sqref="I57 I59">
    <cfRule type="cellIs" dxfId="119" priority="556" stopIfTrue="1" operator="equal">
      <formula>$N$12</formula>
    </cfRule>
    <cfRule type="cellIs" dxfId="118" priority="557" stopIfTrue="1" operator="equal">
      <formula>$N$13</formula>
    </cfRule>
  </conditionalFormatting>
  <conditionalFormatting sqref="K66 J65 J71 J69 J63">
    <cfRule type="cellIs" dxfId="117" priority="558" stopIfTrue="1" operator="equal">
      <formula>$Q$12</formula>
    </cfRule>
    <cfRule type="cellIs" dxfId="116" priority="559" stopIfTrue="1" operator="equal">
      <formula>$R$12</formula>
    </cfRule>
  </conditionalFormatting>
  <conditionalFormatting sqref="J50:K50 D50">
    <cfRule type="cellIs" dxfId="115" priority="568" operator="equal">
      <formula>$Q$12</formula>
    </cfRule>
  </conditionalFormatting>
  <conditionalFormatting sqref="D50">
    <cfRule type="cellIs" dxfId="114" priority="570" operator="equal">
      <formula>$R$12</formula>
    </cfRule>
  </conditionalFormatting>
  <conditionalFormatting sqref="F44">
    <cfRule type="expression" dxfId="113" priority="619">
      <formula>$O$85</formula>
    </cfRule>
  </conditionalFormatting>
  <conditionalFormatting sqref="G44">
    <cfRule type="expression" dxfId="112" priority="620">
      <formula>$P$85</formula>
    </cfRule>
  </conditionalFormatting>
  <conditionalFormatting sqref="H44">
    <cfRule type="expression" dxfId="111" priority="621">
      <formula>$Q$85</formula>
    </cfRule>
  </conditionalFormatting>
  <conditionalFormatting sqref="I44">
    <cfRule type="expression" dxfId="110" priority="622">
      <formula>$R$85</formula>
    </cfRule>
  </conditionalFormatting>
  <conditionalFormatting sqref="F46:F47">
    <cfRule type="expression" dxfId="109" priority="643">
      <formula>$O$97</formula>
    </cfRule>
  </conditionalFormatting>
  <conditionalFormatting sqref="G46:G47">
    <cfRule type="expression" dxfId="108" priority="644">
      <formula>$P$97</formula>
    </cfRule>
  </conditionalFormatting>
  <conditionalFormatting sqref="H46:H47">
    <cfRule type="expression" dxfId="107" priority="645">
      <formula>$Q$97</formula>
    </cfRule>
  </conditionalFormatting>
  <conditionalFormatting sqref="I46:I47">
    <cfRule type="expression" dxfId="106" priority="646">
      <formula>$R$97</formula>
    </cfRule>
  </conditionalFormatting>
  <conditionalFormatting sqref="F48:F49">
    <cfRule type="expression" dxfId="105" priority="647">
      <formula>AND($O$89,$O$53=FALSE)</formula>
    </cfRule>
    <cfRule type="expression" dxfId="104" priority="648" stopIfTrue="1">
      <formula>$O$53</formula>
    </cfRule>
  </conditionalFormatting>
  <conditionalFormatting sqref="G48:G49">
    <cfRule type="expression" dxfId="103" priority="649">
      <formula>AND($P$89,$P$53=FALSE)</formula>
    </cfRule>
    <cfRule type="expression" dxfId="102" priority="650" stopIfTrue="1">
      <formula>$P$53</formula>
    </cfRule>
  </conditionalFormatting>
  <conditionalFormatting sqref="H48:H49">
    <cfRule type="expression" dxfId="101" priority="651">
      <formula>AND($Q$89,$Q$53=FALSE)</formula>
    </cfRule>
    <cfRule type="expression" dxfId="100" priority="652" stopIfTrue="1">
      <formula>$Q$53</formula>
    </cfRule>
  </conditionalFormatting>
  <conditionalFormatting sqref="I48:I49">
    <cfRule type="expression" dxfId="99" priority="653">
      <formula>AND($R$89,$R$53=FALSE)</formula>
    </cfRule>
    <cfRule type="expression" dxfId="98" priority="654" stopIfTrue="1">
      <formula>$R$53</formula>
    </cfRule>
  </conditionalFormatting>
  <conditionalFormatting sqref="B26:C26">
    <cfRule type="expression" dxfId="97" priority="3">
      <formula>minergiea</formula>
    </cfRule>
  </conditionalFormatting>
  <conditionalFormatting sqref="D26">
    <cfRule type="expression" dxfId="96" priority="2">
      <formula>minergiea</formula>
    </cfRule>
  </conditionalFormatting>
  <conditionalFormatting sqref="E26">
    <cfRule type="expression" dxfId="95" priority="1">
      <formula>minergiea</formula>
    </cfRule>
  </conditionalFormatting>
  <dataValidations count="11">
    <dataValidation type="list" allowBlank="1" showInputMessage="1" showErrorMessage="1" sqref="I42">
      <formula1>Kleinanlagen4</formula1>
    </dataValidation>
    <dataValidation type="list" allowBlank="1" showInputMessage="1" showErrorMessage="1" sqref="H42">
      <formula1>Kleinanlagen3</formula1>
    </dataValidation>
    <dataValidation type="list" allowBlank="1" showInputMessage="1" showErrorMessage="1" sqref="G42">
      <formula1>Kleinanlagen2</formula1>
    </dataValidation>
    <dataValidation type="list" allowBlank="1" showInputMessage="1" showErrorMessage="1" sqref="F42">
      <formula1>Kleinanlagen1</formula1>
    </dataValidation>
    <dataValidation type="list" allowBlank="1" showInputMessage="1" showErrorMessage="1" sqref="S34">
      <formula1>#REF!</formula1>
    </dataValidation>
    <dataValidation type="list" allowBlank="1" showInputMessage="1" showErrorMessage="1" sqref="F33:I41 I63:I71 F44:I44 F46:I47">
      <formula1>$N$12:$N$13</formula1>
    </dataValidation>
    <dataValidation type="list" allowBlank="1" showInputMessage="1" showErrorMessage="1" errorTitle="falsche Eingabe" promptTitle="Auswählen" sqref="F19:I20">
      <formula1>$N$12:$N$13</formula1>
    </dataValidation>
    <dataValidation type="list" allowBlank="1" showInputMessage="1" showErrorMessage="1" errorTitle="falsche Eingabe" promptTitle="Auswählen" sqref="F45">
      <formula1>$O$49:$O$50</formula1>
    </dataValidation>
    <dataValidation type="list" allowBlank="1" showInputMessage="1" showErrorMessage="1" errorTitle="falsche Eingabe" promptTitle="Auswählen" sqref="G45">
      <formula1>$P$49:$P$50</formula1>
    </dataValidation>
    <dataValidation type="list" allowBlank="1" showInputMessage="1" showErrorMessage="1" errorTitle="falsche Eingabe" promptTitle="Auswählen" sqref="H45">
      <formula1>$Q$49:$Q$50</formula1>
    </dataValidation>
    <dataValidation type="list" allowBlank="1" showInputMessage="1" showErrorMessage="1" errorTitle="falsche Eingabe" promptTitle="Auswählen" sqref="I45">
      <formula1>$R$49:$R$50</formula1>
    </dataValidation>
  </dataValidations>
  <pageMargins left="0.39370078740157483" right="0.31496062992125984" top="0.35433070866141736" bottom="0.23622047244094491" header="0.35433070866141736" footer="0.23622047244094491"/>
  <pageSetup paperSize="9" scale="88"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28" id="{4AB495D1-3B8C-4893-98BB-F1B55C16F755}">
            <xm:f>AND(Kategorie1&lt;&gt;13,Standardwerte!$J$103)</xm:f>
            <x14:dxf>
              <fill>
                <patternFill>
                  <bgColor rgb="FFEEFFDD"/>
                </patternFill>
              </fill>
            </x14:dxf>
          </x14:cfRule>
          <xm:sqref>F19:F20</xm:sqref>
        </x14:conditionalFormatting>
        <x14:conditionalFormatting xmlns:xm="http://schemas.microsoft.com/office/excel/2006/main">
          <x14:cfRule type="expression" priority="108" id="{80F22DC8-08AF-4354-BEC5-959246A33A05}">
            <xm:f>AND(Kategorie4&lt;&gt;13,Zonen&gt;3,Standardwerte!$M$103)</xm:f>
            <x14:dxf>
              <fill>
                <patternFill>
                  <bgColor rgb="FFEEFFDD"/>
                </patternFill>
              </fill>
            </x14:dxf>
          </x14:cfRule>
          <xm:sqref>I19:I20</xm:sqref>
        </x14:conditionalFormatting>
        <x14:conditionalFormatting xmlns:xm="http://schemas.microsoft.com/office/excel/2006/main">
          <x14:cfRule type="expression" priority="94" id="{AA2F207F-C805-4C49-962E-3D583A505181}">
            <xm:f>AND(Kategorie2&lt;&gt;13,Zonen&gt;1,Standardwerte!$K$103)</xm:f>
            <x14:dxf>
              <fill>
                <patternFill>
                  <bgColor rgb="FFEEFFDD"/>
                </patternFill>
              </fill>
            </x14:dxf>
          </x14:cfRule>
          <xm:sqref>G19:G20</xm:sqref>
        </x14:conditionalFormatting>
        <x14:conditionalFormatting xmlns:xm="http://schemas.microsoft.com/office/excel/2006/main">
          <x14:cfRule type="expression" priority="43" id="{A5CE31BC-E99B-4F39-BCA1-CA554AC9EFBF}">
            <xm:f>AND(Kategorie3&lt;&gt;13,Zonen&gt;2,Standardwerte!$L$103)</xm:f>
            <x14:dxf>
              <fill>
                <patternFill>
                  <bgColor rgb="FFEEFFDD"/>
                </patternFill>
              </fill>
            </x14:dxf>
          </x14:cfRule>
          <xm:sqref>H19:H20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V56"/>
  <sheetViews>
    <sheetView workbookViewId="0"/>
  </sheetViews>
  <sheetFormatPr baseColWidth="10" defaultColWidth="11.5546875" defaultRowHeight="13.2"/>
  <cols>
    <col min="1" max="1" width="3.6640625" style="1707" customWidth="1"/>
    <col min="2" max="2" width="12.6640625" style="27" customWidth="1"/>
    <col min="3" max="6" width="7.44140625" style="27" customWidth="1"/>
    <col min="7" max="7" width="9" style="27" customWidth="1"/>
    <col min="8" max="8" width="9.6640625" style="27" hidden="1" customWidth="1"/>
    <col min="9" max="12" width="9.6640625" style="27" customWidth="1"/>
    <col min="13" max="13" width="4.6640625" style="27" customWidth="1"/>
    <col min="14" max="22" width="11.5546875" style="27" hidden="1" customWidth="1"/>
    <col min="23" max="16384" width="11.5546875" style="27"/>
  </cols>
  <sheetData>
    <row r="1" spans="1:22" ht="9" customHeight="1">
      <c r="B1" s="1101"/>
      <c r="C1" s="1102"/>
      <c r="D1" s="1102"/>
      <c r="E1" s="1102"/>
      <c r="F1" s="1102"/>
      <c r="G1" s="1102"/>
      <c r="H1" s="1102"/>
      <c r="I1" s="1102"/>
      <c r="J1" s="1102"/>
      <c r="K1" s="1102"/>
      <c r="L1" s="1103"/>
      <c r="M1" s="1104" t="str">
        <f>Dati!K1</f>
        <v>Formulario EN101b, v2.02, da utilizzare fino al 31.12.2018</v>
      </c>
      <c r="N1" s="1102"/>
      <c r="O1" s="1102"/>
      <c r="P1" s="1102"/>
      <c r="Q1" s="1102"/>
      <c r="R1" s="1102"/>
    </row>
    <row r="2" spans="1:22" ht="21.6" customHeight="1">
      <c r="B2" s="1105" t="str">
        <f>Uebersetzung!D320</f>
        <v>Protezione termica estiva secondo lo standard Minergie</v>
      </c>
      <c r="C2" s="1102"/>
      <c r="D2" s="1102"/>
      <c r="E2" s="1102"/>
      <c r="F2" s="1102"/>
      <c r="G2" s="1102"/>
      <c r="H2" s="1102"/>
      <c r="I2" s="1102"/>
      <c r="J2" s="1102"/>
      <c r="K2" s="1102"/>
      <c r="L2" s="1103"/>
      <c r="N2" s="1106"/>
      <c r="O2" s="1106"/>
      <c r="P2" s="1106"/>
      <c r="Q2" s="1106"/>
      <c r="R2" s="1106"/>
    </row>
    <row r="3" spans="1:22" ht="15.6" hidden="1">
      <c r="B3" s="1105"/>
      <c r="C3" s="1102"/>
      <c r="D3" s="1102"/>
      <c r="E3" s="1102"/>
      <c r="F3" s="1102"/>
      <c r="G3" s="1102"/>
      <c r="H3" s="1102"/>
      <c r="I3" s="1102"/>
      <c r="J3" s="1102"/>
      <c r="K3" s="1102"/>
      <c r="L3" s="1103"/>
      <c r="N3" s="1106"/>
      <c r="O3" s="1106"/>
      <c r="P3" s="1106"/>
      <c r="Q3" s="1106"/>
      <c r="R3" s="1106"/>
    </row>
    <row r="4" spans="1:22" ht="20.100000000000001" customHeight="1">
      <c r="A4" s="1707" t="s">
        <v>1759</v>
      </c>
      <c r="B4" s="2030" t="str">
        <f>IF(Projekt1="","",Projekt1)</f>
        <v/>
      </c>
      <c r="C4" s="2031"/>
      <c r="D4" s="2031"/>
      <c r="E4" s="2031"/>
      <c r="F4" s="2031"/>
      <c r="G4" s="2031"/>
      <c r="H4" s="2031"/>
      <c r="I4" s="2031"/>
      <c r="J4" s="2031"/>
      <c r="K4" s="2031"/>
      <c r="L4" s="2031"/>
      <c r="M4" s="2032"/>
      <c r="N4" s="1106"/>
      <c r="O4" s="1106"/>
      <c r="P4" s="1106"/>
      <c r="Q4" s="1106"/>
      <c r="R4" s="1106"/>
    </row>
    <row r="5" spans="1:22" ht="15" hidden="1" customHeight="1">
      <c r="B5" s="2033"/>
      <c r="C5" s="2034"/>
      <c r="D5" s="2034"/>
      <c r="E5" s="2034"/>
      <c r="F5" s="2034"/>
      <c r="G5" s="2034"/>
      <c r="H5" s="2034"/>
      <c r="I5" s="2034"/>
      <c r="J5" s="2034"/>
      <c r="K5" s="2034"/>
      <c r="L5" s="2034"/>
      <c r="M5" s="2035"/>
      <c r="N5" s="1106"/>
      <c r="O5" s="1106"/>
      <c r="P5" s="1106"/>
      <c r="Q5" s="1106"/>
      <c r="R5" s="1106"/>
    </row>
    <row r="6" spans="1:22" ht="24.9" customHeight="1">
      <c r="A6" s="1707" t="s">
        <v>3063</v>
      </c>
      <c r="B6" s="2036" t="str">
        <f>IF(Projekt4="","",Projekt4)</f>
        <v/>
      </c>
      <c r="C6" s="2037"/>
      <c r="D6" s="2037"/>
      <c r="E6" s="2037"/>
      <c r="F6" s="2037"/>
      <c r="G6" s="2037"/>
      <c r="H6" s="2037"/>
      <c r="I6" s="2037"/>
      <c r="J6" s="2037"/>
      <c r="K6" s="2037"/>
      <c r="L6" s="2037"/>
      <c r="M6" s="2038"/>
      <c r="N6" s="1102"/>
      <c r="O6" s="1106"/>
      <c r="P6" s="1102"/>
      <c r="Q6" s="1102"/>
      <c r="R6" s="1102"/>
    </row>
    <row r="7" spans="1:22" ht="6" customHeight="1">
      <c r="B7" s="1107"/>
      <c r="C7" s="1107"/>
      <c r="D7" s="1107"/>
      <c r="E7" s="1107"/>
      <c r="F7" s="1107"/>
      <c r="G7" s="1107"/>
      <c r="H7" s="1107"/>
      <c r="I7" s="1107"/>
      <c r="J7" s="1107"/>
      <c r="K7" s="1107"/>
      <c r="L7" s="1107"/>
      <c r="M7" s="1107"/>
      <c r="N7" s="1102"/>
      <c r="O7" s="1106"/>
      <c r="P7" s="1102"/>
      <c r="Q7" s="1102"/>
      <c r="R7" s="1102"/>
    </row>
    <row r="8" spans="1:22" ht="45" customHeight="1">
      <c r="B8" s="2039" t="str">
        <f>Uebersetzung!D321</f>
        <v>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v>
      </c>
      <c r="C8" s="2039"/>
      <c r="D8" s="2039"/>
      <c r="E8" s="2039"/>
      <c r="F8" s="2039"/>
      <c r="G8" s="2039"/>
      <c r="H8" s="2039"/>
      <c r="I8" s="2039"/>
      <c r="J8" s="2039"/>
      <c r="K8" s="2039"/>
      <c r="L8" s="2039"/>
      <c r="M8" s="2039"/>
      <c r="N8" s="1108"/>
      <c r="O8" s="1108"/>
      <c r="P8" s="1108"/>
      <c r="Q8" s="1108"/>
      <c r="R8" s="1102"/>
    </row>
    <row r="9" spans="1:22" ht="8.1" customHeight="1">
      <c r="B9" s="1109"/>
      <c r="C9" s="1109"/>
      <c r="D9" s="1109"/>
      <c r="E9" s="1109"/>
      <c r="F9" s="1109"/>
      <c r="G9" s="1109"/>
      <c r="H9" s="1109"/>
      <c r="I9" s="1109"/>
      <c r="J9" s="1109"/>
      <c r="K9" s="1109"/>
      <c r="L9" s="1109"/>
      <c r="M9" s="1109"/>
      <c r="N9" s="1108"/>
      <c r="O9" s="1108"/>
      <c r="P9" s="1108"/>
      <c r="Q9" s="1108"/>
      <c r="R9" s="1102"/>
    </row>
    <row r="10" spans="1:22" ht="27" customHeight="1">
      <c r="A10" s="1707" t="s">
        <v>1764</v>
      </c>
      <c r="B10" s="2040" t="str">
        <f>Uebersetzung!D322</f>
        <v>Variante 1: valutazione complessiva di casi standard per le categorie d'edificio abitazioni, amministrazioni (uffici singoli e non), sale riunioni e depositi (senza raffreddamento).</v>
      </c>
      <c r="C10" s="2040"/>
      <c r="D10" s="2040"/>
      <c r="E10" s="2040"/>
      <c r="F10" s="2040"/>
      <c r="G10" s="2040"/>
      <c r="H10" s="2040"/>
      <c r="I10" s="2040"/>
      <c r="J10" s="2040"/>
      <c r="K10" s="2040"/>
      <c r="L10" s="2040"/>
      <c r="M10" s="1109"/>
      <c r="N10" s="1108"/>
      <c r="O10" s="1108"/>
      <c r="P10" s="1108"/>
      <c r="Q10" s="1161">
        <v>1</v>
      </c>
      <c r="R10" s="1460">
        <v>1</v>
      </c>
    </row>
    <row r="11" spans="1:22" ht="15" customHeight="1">
      <c r="A11" s="1709"/>
      <c r="B11" s="2027" t="str">
        <f>Uebersetzung!D323</f>
        <v>La valutazione globale si applica alle zone in cui tutti i locali rispettano le seguenti condizioni:</v>
      </c>
      <c r="C11" s="2028"/>
      <c r="D11" s="2028"/>
      <c r="E11" s="2028"/>
      <c r="F11" s="2028"/>
      <c r="G11" s="2028"/>
      <c r="H11" s="2028"/>
      <c r="I11" s="2028"/>
      <c r="J11" s="2028"/>
      <c r="K11" s="2028"/>
      <c r="L11" s="2029"/>
      <c r="M11" s="1110"/>
      <c r="N11" s="1111" t="str">
        <f>Uebersetzung!D27</f>
        <v>n.a.</v>
      </c>
      <c r="O11" s="1112" t="str">
        <f>N11</f>
        <v>n.a.</v>
      </c>
      <c r="P11" s="1112" t="str">
        <f>Uebersetzung!D350</f>
        <v>Tapparelle</v>
      </c>
      <c r="Q11" s="1113">
        <v>2</v>
      </c>
      <c r="R11" s="1114">
        <v>4</v>
      </c>
    </row>
    <row r="12" spans="1:22" ht="26.1" customHeight="1">
      <c r="B12" s="2043" t="str">
        <f>Uebersetzung!D324</f>
        <v>- non ci sono lucernari o finestre a tetto con una superficie vetrata &gt; 0.5 m2, vetrate più grandi possono essere trasformate in
   superfici verticali -&gt; si rimanda alla guida all'uso</v>
      </c>
      <c r="C12" s="2044"/>
      <c r="D12" s="2044"/>
      <c r="E12" s="2044"/>
      <c r="F12" s="2044"/>
      <c r="G12" s="2044"/>
      <c r="H12" s="2044"/>
      <c r="I12" s="2044"/>
      <c r="J12" s="2044"/>
      <c r="K12" s="2044"/>
      <c r="L12" s="2045"/>
      <c r="M12" s="1115"/>
      <c r="N12" s="1116" t="str">
        <f>Uebersetzung!D25</f>
        <v>si</v>
      </c>
      <c r="O12" s="1117" t="str">
        <f>N12</f>
        <v>si</v>
      </c>
      <c r="P12" s="1117" t="str">
        <f>Uebersetzung!D351</f>
        <v>Lamelle</v>
      </c>
      <c r="Q12" s="1161">
        <v>3</v>
      </c>
      <c r="R12" s="1460">
        <v>2</v>
      </c>
    </row>
    <row r="13" spans="1:22" ht="15" customHeight="1">
      <c r="B13" s="2043" t="str">
        <f>Uebersetzung!D325</f>
        <v>- schermatura solare esterna mobile tramite tapparella o lamella; (p. es. modulo minergie per protezioni solari)</v>
      </c>
      <c r="C13" s="2039"/>
      <c r="D13" s="2039"/>
      <c r="E13" s="2039"/>
      <c r="F13" s="2039"/>
      <c r="G13" s="2039"/>
      <c r="H13" s="2039"/>
      <c r="I13" s="2039"/>
      <c r="J13" s="2039"/>
      <c r="K13" s="2039"/>
      <c r="L13" s="2046"/>
      <c r="M13" s="1115"/>
      <c r="N13" s="1116" t="str">
        <f>Uebersetzung!D26</f>
        <v>no</v>
      </c>
      <c r="O13" s="1117" t="str">
        <f>N13</f>
        <v>no</v>
      </c>
      <c r="P13" s="1117" t="str">
        <f>Uebersetzung!D352</f>
        <v>Modulo Minergie</v>
      </c>
      <c r="Q13" s="1161">
        <v>4</v>
      </c>
      <c r="R13" s="1460">
        <v>3</v>
      </c>
    </row>
    <row r="14" spans="1:22" ht="15" customHeight="1">
      <c r="B14" s="2047" t="str">
        <f>Uebersetzung!D326</f>
        <v>- è possibile eseguire il raffreddamento notturno tramite finestre;</v>
      </c>
      <c r="C14" s="2048"/>
      <c r="D14" s="2048"/>
      <c r="E14" s="2048"/>
      <c r="F14" s="2048"/>
      <c r="G14" s="2048"/>
      <c r="H14" s="2048"/>
      <c r="I14" s="2048"/>
      <c r="J14" s="2048"/>
      <c r="K14" s="2048"/>
      <c r="L14" s="2049"/>
      <c r="M14" s="1115"/>
      <c r="N14" s="1118"/>
      <c r="O14" s="1119"/>
      <c r="P14" s="1119" t="str">
        <f>Uebersetzung!D353</f>
        <v>altro</v>
      </c>
      <c r="Q14" s="1161">
        <v>5</v>
      </c>
      <c r="R14" s="1102"/>
    </row>
    <row r="15" spans="1:22" ht="15" customHeight="1">
      <c r="B15" s="2050" t="str">
        <f>Uebersetzung!D327</f>
        <v>- carichi interni non superiori ai valori standard secondo quaderno tecnico SIA 2024</v>
      </c>
      <c r="C15" s="2051"/>
      <c r="D15" s="2051"/>
      <c r="E15" s="2051"/>
      <c r="F15" s="2051"/>
      <c r="G15" s="2051"/>
      <c r="H15" s="2051"/>
      <c r="I15" s="2051"/>
      <c r="J15" s="2051"/>
      <c r="K15" s="2051"/>
      <c r="L15" s="2052"/>
      <c r="M15" s="1120"/>
      <c r="N15" s="1108"/>
      <c r="O15" s="1108"/>
      <c r="P15" s="1108"/>
      <c r="Q15" s="1108"/>
      <c r="R15" s="1102"/>
      <c r="S15" s="1121" t="s">
        <v>1761</v>
      </c>
      <c r="T15" s="1122"/>
      <c r="U15" s="1122"/>
      <c r="V15" s="1123"/>
    </row>
    <row r="16" spans="1:22" ht="20.100000000000001" customHeight="1">
      <c r="B16" s="1124"/>
      <c r="C16" s="1125"/>
      <c r="D16" s="1125"/>
      <c r="E16" s="1125"/>
      <c r="F16" s="1125"/>
      <c r="G16" s="1125"/>
      <c r="H16" s="1126" t="s">
        <v>1762</v>
      </c>
      <c r="I16" s="1127">
        <v>1</v>
      </c>
      <c r="J16" s="1127">
        <v>2</v>
      </c>
      <c r="K16" s="1127">
        <v>3</v>
      </c>
      <c r="L16" s="1128">
        <v>4</v>
      </c>
      <c r="M16" s="1129"/>
      <c r="N16" s="1130">
        <v>1</v>
      </c>
      <c r="O16" s="1131">
        <v>2</v>
      </c>
      <c r="P16" s="1131">
        <v>3</v>
      </c>
      <c r="Q16" s="1132">
        <v>4</v>
      </c>
      <c r="R16" s="1102"/>
      <c r="S16" s="1133">
        <v>1</v>
      </c>
      <c r="T16" s="1134">
        <v>2</v>
      </c>
      <c r="U16" s="1134">
        <v>3</v>
      </c>
      <c r="V16" s="1135">
        <v>4</v>
      </c>
    </row>
    <row r="17" spans="1:22" ht="15" customHeight="1">
      <c r="B17" s="1136" t="str">
        <f>Uebersetzung!D328</f>
        <v>Nella zona, i locali soddisfano i seguenti criteri?</v>
      </c>
      <c r="C17" s="1099"/>
      <c r="D17" s="1099"/>
      <c r="E17" s="1099"/>
      <c r="F17" s="1099"/>
      <c r="G17" s="1099"/>
      <c r="H17" s="1099"/>
      <c r="I17" s="1137"/>
      <c r="J17" s="1137"/>
      <c r="K17" s="1137"/>
      <c r="L17" s="1138"/>
      <c r="M17" s="1129"/>
      <c r="N17" s="1139"/>
      <c r="O17" s="1139"/>
      <c r="P17" s="1139"/>
      <c r="Q17" s="1140"/>
      <c r="R17" s="1102"/>
      <c r="S17" s="1141"/>
      <c r="T17" s="1142"/>
      <c r="U17" s="1142"/>
      <c r="V17" s="1143"/>
    </row>
    <row r="18" spans="1:22" ht="24" customHeight="1">
      <c r="A18" s="2026" t="s">
        <v>3064</v>
      </c>
      <c r="B18" s="2053" t="str">
        <f>Uebersetzung!D329</f>
        <v>Schermatura solare esterna mobile. Se "altro" precisare qui:</v>
      </c>
      <c r="C18" s="2054"/>
      <c r="D18" s="2054"/>
      <c r="E18" s="2054"/>
      <c r="F18" s="2054"/>
      <c r="G18" s="2054"/>
      <c r="H18" s="2055"/>
      <c r="I18" s="2056"/>
      <c r="J18" s="2056"/>
      <c r="K18" s="2056"/>
      <c r="L18" s="2058"/>
      <c r="M18" s="1144"/>
      <c r="N18" s="1145" t="b">
        <f>OR(I18=$P$11,I18=$P$12,I18=$P$13,I18=$P$14)</f>
        <v>0</v>
      </c>
      <c r="O18" s="1146" t="b">
        <f>OR(J18=$P$11,J18=$P$12,J18=$P$13,J18=$P$14)</f>
        <v>0</v>
      </c>
      <c r="P18" s="1146" t="b">
        <f>OR(K18=$P$11,K18=$P$12,K18=$P$13,K18=$P$14)</f>
        <v>0</v>
      </c>
      <c r="Q18" s="1116" t="b">
        <f>OR(L18=$P$11,L18=$P$12,L18=$P$13,L18=$P$14)</f>
        <v>0</v>
      </c>
      <c r="R18" s="1102"/>
      <c r="S18" s="1147"/>
      <c r="T18" s="1148"/>
      <c r="U18" s="1148"/>
      <c r="V18" s="1149"/>
    </row>
    <row r="19" spans="1:22" ht="24" customHeight="1">
      <c r="A19" s="2026"/>
      <c r="B19" s="2060"/>
      <c r="C19" s="2061"/>
      <c r="D19" s="2061"/>
      <c r="E19" s="2061"/>
      <c r="F19" s="2061"/>
      <c r="G19" s="2061"/>
      <c r="H19" s="1150"/>
      <c r="I19" s="2057"/>
      <c r="J19" s="2057"/>
      <c r="K19" s="2057"/>
      <c r="L19" s="2059"/>
      <c r="M19" s="1120"/>
      <c r="N19" s="1145"/>
      <c r="O19" s="1146"/>
      <c r="P19" s="1146"/>
      <c r="Q19" s="1116"/>
      <c r="R19" s="1102"/>
      <c r="S19" s="1147"/>
      <c r="T19" s="1148"/>
      <c r="U19" s="1148"/>
      <c r="V19" s="1149"/>
    </row>
    <row r="20" spans="1:22" ht="27.9" customHeight="1">
      <c r="A20" s="1707" t="s">
        <v>3065</v>
      </c>
      <c r="B20" s="2062" t="str">
        <f>Uebersetzung!D331</f>
        <v>Abitazioni (mono- e plurifamiliari), locale con 1 facciata, soletta in calcestruzzo (libera &gt;80%): - percentuale di vetro &lt;70%</v>
      </c>
      <c r="C20" s="2063"/>
      <c r="D20" s="2063"/>
      <c r="E20" s="2063"/>
      <c r="F20" s="2063"/>
      <c r="G20" s="2063"/>
      <c r="H20" s="2064"/>
      <c r="I20" s="1153"/>
      <c r="J20" s="1151"/>
      <c r="K20" s="1151"/>
      <c r="L20" s="1152"/>
      <c r="M20" s="1129"/>
      <c r="N20" s="1145" t="b">
        <f t="shared" ref="N20:Q23" si="0">OR(I20=$N$11,I20=$N$12)</f>
        <v>0</v>
      </c>
      <c r="O20" s="1146" t="b">
        <f t="shared" si="0"/>
        <v>0</v>
      </c>
      <c r="P20" s="1146" t="b">
        <f t="shared" si="0"/>
        <v>0</v>
      </c>
      <c r="Q20" s="1116" t="b">
        <f t="shared" si="0"/>
        <v>0</v>
      </c>
      <c r="R20" s="1102"/>
      <c r="S20" s="1147" t="b">
        <f t="shared" ref="S20:V23" si="1">I20&lt;&gt;$N$11</f>
        <v>1</v>
      </c>
      <c r="T20" s="1148" t="b">
        <f t="shared" si="1"/>
        <v>1</v>
      </c>
      <c r="U20" s="1148" t="b">
        <f t="shared" si="1"/>
        <v>1</v>
      </c>
      <c r="V20" s="1149" t="b">
        <f t="shared" si="1"/>
        <v>1</v>
      </c>
    </row>
    <row r="21" spans="1:22" ht="27.9" customHeight="1">
      <c r="A21" s="1707" t="s">
        <v>1774</v>
      </c>
      <c r="B21" s="2041" t="str">
        <f>Uebersetzung!D332</f>
        <v>Abitazioni (mono - e plurifamiliari), locale ad angolo, soletta in calcestruzzo (libera &gt;80%): - percentuale di vetro per facciata &lt;50%</v>
      </c>
      <c r="C21" s="2042"/>
      <c r="D21" s="2042"/>
      <c r="E21" s="2042"/>
      <c r="F21" s="2042"/>
      <c r="G21" s="2042"/>
      <c r="H21" s="2065"/>
      <c r="I21" s="1153"/>
      <c r="J21" s="1153"/>
      <c r="K21" s="1153"/>
      <c r="L21" s="1154"/>
      <c r="M21" s="1129"/>
      <c r="N21" s="1145" t="b">
        <f t="shared" si="0"/>
        <v>0</v>
      </c>
      <c r="O21" s="1146" t="b">
        <f t="shared" si="0"/>
        <v>0</v>
      </c>
      <c r="P21" s="1146" t="b">
        <f t="shared" si="0"/>
        <v>0</v>
      </c>
      <c r="Q21" s="1116" t="b">
        <f t="shared" si="0"/>
        <v>0</v>
      </c>
      <c r="R21" s="1102"/>
      <c r="S21" s="1147" t="b">
        <f t="shared" si="1"/>
        <v>1</v>
      </c>
      <c r="T21" s="1148" t="b">
        <f t="shared" si="1"/>
        <v>1</v>
      </c>
      <c r="U21" s="1148" t="b">
        <f t="shared" si="1"/>
        <v>1</v>
      </c>
      <c r="V21" s="1149" t="b">
        <f t="shared" si="1"/>
        <v>1</v>
      </c>
    </row>
    <row r="22" spans="1:22" ht="38.1" customHeight="1">
      <c r="A22" s="1707" t="s">
        <v>1777</v>
      </c>
      <c r="B22" s="2041" t="str">
        <f>Uebersetzung!D333</f>
        <v>Abitazioni (mono - e plurifamiliari), locale con 1 facciata o locale ad angolo. Soletta in legno con sottofondo cementizio (min. 6 cm) o anidritico (min. 5 cm):   - percentuale di vetro &lt;40%</v>
      </c>
      <c r="C22" s="2042"/>
      <c r="D22" s="2042"/>
      <c r="E22" s="2042"/>
      <c r="F22" s="2042"/>
      <c r="G22" s="2042"/>
      <c r="H22" s="2065"/>
      <c r="I22" s="1153"/>
      <c r="J22" s="1153"/>
      <c r="K22" s="1153"/>
      <c r="L22" s="1154"/>
      <c r="M22" s="1129"/>
      <c r="N22" s="1145" t="b">
        <f t="shared" si="0"/>
        <v>0</v>
      </c>
      <c r="O22" s="1146" t="b">
        <f t="shared" si="0"/>
        <v>0</v>
      </c>
      <c r="P22" s="1146" t="b">
        <f t="shared" si="0"/>
        <v>0</v>
      </c>
      <c r="Q22" s="1116" t="b">
        <f t="shared" si="0"/>
        <v>0</v>
      </c>
      <c r="R22" s="1102"/>
      <c r="S22" s="1147" t="b">
        <f t="shared" si="1"/>
        <v>1</v>
      </c>
      <c r="T22" s="1148" t="b">
        <f t="shared" si="1"/>
        <v>1</v>
      </c>
      <c r="U22" s="1148" t="b">
        <f t="shared" si="1"/>
        <v>1</v>
      </c>
      <c r="V22" s="1149" t="b">
        <f t="shared" si="1"/>
        <v>1</v>
      </c>
    </row>
    <row r="23" spans="1:22" ht="47.1" customHeight="1">
      <c r="A23" s="1707" t="s">
        <v>1778</v>
      </c>
      <c r="B23" s="2041" t="str">
        <f>Uebersetzung!D334</f>
        <v>Abitazioni (mono - e plurifamiliari), locale con 1 facciata, soletta in calcestruzzo (libera &gt;80%) o con sottofondo cementizio (min. 6 cm) o anidritico (min. 5 cm), orientato a sud con ombreggiamento tramite balcone di min. 1 m di profondità:  - percentuale di vetro &lt;100%</v>
      </c>
      <c r="C23" s="2042"/>
      <c r="D23" s="2042"/>
      <c r="E23" s="2042"/>
      <c r="F23" s="2042"/>
      <c r="G23" s="2042"/>
      <c r="H23" s="2065"/>
      <c r="I23" s="1153"/>
      <c r="J23" s="1153"/>
      <c r="K23" s="1153"/>
      <c r="L23" s="1154"/>
      <c r="M23" s="1129"/>
      <c r="N23" s="1145" t="b">
        <f t="shared" si="0"/>
        <v>0</v>
      </c>
      <c r="O23" s="1146" t="b">
        <f t="shared" si="0"/>
        <v>0</v>
      </c>
      <c r="P23" s="1146" t="b">
        <f t="shared" si="0"/>
        <v>0</v>
      </c>
      <c r="Q23" s="1116" t="b">
        <f t="shared" si="0"/>
        <v>0</v>
      </c>
      <c r="R23" s="1102"/>
      <c r="S23" s="1147" t="b">
        <f t="shared" si="1"/>
        <v>1</v>
      </c>
      <c r="T23" s="1148" t="b">
        <f>J23&lt;&gt;$N$11</f>
        <v>1</v>
      </c>
      <c r="U23" s="1148" t="b">
        <f>K23&lt;&gt;$N$11</f>
        <v>1</v>
      </c>
      <c r="V23" s="1149" t="b">
        <f>L23&lt;&gt;$N$11</f>
        <v>1</v>
      </c>
    </row>
    <row r="24" spans="1:22" ht="38.1" customHeight="1">
      <c r="A24" s="1707" t="s">
        <v>1779</v>
      </c>
      <c r="B24" s="2041" t="str">
        <f>Uebersetzung!D335</f>
        <v>Ufficio singolo, ufficio di gruppo, sala riunioni con 1 facciata, soletta in calcestruzzo (libera &gt;80%):  - percentuale di vetro &lt;50% e regolazione automatica della schermatura solare</v>
      </c>
      <c r="C24" s="2042"/>
      <c r="D24" s="2042"/>
      <c r="E24" s="2042"/>
      <c r="F24" s="2042"/>
      <c r="G24" s="2042"/>
      <c r="H24" s="2042"/>
      <c r="I24" s="1153"/>
      <c r="J24" s="1153"/>
      <c r="K24" s="1153"/>
      <c r="L24" s="1154"/>
      <c r="M24" s="1129"/>
      <c r="N24" s="1145" t="b">
        <f t="shared" ref="N24:Q25" si="2">OR(I24=$N$11,I24=$N$12,minergiea)</f>
        <v>0</v>
      </c>
      <c r="O24" s="1146" t="b">
        <f t="shared" si="2"/>
        <v>0</v>
      </c>
      <c r="P24" s="1146" t="b">
        <f t="shared" si="2"/>
        <v>0</v>
      </c>
      <c r="Q24" s="1116" t="b">
        <f t="shared" si="2"/>
        <v>0</v>
      </c>
      <c r="R24" s="1102"/>
      <c r="S24" s="1147" t="b">
        <f t="shared" ref="S24:V26" si="3">IF(minergiea,FALSE,I24&lt;&gt;$N$11)</f>
        <v>1</v>
      </c>
      <c r="T24" s="1148" t="b">
        <f t="shared" si="3"/>
        <v>1</v>
      </c>
      <c r="U24" s="1148" t="b">
        <f t="shared" si="3"/>
        <v>1</v>
      </c>
      <c r="V24" s="1149" t="b">
        <f t="shared" si="3"/>
        <v>1</v>
      </c>
    </row>
    <row r="25" spans="1:22" ht="38.1" customHeight="1">
      <c r="A25" s="1707" t="s">
        <v>1780</v>
      </c>
      <c r="B25" s="2041" t="str">
        <f>Uebersetzung!D336</f>
        <v>Ufficio singolo, ufficio di gruppo, sala riunioni a locali d’angolo, soletta in calcestruzzo (libera &gt;80%):  - percentuale di vetro &lt; 35% e regolazione automatica della schermatura solare</v>
      </c>
      <c r="C25" s="2042"/>
      <c r="D25" s="2042"/>
      <c r="E25" s="2042"/>
      <c r="F25" s="2042"/>
      <c r="G25" s="2042"/>
      <c r="H25" s="2042"/>
      <c r="I25" s="1153"/>
      <c r="J25" s="1153"/>
      <c r="K25" s="1153"/>
      <c r="L25" s="1154"/>
      <c r="M25" s="1129"/>
      <c r="N25" s="1145" t="b">
        <f t="shared" si="2"/>
        <v>0</v>
      </c>
      <c r="O25" s="1146" t="b">
        <f t="shared" si="2"/>
        <v>0</v>
      </c>
      <c r="P25" s="1146" t="b">
        <f t="shared" si="2"/>
        <v>0</v>
      </c>
      <c r="Q25" s="1116" t="b">
        <f t="shared" si="2"/>
        <v>0</v>
      </c>
      <c r="R25" s="1102"/>
      <c r="S25" s="1147" t="b">
        <f t="shared" si="3"/>
        <v>1</v>
      </c>
      <c r="T25" s="1148" t="b">
        <f t="shared" si="3"/>
        <v>1</v>
      </c>
      <c r="U25" s="1148" t="b">
        <f t="shared" si="3"/>
        <v>1</v>
      </c>
      <c r="V25" s="1149" t="b">
        <f t="shared" si="3"/>
        <v>1</v>
      </c>
    </row>
    <row r="26" spans="1:22" ht="15.9" customHeight="1">
      <c r="A26" s="1707" t="s">
        <v>1781</v>
      </c>
      <c r="B26" s="2041" t="str">
        <f>Uebersetzung!D337</f>
        <v>Magazzino con bassi carichi di calore interni</v>
      </c>
      <c r="C26" s="2042"/>
      <c r="D26" s="2042"/>
      <c r="E26" s="2042"/>
      <c r="F26" s="2042"/>
      <c r="G26" s="2042"/>
      <c r="H26" s="2042"/>
      <c r="I26" s="1153"/>
      <c r="J26" s="1153"/>
      <c r="K26" s="1153"/>
      <c r="L26" s="1154"/>
      <c r="M26" s="1129"/>
      <c r="N26" s="1145" t="b">
        <f t="shared" ref="N26:Q26" si="4">OR(I26=$N$11,I26=$N$12,minergiea)</f>
        <v>0</v>
      </c>
      <c r="O26" s="1146" t="b">
        <f t="shared" si="4"/>
        <v>0</v>
      </c>
      <c r="P26" s="1146" t="b">
        <f t="shared" si="4"/>
        <v>0</v>
      </c>
      <c r="Q26" s="1116" t="b">
        <f t="shared" si="4"/>
        <v>0</v>
      </c>
      <c r="R26" s="1102"/>
      <c r="S26" s="1147" t="b">
        <f t="shared" si="3"/>
        <v>1</v>
      </c>
      <c r="T26" s="1148" t="b">
        <f t="shared" si="3"/>
        <v>1</v>
      </c>
      <c r="U26" s="1148" t="b">
        <f t="shared" si="3"/>
        <v>1</v>
      </c>
      <c r="V26" s="1149" t="b">
        <f t="shared" si="3"/>
        <v>1</v>
      </c>
    </row>
    <row r="27" spans="1:22" hidden="1">
      <c r="B27" s="2068"/>
      <c r="C27" s="2067"/>
      <c r="D27" s="2067"/>
      <c r="E27" s="2067"/>
      <c r="F27" s="2067"/>
      <c r="G27" s="2067"/>
      <c r="H27" s="2067"/>
      <c r="I27" s="1738" t="s">
        <v>216</v>
      </c>
      <c r="J27" s="1738" t="s">
        <v>216</v>
      </c>
      <c r="K27" s="1738" t="s">
        <v>216</v>
      </c>
      <c r="L27" s="1738" t="s">
        <v>216</v>
      </c>
      <c r="M27" s="1129"/>
      <c r="N27" s="1145" t="b">
        <f t="shared" ref="N27:Q29" si="5">OR(I27=$N$11,I27=$N$12)</f>
        <v>1</v>
      </c>
      <c r="O27" s="1146" t="b">
        <f t="shared" si="5"/>
        <v>1</v>
      </c>
      <c r="P27" s="1146" t="b">
        <f t="shared" si="5"/>
        <v>1</v>
      </c>
      <c r="Q27" s="1116" t="b">
        <f t="shared" si="5"/>
        <v>1</v>
      </c>
      <c r="R27" s="1102"/>
      <c r="S27" s="1147" t="b">
        <f t="shared" ref="S27:V29" si="6">I27&lt;&gt;$N$11</f>
        <v>0</v>
      </c>
      <c r="T27" s="1148" t="b">
        <f t="shared" si="6"/>
        <v>0</v>
      </c>
      <c r="U27" s="1148" t="b">
        <f t="shared" si="6"/>
        <v>0</v>
      </c>
      <c r="V27" s="1149" t="b">
        <f t="shared" si="6"/>
        <v>0</v>
      </c>
    </row>
    <row r="28" spans="1:22" hidden="1">
      <c r="B28" s="2069"/>
      <c r="C28" s="2070"/>
      <c r="D28" s="2070"/>
      <c r="E28" s="2070"/>
      <c r="F28" s="2070"/>
      <c r="G28" s="2070"/>
      <c r="H28" s="2070"/>
      <c r="I28" s="1738" t="s">
        <v>216</v>
      </c>
      <c r="J28" s="1738" t="s">
        <v>216</v>
      </c>
      <c r="K28" s="1738" t="s">
        <v>216</v>
      </c>
      <c r="L28" s="1738" t="s">
        <v>216</v>
      </c>
      <c r="M28" s="1129"/>
      <c r="N28" s="1145" t="b">
        <f t="shared" si="5"/>
        <v>1</v>
      </c>
      <c r="O28" s="1146" t="b">
        <f t="shared" si="5"/>
        <v>1</v>
      </c>
      <c r="P28" s="1146" t="b">
        <f t="shared" si="5"/>
        <v>1</v>
      </c>
      <c r="Q28" s="1116" t="b">
        <f t="shared" si="5"/>
        <v>1</v>
      </c>
      <c r="R28" s="1102"/>
      <c r="S28" s="1147" t="b">
        <f t="shared" si="6"/>
        <v>0</v>
      </c>
      <c r="T28" s="1148" t="b">
        <f t="shared" si="6"/>
        <v>0</v>
      </c>
      <c r="U28" s="1148" t="b">
        <f t="shared" si="6"/>
        <v>0</v>
      </c>
      <c r="V28" s="1149" t="b">
        <f t="shared" si="6"/>
        <v>0</v>
      </c>
    </row>
    <row r="29" spans="1:22" hidden="1">
      <c r="B29" s="2071"/>
      <c r="C29" s="2072"/>
      <c r="D29" s="2072"/>
      <c r="E29" s="2072"/>
      <c r="F29" s="2072"/>
      <c r="G29" s="2072"/>
      <c r="H29" s="2072"/>
      <c r="I29" s="1738" t="s">
        <v>216</v>
      </c>
      <c r="J29" s="1738" t="s">
        <v>216</v>
      </c>
      <c r="K29" s="1738" t="s">
        <v>216</v>
      </c>
      <c r="L29" s="1738" t="s">
        <v>216</v>
      </c>
      <c r="M29" s="1129"/>
      <c r="N29" s="1145" t="b">
        <f t="shared" si="5"/>
        <v>1</v>
      </c>
      <c r="O29" s="1146" t="b">
        <f t="shared" si="5"/>
        <v>1</v>
      </c>
      <c r="P29" s="1146" t="b">
        <f t="shared" si="5"/>
        <v>1</v>
      </c>
      <c r="Q29" s="1116" t="b">
        <f t="shared" si="5"/>
        <v>1</v>
      </c>
      <c r="R29" s="1102"/>
      <c r="S29" s="1147" t="b">
        <f t="shared" si="6"/>
        <v>0</v>
      </c>
      <c r="T29" s="1148" t="b">
        <f t="shared" si="6"/>
        <v>0</v>
      </c>
      <c r="U29" s="1148" t="b">
        <f t="shared" si="6"/>
        <v>0</v>
      </c>
      <c r="V29" s="1149" t="b">
        <f t="shared" si="6"/>
        <v>0</v>
      </c>
    </row>
    <row r="30" spans="1:22" ht="39.9" customHeight="1">
      <c r="A30" s="1707" t="s">
        <v>3066</v>
      </c>
      <c r="B30" s="2073" t="str">
        <f>Uebersetzung!D338</f>
        <v>"n.a.": non applicabile. Un locale di questo tipo non esiste
"si":    un locale di questo tipo esiste e tutti i criteri sono soddisfatti
"no":   un locale di questo tipo esiste, ma i criteri non sono soddisfatti (p.es. percentuale di vetro troppo elevata)</v>
      </c>
      <c r="C30" s="2074"/>
      <c r="D30" s="2074"/>
      <c r="E30" s="2074"/>
      <c r="F30" s="2074"/>
      <c r="G30" s="2074"/>
      <c r="H30" s="2074"/>
      <c r="I30" s="2074"/>
      <c r="J30" s="2074"/>
      <c r="K30" s="2074"/>
      <c r="L30" s="2075"/>
      <c r="M30" s="1155"/>
      <c r="N30" s="1156" t="b">
        <f>AND(N18:N29,S30)</f>
        <v>0</v>
      </c>
      <c r="O30" s="1157" t="b">
        <f>AND(O18:O29,T30)</f>
        <v>0</v>
      </c>
      <c r="P30" s="1157" t="b">
        <f>AND(P18:P29,U30)</f>
        <v>0</v>
      </c>
      <c r="Q30" s="1158" t="b">
        <f>AND(Q18:Q29,V30)</f>
        <v>0</v>
      </c>
      <c r="R30" s="1102"/>
      <c r="S30" s="1159" t="b">
        <f>OR(S20:S29)</f>
        <v>1</v>
      </c>
      <c r="T30" s="1160" t="b">
        <f>OR(T18:T29)</f>
        <v>1</v>
      </c>
      <c r="U30" s="1160" t="b">
        <f>OR(U18:U29)</f>
        <v>1</v>
      </c>
      <c r="V30" s="1160" t="b">
        <f>OR(V18:V29)</f>
        <v>1</v>
      </c>
    </row>
    <row r="31" spans="1:22" ht="12.75" customHeight="1">
      <c r="B31" s="1161"/>
      <c r="C31" s="1161"/>
      <c r="D31" s="1161"/>
      <c r="E31" s="1161"/>
      <c r="F31" s="1161"/>
      <c r="G31" s="1161"/>
      <c r="H31" s="1161"/>
      <c r="I31" s="1109"/>
      <c r="J31" s="1109"/>
      <c r="K31" s="1109"/>
      <c r="L31" s="1109"/>
      <c r="M31" s="1109"/>
      <c r="N31" s="1108"/>
      <c r="O31" s="1108"/>
      <c r="P31" s="1108"/>
      <c r="Q31" s="1108"/>
      <c r="R31" s="1102"/>
    </row>
    <row r="32" spans="1:22" ht="12.75" customHeight="1">
      <c r="A32" s="1707" t="s">
        <v>1784</v>
      </c>
      <c r="B32" s="1162" t="str">
        <f>Uebersetzung!D341</f>
        <v>Variante 2: verifica esterna dei criteri secondo SIA 382/1 (senza raffreddamento)</v>
      </c>
      <c r="C32" s="1108"/>
      <c r="D32" s="1108"/>
      <c r="E32" s="1108"/>
      <c r="F32" s="1108"/>
      <c r="G32" s="1108"/>
      <c r="H32" s="1108"/>
      <c r="I32" s="1108"/>
      <c r="J32" s="1108"/>
      <c r="K32" s="1108"/>
      <c r="L32" s="1108"/>
      <c r="M32" s="1108"/>
      <c r="N32" s="1163" t="str">
        <f>Uebersetzung!D25</f>
        <v>si</v>
      </c>
      <c r="O32" s="1108"/>
      <c r="P32" s="1108"/>
      <c r="Q32" s="1108"/>
      <c r="R32" s="1102"/>
    </row>
    <row r="33" spans="1:18" ht="15.9" customHeight="1">
      <c r="B33" s="1189" t="str">
        <f>Uebersetzung!D342</f>
        <v>Il rispetto di questi criteri è descritto e documentato negli allegati</v>
      </c>
      <c r="C33" s="1108"/>
      <c r="D33" s="1108"/>
      <c r="E33" s="1108"/>
      <c r="F33" s="1108"/>
      <c r="G33" s="1108"/>
      <c r="H33" s="1108"/>
      <c r="I33" s="1108"/>
      <c r="J33" s="1108"/>
      <c r="K33" s="1108"/>
      <c r="L33" s="1108"/>
      <c r="M33" s="1108"/>
      <c r="N33" s="1119" t="str">
        <f>Uebersetzung!D26</f>
        <v>no</v>
      </c>
      <c r="O33" s="1108"/>
      <c r="P33" s="1108"/>
      <c r="Q33" s="1108"/>
      <c r="R33" s="1102"/>
    </row>
    <row r="34" spans="1:18" ht="20.100000000000001" customHeight="1">
      <c r="B34" s="1164" t="str">
        <f>Uebersetzung!D343</f>
        <v>SIA 382/1 cfr.</v>
      </c>
      <c r="C34" s="2076" t="str">
        <f>Uebersetzung!D29</f>
        <v>Zone</v>
      </c>
      <c r="D34" s="2077"/>
      <c r="E34" s="2077"/>
      <c r="F34" s="2077"/>
      <c r="G34" s="2077"/>
      <c r="H34" s="2078"/>
      <c r="I34" s="1127">
        <v>1</v>
      </c>
      <c r="J34" s="1127">
        <v>2</v>
      </c>
      <c r="K34" s="1127">
        <v>3</v>
      </c>
      <c r="L34" s="1128">
        <v>4</v>
      </c>
      <c r="M34" s="1163"/>
      <c r="N34" s="1165">
        <v>1</v>
      </c>
      <c r="O34" s="1166">
        <v>2</v>
      </c>
      <c r="P34" s="1166">
        <v>3</v>
      </c>
      <c r="Q34" s="1167">
        <v>4</v>
      </c>
      <c r="R34" s="1102"/>
    </row>
    <row r="35" spans="1:18" ht="33.9" customHeight="1">
      <c r="A35" s="1707" t="s">
        <v>3067</v>
      </c>
      <c r="B35" s="1168" t="s">
        <v>1775</v>
      </c>
      <c r="C35" s="2079" t="str">
        <f>Uebersetzung!D344</f>
        <v>I requisiti per la protezione termica estiva sono soddisfatti tramite il formulario supplementare.</v>
      </c>
      <c r="D35" s="2063"/>
      <c r="E35" s="2063"/>
      <c r="F35" s="2063"/>
      <c r="G35" s="2063"/>
      <c r="H35" s="2063"/>
      <c r="I35" s="1151"/>
      <c r="J35" s="1151"/>
      <c r="K35" s="1151"/>
      <c r="L35" s="1152"/>
      <c r="M35" s="1169"/>
      <c r="N35" s="1170" t="b">
        <f t="shared" ref="N35:Q35" si="7">I35=$N$32</f>
        <v>0</v>
      </c>
      <c r="O35" s="1171" t="b">
        <f t="shared" si="7"/>
        <v>0</v>
      </c>
      <c r="P35" s="1171" t="b">
        <f t="shared" si="7"/>
        <v>0</v>
      </c>
      <c r="Q35" s="1111" t="b">
        <f t="shared" si="7"/>
        <v>0</v>
      </c>
      <c r="R35" s="1102"/>
    </row>
    <row r="36" spans="1:18" hidden="1">
      <c r="A36" s="1707" t="s">
        <v>1777</v>
      </c>
      <c r="B36" s="1172"/>
      <c r="C36" s="2080"/>
      <c r="D36" s="2042"/>
      <c r="E36" s="2042"/>
      <c r="F36" s="2042"/>
      <c r="G36" s="2042"/>
      <c r="H36" s="2042"/>
      <c r="I36" s="1153"/>
      <c r="J36" s="1153"/>
      <c r="K36" s="1153"/>
      <c r="L36" s="1154"/>
      <c r="M36" s="1169"/>
      <c r="N36" s="1145"/>
      <c r="O36" s="1146"/>
      <c r="P36" s="1146"/>
      <c r="Q36" s="1116"/>
      <c r="R36" s="1102"/>
    </row>
    <row r="37" spans="1:18" hidden="1">
      <c r="A37" s="1707" t="s">
        <v>1778</v>
      </c>
      <c r="B37" s="1172"/>
      <c r="C37" s="2080"/>
      <c r="D37" s="2042"/>
      <c r="E37" s="2042"/>
      <c r="F37" s="2042"/>
      <c r="G37" s="2042"/>
      <c r="H37" s="2042"/>
      <c r="I37" s="1153"/>
      <c r="J37" s="1153"/>
      <c r="K37" s="1153"/>
      <c r="L37" s="1154"/>
      <c r="M37" s="1169"/>
      <c r="N37" s="1146"/>
      <c r="O37" s="1146"/>
      <c r="P37" s="1146"/>
      <c r="Q37" s="1116"/>
      <c r="R37" s="1102"/>
    </row>
    <row r="38" spans="1:18" hidden="1">
      <c r="A38" s="1707" t="s">
        <v>1779</v>
      </c>
      <c r="B38" s="1173"/>
      <c r="C38" s="2066"/>
      <c r="D38" s="2067"/>
      <c r="E38" s="2067"/>
      <c r="F38" s="2067"/>
      <c r="G38" s="2067"/>
      <c r="H38" s="2067"/>
      <c r="I38" s="1153"/>
      <c r="J38" s="1153"/>
      <c r="K38" s="1153"/>
      <c r="L38" s="1154"/>
      <c r="M38" s="1169"/>
      <c r="N38" s="1145"/>
      <c r="O38" s="1146"/>
      <c r="P38" s="1146"/>
      <c r="Q38" s="1116"/>
      <c r="R38" s="1102"/>
    </row>
    <row r="39" spans="1:18" hidden="1">
      <c r="A39" s="1707" t="s">
        <v>1780</v>
      </c>
      <c r="B39" s="1173"/>
      <c r="C39" s="2066"/>
      <c r="D39" s="2067"/>
      <c r="E39" s="2067"/>
      <c r="F39" s="2067"/>
      <c r="G39" s="2067"/>
      <c r="H39" s="2067"/>
      <c r="I39" s="1153"/>
      <c r="J39" s="1153"/>
      <c r="K39" s="1153"/>
      <c r="L39" s="1154"/>
      <c r="M39" s="1169"/>
      <c r="N39" s="1145"/>
      <c r="O39" s="1146"/>
      <c r="P39" s="1146"/>
      <c r="Q39" s="1116"/>
      <c r="R39" s="1102"/>
    </row>
    <row r="40" spans="1:18" hidden="1">
      <c r="A40" s="1707" t="s">
        <v>1781</v>
      </c>
      <c r="B40" s="1173"/>
      <c r="C40" s="2066"/>
      <c r="D40" s="2067"/>
      <c r="E40" s="2067"/>
      <c r="F40" s="2067"/>
      <c r="G40" s="2067"/>
      <c r="H40" s="2067"/>
      <c r="I40" s="1153"/>
      <c r="J40" s="1153"/>
      <c r="K40" s="1153"/>
      <c r="L40" s="1154"/>
      <c r="M40" s="1169"/>
      <c r="N40" s="1145"/>
      <c r="O40" s="1146"/>
      <c r="P40" s="1146"/>
      <c r="Q40" s="1116"/>
      <c r="R40" s="1102"/>
    </row>
    <row r="41" spans="1:18" hidden="1">
      <c r="A41" s="1707" t="s">
        <v>1781</v>
      </c>
      <c r="B41" s="1173"/>
      <c r="C41" s="2066"/>
      <c r="D41" s="2067"/>
      <c r="E41" s="2067"/>
      <c r="F41" s="2067"/>
      <c r="G41" s="2067"/>
      <c r="H41" s="2067"/>
      <c r="I41" s="1153"/>
      <c r="J41" s="1153"/>
      <c r="K41" s="1153"/>
      <c r="L41" s="1154"/>
      <c r="M41" s="1169"/>
      <c r="N41" s="1174"/>
      <c r="O41" s="1175"/>
      <c r="P41" s="1175"/>
      <c r="Q41" s="1118"/>
      <c r="R41" s="1102"/>
    </row>
    <row r="42" spans="1:18" ht="15.9" customHeight="1">
      <c r="B42" s="1176" t="str">
        <f>Uebersetzung!D345</f>
        <v>Osservazioni sulla verifica esterna (tipo, allegati, p.es. criteri di scelta secondo la guida all'uso):</v>
      </c>
      <c r="C42" s="1177"/>
      <c r="D42" s="1177"/>
      <c r="E42" s="1177"/>
      <c r="F42" s="1177"/>
      <c r="G42" s="1177"/>
      <c r="H42" s="1177"/>
      <c r="I42" s="1146"/>
      <c r="J42" s="1146"/>
      <c r="K42" s="1146"/>
      <c r="L42" s="1116"/>
      <c r="M42" s="1117"/>
      <c r="N42" s="1175" t="b">
        <f>AND(N35:N41)</f>
        <v>0</v>
      </c>
      <c r="O42" s="1175" t="b">
        <f>AND(O35:O41)</f>
        <v>0</v>
      </c>
      <c r="P42" s="1175" t="b">
        <f>AND(P35:P41)</f>
        <v>0</v>
      </c>
      <c r="Q42" s="1158" t="b">
        <f>AND(Q35:Q41)</f>
        <v>0</v>
      </c>
      <c r="R42" s="1108"/>
    </row>
    <row r="43" spans="1:18" ht="20.100000000000001" customHeight="1">
      <c r="A43" s="1707" t="s">
        <v>3068</v>
      </c>
      <c r="B43" s="2060"/>
      <c r="C43" s="2061"/>
      <c r="D43" s="2061"/>
      <c r="E43" s="2061"/>
      <c r="F43" s="2061"/>
      <c r="G43" s="2061"/>
      <c r="H43" s="2061"/>
      <c r="I43" s="2061"/>
      <c r="J43" s="2061"/>
      <c r="K43" s="2061"/>
      <c r="L43" s="2086"/>
      <c r="M43" s="1119"/>
      <c r="N43" s="1108"/>
      <c r="O43" s="1108"/>
      <c r="P43" s="1108"/>
      <c r="Q43" s="1108"/>
      <c r="R43" s="1108"/>
    </row>
    <row r="44" spans="1:18" ht="9" customHeight="1">
      <c r="B44" s="1108"/>
      <c r="C44" s="1108"/>
      <c r="D44" s="1108"/>
      <c r="E44" s="1108"/>
      <c r="F44" s="1108"/>
      <c r="G44" s="1108"/>
      <c r="H44" s="1108"/>
      <c r="I44" s="1108"/>
      <c r="J44" s="1108"/>
      <c r="K44" s="1108"/>
      <c r="L44" s="1108"/>
      <c r="M44" s="1108"/>
      <c r="N44" s="1108"/>
      <c r="O44" s="1108"/>
      <c r="P44" s="1108"/>
      <c r="Q44" s="1108"/>
      <c r="R44" s="1102"/>
    </row>
    <row r="45" spans="1:18" ht="15.9" customHeight="1">
      <c r="A45" s="1707" t="s">
        <v>3069</v>
      </c>
      <c r="B45" s="1162" t="str">
        <f>Uebersetzung!D346</f>
        <v>Variante 3: calcolo tramite Tool SIA TEC 382/1 (con raffreddamento)</v>
      </c>
      <c r="C45" s="1108"/>
      <c r="D45" s="1108"/>
      <c r="E45" s="1108"/>
      <c r="F45" s="1108"/>
      <c r="G45" s="1108"/>
      <c r="H45" s="1108"/>
      <c r="I45" s="1108"/>
      <c r="J45" s="1108"/>
      <c r="K45" s="1108"/>
      <c r="L45" s="1108"/>
      <c r="M45" s="1108"/>
      <c r="N45" s="1108"/>
      <c r="O45" s="1108"/>
      <c r="P45" s="1108"/>
      <c r="Q45" s="1108"/>
      <c r="R45" s="1102"/>
    </row>
    <row r="46" spans="1:18" ht="20.100000000000001" customHeight="1">
      <c r="B46" s="1124"/>
      <c r="C46" s="2077" t="str">
        <f>Uebersetzung!D29</f>
        <v>Zone</v>
      </c>
      <c r="D46" s="2077"/>
      <c r="E46" s="2077"/>
      <c r="F46" s="2077"/>
      <c r="G46" s="2077"/>
      <c r="H46" s="2078"/>
      <c r="I46" s="1127">
        <v>1</v>
      </c>
      <c r="J46" s="1127">
        <v>2</v>
      </c>
      <c r="K46" s="1127">
        <v>3</v>
      </c>
      <c r="L46" s="1128">
        <v>4</v>
      </c>
      <c r="M46" s="1178"/>
      <c r="N46" s="1179">
        <v>1</v>
      </c>
      <c r="O46" s="1166">
        <v>2</v>
      </c>
      <c r="P46" s="1166">
        <v>3</v>
      </c>
      <c r="Q46" s="1167">
        <v>4</v>
      </c>
      <c r="R46" s="1102"/>
    </row>
    <row r="47" spans="1:18" ht="38.1" customHeight="1">
      <c r="A47" s="1707" t="s">
        <v>3070</v>
      </c>
      <c r="B47" s="2062" t="str">
        <f>Uebersetzung!D347</f>
        <v>Le temperature estive dell'aria interna sono calcolate tramite SIA 382/1, cifra 4.4.4. La curva dei valori limite non viene oltrepassata per più di 100 h senza raffreddamento.</v>
      </c>
      <c r="C47" s="2063"/>
      <c r="D47" s="2063"/>
      <c r="E47" s="2063"/>
      <c r="F47" s="2063"/>
      <c r="G47" s="2063"/>
      <c r="H47" s="2064"/>
      <c r="I47" s="1151"/>
      <c r="J47" s="1151"/>
      <c r="K47" s="1151"/>
      <c r="L47" s="1152"/>
      <c r="M47" s="1169"/>
      <c r="N47" s="1170" t="b">
        <f t="shared" ref="N47:Q50" si="8">I47=$N$32</f>
        <v>0</v>
      </c>
      <c r="O47" s="1171" t="b">
        <f t="shared" si="8"/>
        <v>0</v>
      </c>
      <c r="P47" s="1171" t="b">
        <f t="shared" si="8"/>
        <v>0</v>
      </c>
      <c r="Q47" s="1111" t="b">
        <f t="shared" si="8"/>
        <v>0</v>
      </c>
      <c r="R47" s="1102"/>
    </row>
    <row r="48" spans="1:18" ht="26.1" customHeight="1">
      <c r="A48" s="1707" t="s">
        <v>3071</v>
      </c>
      <c r="B48" s="2041" t="str">
        <f>Uebersetzung!D348</f>
        <v>La zona è climatizzata e il fabbisogno energetico è stato calcolato. Nei locali non si riscontrano temperature estive elevate.</v>
      </c>
      <c r="C48" s="2042"/>
      <c r="D48" s="2042"/>
      <c r="E48" s="2042"/>
      <c r="F48" s="2042"/>
      <c r="G48" s="2042"/>
      <c r="H48" s="2042"/>
      <c r="I48" s="1153"/>
      <c r="J48" s="1153"/>
      <c r="K48" s="1153"/>
      <c r="L48" s="1154"/>
      <c r="M48" s="1169"/>
      <c r="N48" s="1145" t="b">
        <f t="shared" si="8"/>
        <v>0</v>
      </c>
      <c r="O48" s="1146" t="b">
        <f t="shared" si="8"/>
        <v>0</v>
      </c>
      <c r="P48" s="1146" t="b">
        <f t="shared" si="8"/>
        <v>0</v>
      </c>
      <c r="Q48" s="1116" t="b">
        <f t="shared" si="8"/>
        <v>0</v>
      </c>
      <c r="R48" s="1102"/>
    </row>
    <row r="49" spans="1:18" hidden="1">
      <c r="A49" s="1707" t="s">
        <v>1786</v>
      </c>
      <c r="B49" s="2068"/>
      <c r="C49" s="2067"/>
      <c r="D49" s="2067"/>
      <c r="E49" s="2067"/>
      <c r="F49" s="2067"/>
      <c r="G49" s="2067"/>
      <c r="H49" s="2067"/>
      <c r="I49" s="1153"/>
      <c r="J49" s="1153"/>
      <c r="K49" s="1153"/>
      <c r="L49" s="1154"/>
      <c r="M49" s="1169"/>
      <c r="N49" s="1145" t="b">
        <f t="shared" si="8"/>
        <v>0</v>
      </c>
      <c r="O49" s="1146" t="b">
        <f t="shared" si="8"/>
        <v>0</v>
      </c>
      <c r="P49" s="1146" t="b">
        <f t="shared" si="8"/>
        <v>0</v>
      </c>
      <c r="Q49" s="1116" t="b">
        <f t="shared" si="8"/>
        <v>0</v>
      </c>
      <c r="R49" s="1102"/>
    </row>
    <row r="50" spans="1:18" hidden="1">
      <c r="A50" s="1707" t="s">
        <v>1787</v>
      </c>
      <c r="B50" s="2081"/>
      <c r="C50" s="2082"/>
      <c r="D50" s="2082"/>
      <c r="E50" s="2082"/>
      <c r="F50" s="2082"/>
      <c r="G50" s="2082"/>
      <c r="H50" s="2082"/>
      <c r="I50" s="1180"/>
      <c r="J50" s="1180"/>
      <c r="K50" s="1180"/>
      <c r="L50" s="1181"/>
      <c r="M50" s="1182"/>
      <c r="N50" s="1174" t="b">
        <f t="shared" si="8"/>
        <v>0</v>
      </c>
      <c r="O50" s="1175" t="b">
        <f t="shared" si="8"/>
        <v>0</v>
      </c>
      <c r="P50" s="1175" t="b">
        <f t="shared" si="8"/>
        <v>0</v>
      </c>
      <c r="Q50" s="1118" t="b">
        <f t="shared" si="8"/>
        <v>0</v>
      </c>
      <c r="R50" s="1102"/>
    </row>
    <row r="51" spans="1:18" ht="9" customHeight="1">
      <c r="B51" s="1125"/>
      <c r="C51" s="1125"/>
      <c r="D51" s="1125"/>
      <c r="E51" s="1125"/>
      <c r="F51" s="1125"/>
      <c r="G51" s="1125"/>
      <c r="H51" s="1125"/>
      <c r="I51" s="1157"/>
      <c r="J51" s="1157"/>
      <c r="K51" s="1157"/>
      <c r="L51" s="1157"/>
      <c r="M51" s="1157"/>
      <c r="N51" s="1175" t="b">
        <f>OR(N47:N50)</f>
        <v>0</v>
      </c>
      <c r="O51" s="1175" t="b">
        <f>OR(O47:O50)</f>
        <v>0</v>
      </c>
      <c r="P51" s="1175" t="b">
        <f>OR(P47:P50)</f>
        <v>0</v>
      </c>
      <c r="Q51" s="1118" t="b">
        <f>OR(Q47:Q50)</f>
        <v>0</v>
      </c>
      <c r="R51" s="1183" t="s">
        <v>1788</v>
      </c>
    </row>
    <row r="52" spans="1:18" ht="27.9" customHeight="1">
      <c r="A52" s="1707" t="s">
        <v>3072</v>
      </c>
      <c r="B52" s="2083" t="str">
        <f>Uebersetzung!D349</f>
        <v>Secondo quanto dichiarato, i requisiti per la protezione termica estiva sono soddisfatte.</v>
      </c>
      <c r="C52" s="2084"/>
      <c r="D52" s="2084"/>
      <c r="E52" s="2084"/>
      <c r="F52" s="2084"/>
      <c r="G52" s="2084"/>
      <c r="H52" s="2085"/>
      <c r="I52" s="1184" t="str">
        <f>IF(N52,$N32,$N33)</f>
        <v>no</v>
      </c>
      <c r="J52" s="1184" t="str">
        <f>IF(O52,$N32,$N33)</f>
        <v>no</v>
      </c>
      <c r="K52" s="1184" t="str">
        <f>IF(P52,$N32,$N33)</f>
        <v>no</v>
      </c>
      <c r="L52" s="1185" t="str">
        <f>IF(Q52,$N32,$N33)</f>
        <v>no</v>
      </c>
      <c r="M52" s="1186"/>
      <c r="N52" s="1174" t="b">
        <f>OR(N30,N42,N51)</f>
        <v>0</v>
      </c>
      <c r="O52" s="1175" t="b">
        <f>OR(O30,O42,O51)</f>
        <v>0</v>
      </c>
      <c r="P52" s="1175" t="b">
        <f>OR(P30,P42,P51)</f>
        <v>0</v>
      </c>
      <c r="Q52" s="1118" t="b">
        <f>OR(Q30,Q42,Q51)</f>
        <v>0</v>
      </c>
      <c r="R52" s="1187" t="b">
        <f>IF(Zonen&gt;3,AND(N52,O52,P52,Q52),IF(Zonen&gt;2,AND(N52,O52,P52),IF(Zonen&gt;1,AND(N52,O52),N52)))</f>
        <v>0</v>
      </c>
    </row>
    <row r="56" spans="1:18">
      <c r="B56" s="1188"/>
    </row>
  </sheetData>
  <sheetProtection password="C616" sheet="1" objects="1" scenarios="1"/>
  <mergeCells count="43">
    <mergeCell ref="B50:H50"/>
    <mergeCell ref="B52:H52"/>
    <mergeCell ref="C41:H41"/>
    <mergeCell ref="B43:L43"/>
    <mergeCell ref="C46:H46"/>
    <mergeCell ref="B47:H47"/>
    <mergeCell ref="B48:H48"/>
    <mergeCell ref="B49:H49"/>
    <mergeCell ref="C40:H40"/>
    <mergeCell ref="B26:H26"/>
    <mergeCell ref="B27:H27"/>
    <mergeCell ref="B28:H28"/>
    <mergeCell ref="B29:H29"/>
    <mergeCell ref="B30:L30"/>
    <mergeCell ref="C34:H34"/>
    <mergeCell ref="C35:H35"/>
    <mergeCell ref="C36:H36"/>
    <mergeCell ref="C37:H37"/>
    <mergeCell ref="C38:H38"/>
    <mergeCell ref="C39:H39"/>
    <mergeCell ref="B25:H25"/>
    <mergeCell ref="B12:L12"/>
    <mergeCell ref="B13:L13"/>
    <mergeCell ref="B14:L14"/>
    <mergeCell ref="B15:L15"/>
    <mergeCell ref="B18:H18"/>
    <mergeCell ref="I18:I19"/>
    <mergeCell ref="J18:J19"/>
    <mergeCell ref="K18:K19"/>
    <mergeCell ref="L18:L19"/>
    <mergeCell ref="B19:G19"/>
    <mergeCell ref="B20:H20"/>
    <mergeCell ref="B21:H21"/>
    <mergeCell ref="B22:H22"/>
    <mergeCell ref="B23:H23"/>
    <mergeCell ref="B24:H24"/>
    <mergeCell ref="A18:A19"/>
    <mergeCell ref="B11:L11"/>
    <mergeCell ref="B4:M4"/>
    <mergeCell ref="B5:M5"/>
    <mergeCell ref="B6:M6"/>
    <mergeCell ref="B8:M8"/>
    <mergeCell ref="B10:L10"/>
  </mergeCells>
  <conditionalFormatting sqref="I52">
    <cfRule type="expression" dxfId="90" priority="9" stopIfTrue="1">
      <formula>$N$52</formula>
    </cfRule>
  </conditionalFormatting>
  <conditionalFormatting sqref="J52">
    <cfRule type="expression" dxfId="89" priority="4" stopIfTrue="1">
      <formula>Zonen&lt;2</formula>
    </cfRule>
    <cfRule type="expression" dxfId="88" priority="10" stopIfTrue="1">
      <formula>$O$52</formula>
    </cfRule>
  </conditionalFormatting>
  <conditionalFormatting sqref="K52">
    <cfRule type="expression" dxfId="87" priority="3">
      <formula>Zonen&lt;3</formula>
    </cfRule>
    <cfRule type="expression" dxfId="86" priority="11" stopIfTrue="1">
      <formula>$P$52</formula>
    </cfRule>
  </conditionalFormatting>
  <conditionalFormatting sqref="L52">
    <cfRule type="expression" dxfId="85" priority="2">
      <formula>Zonen&lt;4</formula>
    </cfRule>
    <cfRule type="expression" dxfId="84" priority="12" stopIfTrue="1">
      <formula>$Q$52</formula>
    </cfRule>
  </conditionalFormatting>
  <conditionalFormatting sqref="I35:I41 I47:I50 I20:I29">
    <cfRule type="expression" dxfId="83" priority="13" stopIfTrue="1">
      <formula>Zonen&gt;0</formula>
    </cfRule>
  </conditionalFormatting>
  <conditionalFormatting sqref="J35:J41 J47:J50 J20:J26">
    <cfRule type="expression" dxfId="82" priority="14" stopIfTrue="1">
      <formula>Zonen&gt;1</formula>
    </cfRule>
  </conditionalFormatting>
  <conditionalFormatting sqref="K35:K41 K47:K50 K20:K26">
    <cfRule type="expression" dxfId="81" priority="15" stopIfTrue="1">
      <formula>Zonen&gt;2</formula>
    </cfRule>
  </conditionalFormatting>
  <conditionalFormatting sqref="L35:L41 L47:L50 L20:L26">
    <cfRule type="expression" dxfId="80" priority="16" stopIfTrue="1">
      <formula>Zonen&gt;3</formula>
    </cfRule>
  </conditionalFormatting>
  <conditionalFormatting sqref="I18">
    <cfRule type="expression" dxfId="79" priority="8" stopIfTrue="1">
      <formula>Zonen&gt;0</formula>
    </cfRule>
  </conditionalFormatting>
  <conditionalFormatting sqref="J18">
    <cfRule type="expression" dxfId="78" priority="7" stopIfTrue="1">
      <formula>Zonen&gt;1</formula>
    </cfRule>
  </conditionalFormatting>
  <conditionalFormatting sqref="K18">
    <cfRule type="expression" dxfId="77" priority="6" stopIfTrue="1">
      <formula>Zonen&gt;2</formula>
    </cfRule>
  </conditionalFormatting>
  <conditionalFormatting sqref="L18">
    <cfRule type="expression" dxfId="76" priority="5" stopIfTrue="1">
      <formula>Zonen&gt;3</formula>
    </cfRule>
  </conditionalFormatting>
  <conditionalFormatting sqref="J27:L29">
    <cfRule type="expression" dxfId="75" priority="1" stopIfTrue="1">
      <formula>Zonen&gt;0</formula>
    </cfRule>
  </conditionalFormatting>
  <dataValidations count="6">
    <dataValidation type="list" allowBlank="1" showInputMessage="1" showErrorMessage="1" sqref="I18:L18">
      <formula1>$P$11:$P$14</formula1>
    </dataValidation>
    <dataValidation type="list" allowBlank="1" showInputMessage="1" showErrorMessage="1" sqref="I24:L29">
      <formula1>$O$11:$O$13</formula1>
    </dataValidation>
    <dataValidation type="list" allowBlank="1" showInputMessage="1" showErrorMessage="1" sqref="I23:L23">
      <formula1>$N$11:$N$12</formula1>
    </dataValidation>
    <dataValidation type="list" allowBlank="1" showInputMessage="1" showErrorMessage="1" sqref="I47:L50">
      <formula1>$N$31:$N$33</formula1>
    </dataValidation>
    <dataValidation type="list" allowBlank="1" showInputMessage="1" showErrorMessage="1" sqref="I20:L22">
      <formula1>$N$11:$N$13</formula1>
    </dataValidation>
    <dataValidation type="list" allowBlank="1" showInputMessage="1" showErrorMessage="1" sqref="I35:L41">
      <formula1>$N$32:$N$33</formula1>
    </dataValidation>
  </dataValidations>
  <pageMargins left="0.59055118110236227" right="0.31496062992125984" top="0.47244094488188981" bottom="0.47244094488188981" header="0.27559055118110237" footer="0.27559055118110237"/>
  <pageSetup paperSize="9" scale="93" orientation="portrait" horizontalDpi="4294967295" verticalDpi="4294967295" r:id="rId1"/>
  <headerFooter>
    <oddFooter>&amp;L&amp;8&amp;F / &amp;A / &amp;D, &amp;T</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AK87"/>
  <sheetViews>
    <sheetView showZeros="0" zoomScaleNormal="100" workbookViewId="0"/>
  </sheetViews>
  <sheetFormatPr baseColWidth="10" defaultColWidth="11.44140625" defaultRowHeight="11.4"/>
  <cols>
    <col min="1" max="1" width="4.33203125" style="1696" customWidth="1"/>
    <col min="2" max="2" width="10.6640625" style="97" customWidth="1"/>
    <col min="3" max="3" width="8.6640625" style="97" customWidth="1"/>
    <col min="4" max="4" width="12.6640625" style="97" customWidth="1"/>
    <col min="5" max="6" width="8.6640625" style="97" customWidth="1"/>
    <col min="7" max="7" width="10.6640625" style="97" customWidth="1"/>
    <col min="8" max="10" width="9.6640625" style="97" customWidth="1"/>
    <col min="11" max="11" width="0.88671875" style="97" hidden="1" customWidth="1"/>
    <col min="12" max="12" width="9.6640625" style="97" customWidth="1"/>
    <col min="13" max="13" width="11.44140625" style="1712" customWidth="1"/>
    <col min="14" max="15" width="11.44140625" style="125" hidden="1" customWidth="1"/>
    <col min="16" max="29" width="11.44140625" style="97" hidden="1" customWidth="1"/>
    <col min="30" max="31" width="11.44140625" style="1492" hidden="1" customWidth="1"/>
    <col min="32" max="35" width="11.44140625" style="97" hidden="1" customWidth="1"/>
    <col min="36" max="36" width="11.44140625" style="1492" hidden="1" customWidth="1"/>
    <col min="37" max="37" width="11.44140625" style="97" hidden="1" customWidth="1"/>
    <col min="38" max="16384" width="11.44140625" style="97"/>
  </cols>
  <sheetData>
    <row r="1" spans="1:37" ht="9.9" customHeight="1">
      <c r="L1" s="824" t="str">
        <f>Dati!K1</f>
        <v>Formulario EN101b, v2.02, da utilizzare fino al 31.12.2018</v>
      </c>
      <c r="O1" s="827"/>
    </row>
    <row r="2" spans="1:37" ht="17.100000000000001" customHeight="1">
      <c r="B2" s="36"/>
      <c r="C2" s="870"/>
      <c r="D2" s="870"/>
      <c r="E2" s="119"/>
      <c r="F2" s="870"/>
      <c r="G2" s="119"/>
      <c r="H2" s="1921" t="str">
        <f>Dati!G2</f>
        <v>Verifica energetica</v>
      </c>
      <c r="I2" s="1922"/>
      <c r="J2" s="1922"/>
      <c r="K2" s="1922"/>
      <c r="L2" s="1923"/>
      <c r="N2" s="825"/>
      <c r="O2" s="828" t="str">
        <f>Uebersetzung!D25</f>
        <v>si</v>
      </c>
      <c r="P2" s="826" t="s">
        <v>785</v>
      </c>
      <c r="Q2" s="761" t="b">
        <f>IF(Dati!F14=Standardwerte!Y47,TRUE,FALSE)</f>
        <v>0</v>
      </c>
      <c r="S2" s="762" t="s">
        <v>788</v>
      </c>
      <c r="T2" s="781">
        <f>IF(AND(Neubau1=2,G43&gt;0),_EBF1,0)+IF(AND(Neubau2=2,H43&gt;0),_EBF2,0)+IF(AND(Neubau3=2,I43&gt;0),_EBF3,0)+IF(AND(Neubau4=2,J43&gt;0),_EBF4,0)</f>
        <v>0</v>
      </c>
      <c r="U2" s="5" t="s">
        <v>321</v>
      </c>
      <c r="V2" s="762" t="s">
        <v>790</v>
      </c>
      <c r="W2" s="797">
        <f>IF(MUKEN,L34,Dati!K89/3.6)</f>
        <v>0</v>
      </c>
      <c r="X2" s="5" t="s">
        <v>525</v>
      </c>
      <c r="Y2" s="762" t="s">
        <v>791</v>
      </c>
      <c r="Z2" s="797">
        <f>qw</f>
        <v>0</v>
      </c>
      <c r="AA2" s="5" t="s">
        <v>525</v>
      </c>
      <c r="AB2" s="796" t="s">
        <v>803</v>
      </c>
      <c r="AC2" s="761" t="b">
        <f>IF(OR(AND(G43&gt;0,OR(Kategorie1=7,Kategorie1=12,Kategorie1=13)),AND(H43&gt;0,OR(Kategorie2=7,Kategorie2=12,Kategorie2=13)),AND(I43&gt;0,OR(Kategorie3=7,Kategorie3=12,Kategorie3=13)),AND(J43&gt;0,OR(Kategorie4=7,Kategorie4=12,Kategorie4=13))),TRUE,FALSE)</f>
        <v>0</v>
      </c>
      <c r="AG2" s="2087" t="s">
        <v>2363</v>
      </c>
      <c r="AH2" s="2088"/>
      <c r="AJ2" s="1225" t="s">
        <v>2697</v>
      </c>
    </row>
    <row r="3" spans="1:37" ht="17.100000000000001" customHeight="1">
      <c r="B3" s="1200">
        <f>IF(MUKEN,1,0)</f>
        <v>0</v>
      </c>
      <c r="C3" s="148">
        <f>IF(MUKEN,0,1)</f>
        <v>1</v>
      </c>
      <c r="D3" s="42"/>
      <c r="E3" s="53"/>
      <c r="F3" s="2117" t="s">
        <v>757</v>
      </c>
      <c r="G3" s="1925"/>
      <c r="H3" s="1926" t="str">
        <f>Dati!G3</f>
        <v>Fabbisogno energetico</v>
      </c>
      <c r="I3" s="1927"/>
      <c r="J3" s="1927"/>
      <c r="K3" s="1927"/>
      <c r="L3" s="1928"/>
      <c r="N3" s="750" t="s">
        <v>778</v>
      </c>
      <c r="O3" s="829" t="str">
        <f>Uebersetzung!D26</f>
        <v>no</v>
      </c>
      <c r="AG3" s="1037" t="s">
        <v>2362</v>
      </c>
      <c r="AH3" s="1484" t="s">
        <v>2366</v>
      </c>
      <c r="AJ3" s="1037" t="s">
        <v>2689</v>
      </c>
    </row>
    <row r="4" spans="1:37" ht="17.100000000000001" customHeight="1">
      <c r="B4" s="95"/>
      <c r="C4" s="60"/>
      <c r="D4" s="60"/>
      <c r="E4" s="120"/>
      <c r="F4" s="60"/>
      <c r="G4" s="120"/>
      <c r="H4" s="1929">
        <f>Dati!G4</f>
        <v>0</v>
      </c>
      <c r="I4" s="1930"/>
      <c r="J4" s="1930"/>
      <c r="K4" s="1930"/>
      <c r="L4" s="1931"/>
      <c r="N4" s="770"/>
      <c r="O4" s="605" t="s">
        <v>726</v>
      </c>
      <c r="P4" s="735" t="s">
        <v>727</v>
      </c>
      <c r="Q4" s="605" t="s">
        <v>726</v>
      </c>
      <c r="R4" s="775"/>
      <c r="S4" s="603"/>
      <c r="T4" s="604"/>
      <c r="U4" s="775"/>
      <c r="V4" s="602"/>
      <c r="W4" s="775"/>
      <c r="X4" s="2132" t="s">
        <v>728</v>
      </c>
      <c r="Y4" s="2133"/>
      <c r="Z4" s="2133"/>
      <c r="AA4" s="2134"/>
      <c r="AB4" s="735" t="s">
        <v>729</v>
      </c>
      <c r="AC4" s="602"/>
      <c r="AD4" s="1515"/>
      <c r="AG4" s="1497"/>
      <c r="AH4" s="1498"/>
      <c r="AJ4" s="1515"/>
    </row>
    <row r="5" spans="1:37" ht="15.9" customHeight="1">
      <c r="B5" s="25"/>
      <c r="C5" s="25"/>
      <c r="D5" s="25"/>
      <c r="E5" s="25"/>
      <c r="F5" s="25"/>
      <c r="G5" s="25"/>
      <c r="H5" s="27"/>
      <c r="I5" s="27"/>
      <c r="J5" s="96"/>
      <c r="L5" s="125"/>
      <c r="N5" s="768"/>
      <c r="O5" s="772"/>
      <c r="P5" s="773" t="s">
        <v>731</v>
      </c>
      <c r="Q5" s="774"/>
      <c r="R5" s="101"/>
      <c r="S5" s="777"/>
      <c r="T5" s="769"/>
      <c r="U5" s="101"/>
      <c r="V5" s="774"/>
      <c r="W5" s="101"/>
      <c r="X5" s="777"/>
      <c r="Y5" s="101"/>
      <c r="Z5" s="101"/>
      <c r="AA5" s="769"/>
      <c r="AB5" s="101"/>
      <c r="AC5" s="774"/>
      <c r="AD5" s="1516"/>
      <c r="AG5" s="1497"/>
      <c r="AH5" s="1498"/>
      <c r="AI5" s="1509" t="s">
        <v>2693</v>
      </c>
      <c r="AJ5" s="1560">
        <f>L34</f>
        <v>0</v>
      </c>
      <c r="AK5" s="5" t="s">
        <v>525</v>
      </c>
    </row>
    <row r="6" spans="1:37" s="599" customFormat="1" ht="20.100000000000001" customHeight="1">
      <c r="A6" s="1705"/>
      <c r="B6" s="634" t="str">
        <f>Uebersetzung!D256</f>
        <v>Produzione di calore:</v>
      </c>
      <c r="C6" s="713"/>
      <c r="D6" s="713"/>
      <c r="E6" s="699"/>
      <c r="F6" s="699"/>
      <c r="G6" s="700"/>
      <c r="H6" s="2125" t="str">
        <f>Uebersetzung!D257</f>
        <v>Rendimento / CLA</v>
      </c>
      <c r="I6" s="2126"/>
      <c r="J6" s="2122" t="str">
        <f>Uebersetzung!D258</f>
        <v>Tasso di copertura [%]</v>
      </c>
      <c r="K6" s="2123"/>
      <c r="L6" s="2124"/>
      <c r="M6" s="1710"/>
      <c r="N6" s="736" t="s">
        <v>730</v>
      </c>
      <c r="O6" s="606" t="s">
        <v>731</v>
      </c>
      <c r="P6" s="773" t="s">
        <v>1223</v>
      </c>
      <c r="Q6" s="606" t="s">
        <v>732</v>
      </c>
      <c r="R6" s="764" t="s">
        <v>236</v>
      </c>
      <c r="S6" s="2135" t="s">
        <v>733</v>
      </c>
      <c r="T6" s="2136"/>
      <c r="U6" s="773" t="s">
        <v>734</v>
      </c>
      <c r="V6" s="606" t="s">
        <v>735</v>
      </c>
      <c r="W6" s="773" t="s">
        <v>736</v>
      </c>
      <c r="X6" s="2135" t="s">
        <v>737</v>
      </c>
      <c r="Y6" s="2136"/>
      <c r="Z6" s="606" t="s">
        <v>738</v>
      </c>
      <c r="AA6" s="737" t="s">
        <v>738</v>
      </c>
      <c r="AB6" s="773" t="s">
        <v>739</v>
      </c>
      <c r="AC6" s="606" t="s">
        <v>99</v>
      </c>
      <c r="AD6" s="606" t="s">
        <v>2384</v>
      </c>
      <c r="AG6" s="1499"/>
      <c r="AH6" s="1500"/>
      <c r="AI6" s="1510" t="s">
        <v>2694</v>
      </c>
      <c r="AJ6" s="620">
        <f>qw</f>
        <v>0</v>
      </c>
      <c r="AK6" s="5" t="s">
        <v>525</v>
      </c>
    </row>
    <row r="7" spans="1:37" s="599" customFormat="1" ht="18" customHeight="1">
      <c r="A7" s="1705" t="s">
        <v>409</v>
      </c>
      <c r="B7" s="2129" t="str">
        <f>Uebersetzung!D259</f>
        <v>Produzione di calore A</v>
      </c>
      <c r="C7" s="2130"/>
      <c r="D7" s="2130"/>
      <c r="E7" s="2130"/>
      <c r="F7" s="2130"/>
      <c r="G7" s="2131"/>
      <c r="H7" s="744" t="str">
        <f>Uebersetzung!D263</f>
        <v>Valore</v>
      </c>
      <c r="I7" s="745" t="str">
        <f>Uebersetzung!D264</f>
        <v>Valore utilizz.</v>
      </c>
      <c r="J7" s="746" t="str">
        <f>Uebersetzung!D265</f>
        <v>Riscaldam.</v>
      </c>
      <c r="K7" s="747"/>
      <c r="L7" s="748" t="str">
        <f>Uebersetzung!D266</f>
        <v>Acqua calda</v>
      </c>
      <c r="M7" s="1710"/>
      <c r="N7" s="610" t="s">
        <v>525</v>
      </c>
      <c r="O7" s="612" t="s">
        <v>525</v>
      </c>
      <c r="P7" s="771" t="s">
        <v>525</v>
      </c>
      <c r="Q7" s="612" t="s">
        <v>525</v>
      </c>
      <c r="R7" s="776"/>
      <c r="S7" s="610" t="s">
        <v>742</v>
      </c>
      <c r="T7" s="611" t="s">
        <v>743</v>
      </c>
      <c r="U7" s="771"/>
      <c r="V7" s="612" t="s">
        <v>744</v>
      </c>
      <c r="W7" s="771" t="s">
        <v>744</v>
      </c>
      <c r="X7" s="610" t="s">
        <v>526</v>
      </c>
      <c r="Y7" s="611" t="s">
        <v>527</v>
      </c>
      <c r="Z7" s="612" t="s">
        <v>526</v>
      </c>
      <c r="AA7" s="611" t="s">
        <v>527</v>
      </c>
      <c r="AB7" s="771" t="s">
        <v>745</v>
      </c>
      <c r="AC7" s="612"/>
      <c r="AD7" s="612" t="s">
        <v>2385</v>
      </c>
      <c r="AG7" s="1499"/>
      <c r="AH7" s="1500"/>
      <c r="AI7" s="1561" t="s">
        <v>2695</v>
      </c>
      <c r="AJ7" s="620">
        <f>AJ5+AJ6</f>
        <v>0</v>
      </c>
      <c r="AK7" s="5" t="s">
        <v>525</v>
      </c>
    </row>
    <row r="8" spans="1:37" s="599" customFormat="1" ht="18" customHeight="1">
      <c r="A8" s="1719" t="s">
        <v>410</v>
      </c>
      <c r="B8" s="2091"/>
      <c r="C8" s="2092"/>
      <c r="D8" s="2092"/>
      <c r="E8" s="2092"/>
      <c r="F8" s="2092"/>
      <c r="G8" s="2093"/>
      <c r="H8" s="683"/>
      <c r="I8" s="684">
        <f>IF(H8&lt;&gt;"",IF(H8&gt;W8,W8,H8),V8)</f>
        <v>0</v>
      </c>
      <c r="J8" s="685"/>
      <c r="K8" s="836"/>
      <c r="L8" s="835"/>
      <c r="M8" s="1710">
        <f>IF(B8="",1,VLOOKUP(B8,Standardwerte!$T$108:$AK$155,18,FALSE))</f>
        <v>1</v>
      </c>
      <c r="N8" s="1774">
        <f>S8*qh*IF(J8="",0,MIN(J8,IF(J9&lt;&gt;"",J9,J8))*S8)/100+T8*qw*IF(L8="",0,MIN(L8,IF(L9&lt;&gt;"",L9,L8))*T8)/100</f>
        <v>0</v>
      </c>
      <c r="O8" s="613">
        <f>IF(I8=0,0,N8/I8)</f>
        <v>0</v>
      </c>
      <c r="P8" s="613">
        <f>IF(R8=2,0,O8*R8)</f>
        <v>0</v>
      </c>
      <c r="Q8" s="614">
        <f>IF(AC8,-G9*G10/EBF,IF(U8,-N8/I8*G9,IF(R8=2,N8/I8,0)))</f>
        <v>0</v>
      </c>
      <c r="R8" s="605">
        <f>INDEX(Standardwerte!$Z$108:$Z$155,M8,1)</f>
        <v>0</v>
      </c>
      <c r="S8" s="601">
        <f>INDEX(Standardwerte!$AB$108:$AB$155,M8,1)</f>
        <v>0</v>
      </c>
      <c r="T8" s="609">
        <f>INDEX(Standardwerte!$AA$108:$AA$155,M8,1)</f>
        <v>0</v>
      </c>
      <c r="U8" s="609" t="b">
        <f>INDEX(Standardwerte!$AF$108:$AF$155,M8,1)</f>
        <v>0</v>
      </c>
      <c r="V8" s="609">
        <f>IF(U8,AB9,INDEX(Standardwerte!$X$108:$X$155,M8,1))</f>
        <v>0</v>
      </c>
      <c r="W8" s="614">
        <f>IF(U8,AB9,INDEX(Standardwerte!$Y$108:$Y$155,M8,1))</f>
        <v>0</v>
      </c>
      <c r="X8" s="2137">
        <f>IF(G9&gt;0,IF(Hoehe&lt;800,(440/((1/G9)+610/(EBF*(qw+qh)))/G9),(490/((1/G9)+610/(EBF*(qw+qh)))/G9)),)</f>
        <v>0</v>
      </c>
      <c r="Y8" s="2138"/>
      <c r="Z8" s="613">
        <f>IF(G9&gt;0,IF(qw&gt;0,IF(Hoehe&lt;800,(640/((1/G9)+380/(EBF*qw))/G9),(700/((1/G9)+380/(EBF*qw))/G9)),),)</f>
        <v>0</v>
      </c>
      <c r="AA8" s="609"/>
      <c r="AB8" s="605">
        <f>IF(U8,IF(G9&gt;0.5,1,0),0)</f>
        <v>0</v>
      </c>
      <c r="AC8" s="609" t="b">
        <f>INDEX(Standardwerte!$AG$108:$AG$155,M8,1)</f>
        <v>0</v>
      </c>
      <c r="AD8" s="605" t="b">
        <f>(Q8&lt;0)</f>
        <v>0</v>
      </c>
      <c r="AF8" s="1510" t="s">
        <v>2370</v>
      </c>
      <c r="AG8" s="1499">
        <f>INDEX(Standardwerte!$AP$108:$AP$155,M8,1)</f>
        <v>0</v>
      </c>
      <c r="AH8" s="1500">
        <f>IF(WirkungsgradA&gt;0,AG8*WaermebedarfA/WirkungsgradA,0)</f>
        <v>0</v>
      </c>
      <c r="AI8" s="1510" t="s">
        <v>2370</v>
      </c>
      <c r="AJ8" s="1563">
        <f>IF(AND(M8=15,G9&lt;0.35),1,1-INDEX(Standardwerte!$AS$108:$AS$155,Verifica!M8,1))</f>
        <v>1</v>
      </c>
    </row>
    <row r="9" spans="1:37" s="599" customFormat="1" ht="14.1" customHeight="1">
      <c r="A9" s="1719" t="s">
        <v>411</v>
      </c>
      <c r="B9" s="2097" t="str">
        <f>IF(INDEX(Standardwerte!$AD$108:$AD$155,M8,1)=0,"",INDEX(Standardwerte!$AD$108:$AD$155,M8,1))</f>
        <v/>
      </c>
      <c r="C9" s="2098"/>
      <c r="D9" s="2098"/>
      <c r="E9" s="2098"/>
      <c r="F9" s="690"/>
      <c r="G9" s="838"/>
      <c r="H9" s="2105" t="str">
        <f>IF(AB8=1,"Deckungs-grad Soll-wert &lt; 0.5","")</f>
        <v/>
      </c>
      <c r="I9" s="686"/>
      <c r="J9" s="740">
        <f>IF(EBF&gt;0,IF(M8=33,Y11,IF(M8=31,AA11,"")),0)</f>
        <v>0</v>
      </c>
      <c r="K9" s="741"/>
      <c r="L9" s="742" t="str">
        <f>IF(M8=32,Z11,IF(M8=33,X11,""))</f>
        <v/>
      </c>
      <c r="M9" s="1716" t="str">
        <f>IF(INDEX(Standardwerte!$AD$108:$AD$155,M8,1)=0,"",INDEX(Standardwerte!$AL$108:$AL$155,M8,1))</f>
        <v/>
      </c>
      <c r="N9" s="606"/>
      <c r="O9" s="606"/>
      <c r="P9" s="606"/>
      <c r="Q9" s="607"/>
      <c r="R9" s="608"/>
      <c r="S9" s="616"/>
      <c r="T9" s="615"/>
      <c r="U9" s="615"/>
      <c r="V9" s="615"/>
      <c r="W9" s="617"/>
      <c r="X9" s="618">
        <f>IF(G10&lt;&gt;0,G10,X8)</f>
        <v>0</v>
      </c>
      <c r="Y9" s="619">
        <f>IF(Hoehe&lt;800,(440-X8)/610*100,(490-X8)/610*100)</f>
        <v>72.131147540983605</v>
      </c>
      <c r="Z9" s="620">
        <f>IF(G10&lt;&gt;0,G10,Z8)</f>
        <v>0</v>
      </c>
      <c r="AA9" s="607">
        <f>IF(G10&gt;0,G10,0)</f>
        <v>0</v>
      </c>
      <c r="AB9" s="621">
        <f>IF(H8="",IF(M8=15,Standardwerte!$X$122-G9,Standardwerte!$X$123-G9),AB10)</f>
        <v>0.7</v>
      </c>
      <c r="AC9" s="615"/>
      <c r="AD9" s="606"/>
      <c r="AG9" s="1499"/>
      <c r="AH9" s="1500"/>
      <c r="AI9" s="1510" t="s">
        <v>2691</v>
      </c>
      <c r="AJ9" s="1562">
        <f>J8/100</f>
        <v>0</v>
      </c>
    </row>
    <row r="10" spans="1:37" s="599" customFormat="1" ht="14.1" customHeight="1">
      <c r="A10" s="1705" t="s">
        <v>412</v>
      </c>
      <c r="B10" s="2099" t="str">
        <f>IF(INDEX(Standardwerte!$AD$108:$AE$155,M8,2)=0,"",INDEX(Standardwerte!$AD$108:$AE$155,M8,2))</f>
        <v/>
      </c>
      <c r="C10" s="2100"/>
      <c r="D10" s="2100"/>
      <c r="E10" s="2100"/>
      <c r="F10" s="1558" t="str">
        <f>IF(M8=33,IF(G10&gt;0,G10,X8),IF(M8=32,IF(G10&gt;0,G10,Z8),""))</f>
        <v/>
      </c>
      <c r="G10" s="837"/>
      <c r="H10" s="2106"/>
      <c r="I10" s="686"/>
      <c r="J10" s="2118" t="str">
        <f>IF(AND(J9&gt;0,J9&lt;&gt;""),IF(J8&gt;J9+0.1,"Deckungsgrad zu hoch",""),"")</f>
        <v/>
      </c>
      <c r="K10" s="743"/>
      <c r="L10" s="2127" t="str">
        <f>IF(AND(L9&gt;0,L9&lt;&gt;""),IF(L8&gt;L9+0.1,"Deckungsgrad zu hoch",""),"")</f>
        <v/>
      </c>
      <c r="M10" s="1710"/>
      <c r="N10" s="606"/>
      <c r="O10" s="606"/>
      <c r="P10" s="606"/>
      <c r="Q10" s="607"/>
      <c r="R10" s="608"/>
      <c r="S10" s="616"/>
      <c r="T10" s="615"/>
      <c r="U10" s="615"/>
      <c r="V10" s="615"/>
      <c r="W10" s="617"/>
      <c r="X10" s="618">
        <f>IF(qw&gt;0,IF(EBF&gt;0,IF((qh+qw)=0,,IF(AND(G9&gt;0,G10&gt;0),MIN(100/qw*X9*G9/EBF,100),IF(G9&gt;0,MIN(70,Y9*(qw+qh)/qw),))),),0)</f>
        <v>0</v>
      </c>
      <c r="Y10" s="619">
        <f>IF(EBF&gt;0,IF(AND(G9&gt;0,X9&gt;0),MIN(100/qh*(X9*G9/EBF-X11/100*qw),100),IF(X10&lt;70,0,IF(AND(G9&gt;0,G10&gt;0),G9*X9/EBF,((qw+qh)*Y9/100-qw*0.7)/qh))*100),)</f>
        <v>0</v>
      </c>
      <c r="Z10" s="620">
        <f>IF(EBF&gt;0,IF(G9&gt;0,IF(qw&gt;0,IF(G10&lt;&gt;0,MIN(100/qw*Z9*G9/EBF,80),MIN(IF(Hoehe&lt;800,((640-Z8)/380*100),((700-Z8)/380*100)),80)),0),)*T8,)</f>
        <v>0</v>
      </c>
      <c r="AA10" s="619">
        <f>IF(qh&gt;0,IF((100/qh*AA9*G9/EBF)&gt;100,100,(100/qh*AA9*G9/EBF)),0)*S8</f>
        <v>0</v>
      </c>
      <c r="AB10" s="621">
        <f>IF(M8=15,Standardwerte!$Y$122-G9,Standardwerte!$Y$123-G9)</f>
        <v>0.9</v>
      </c>
      <c r="AC10" s="615"/>
      <c r="AD10" s="606"/>
      <c r="AG10" s="1499"/>
      <c r="AH10" s="1500"/>
      <c r="AI10" s="1510" t="s">
        <v>2692</v>
      </c>
      <c r="AJ10" s="1562">
        <f>L8/100</f>
        <v>0</v>
      </c>
    </row>
    <row r="11" spans="1:37" s="599" customFormat="1" ht="15.9" customHeight="1">
      <c r="A11" s="1705" t="s">
        <v>413</v>
      </c>
      <c r="B11" s="2120" t="str">
        <f>Uebersetzung!D260</f>
        <v>Produzione di calore B</v>
      </c>
      <c r="C11" s="2121"/>
      <c r="D11" s="2121"/>
      <c r="E11" s="2121"/>
      <c r="F11" s="682"/>
      <c r="G11" s="682"/>
      <c r="H11" s="2107"/>
      <c r="I11" s="682"/>
      <c r="J11" s="2119"/>
      <c r="K11" s="743"/>
      <c r="L11" s="2128"/>
      <c r="M11" s="1710"/>
      <c r="N11" s="612"/>
      <c r="O11" s="612"/>
      <c r="P11" s="612"/>
      <c r="Q11" s="611" t="s">
        <v>747</v>
      </c>
      <c r="R11" s="624"/>
      <c r="S11" s="622"/>
      <c r="T11" s="623"/>
      <c r="U11" s="623"/>
      <c r="V11" s="623"/>
      <c r="W11" s="625"/>
      <c r="X11" s="626">
        <f>IF(G9&gt;0,IF(L8&lt;&gt;0,MIN(X10,L8),IF(AND(G10&lt;&gt;0,L8&lt;&gt;0),L8,X10)),)*T8</f>
        <v>0</v>
      </c>
      <c r="Y11" s="627">
        <f>IF(J8&lt;&gt;0,MIN(Y10,J8),IF(AND(G10&lt;&gt;0,J8&lt;&gt;0),J8,Y10))*S8</f>
        <v>0</v>
      </c>
      <c r="Z11" s="628">
        <f>IF(G9&gt;0,IF(L8&lt;&gt;0,MIN(L8,Z10),IF(AND(G10&lt;&gt;0,L8&lt;&gt;0),L8,Z10)),)*T8</f>
        <v>0</v>
      </c>
      <c r="AA11" s="627">
        <f>IF(J8&lt;&gt;0,MIN(AA10,J8),AA10)*S8</f>
        <v>0</v>
      </c>
      <c r="AB11" s="624"/>
      <c r="AC11" s="623"/>
      <c r="AD11" s="606"/>
      <c r="AG11" s="1499"/>
      <c r="AH11" s="1500"/>
      <c r="AJ11" s="612"/>
    </row>
    <row r="12" spans="1:37" s="599" customFormat="1" ht="18" customHeight="1">
      <c r="A12" s="1719" t="s">
        <v>414</v>
      </c>
      <c r="B12" s="2091"/>
      <c r="C12" s="2092"/>
      <c r="D12" s="2092"/>
      <c r="E12" s="2092"/>
      <c r="F12" s="2092"/>
      <c r="G12" s="2093"/>
      <c r="H12" s="683"/>
      <c r="I12" s="684">
        <f>IF(H12&lt;&gt;"",IF(H12&gt;W12,W12,H12),V12)</f>
        <v>0</v>
      </c>
      <c r="J12" s="685"/>
      <c r="K12" s="833"/>
      <c r="L12" s="835"/>
      <c r="M12" s="1710">
        <f>IF(B12="",1,VLOOKUP(B12,Standardwerte!$T$108:$AK$155,18,FALSE))</f>
        <v>1</v>
      </c>
      <c r="N12" s="1774">
        <f>S12*qh*IF(J12="",0,MIN(J12,IF(J13&lt;&gt;"",J13,J12))*S12)/100+T12*qw*IF(L12="",0,MIN(L12,IF(L13&lt;&gt;"",L13,L12))*T12)/100</f>
        <v>0</v>
      </c>
      <c r="O12" s="613">
        <f>IF(I12=0,0,N12/I12)</f>
        <v>0</v>
      </c>
      <c r="P12" s="613">
        <f>IF(R12=2,0,O12*R12)</f>
        <v>0</v>
      </c>
      <c r="Q12" s="614">
        <f>IF(AC12,-G13*G14/EBF,IF(U12,-N12/I12*G13,IF(R12=2,N12/I12,0)))</f>
        <v>0</v>
      </c>
      <c r="R12" s="605">
        <f>INDEX(Standardwerte!$Z$108:$Z$155,M12,1)</f>
        <v>0</v>
      </c>
      <c r="S12" s="601">
        <f>INDEX(Standardwerte!$AB$108:$AB$155,M12,1)</f>
        <v>0</v>
      </c>
      <c r="T12" s="609">
        <f>INDEX(Standardwerte!$AA$108:$AA$155,M12,1)</f>
        <v>0</v>
      </c>
      <c r="U12" s="708" t="b">
        <f>INDEX(Standardwerte!$AF$108:$AF$155,M12,1)</f>
        <v>0</v>
      </c>
      <c r="V12" s="609">
        <f>IF(U12,AB13,INDEX(Standardwerte!$X$108:$X$155,M12,1))</f>
        <v>0</v>
      </c>
      <c r="W12" s="614">
        <f>IF(U12,AB13,INDEX(Standardwerte!$Y$108:$Y$155,M12,1))</f>
        <v>0</v>
      </c>
      <c r="X12" s="2137">
        <f>IF(G13&gt;0,IF(Hoehe&lt;800,(440/((1/G13)+610/(EBF*(qw+qh)))/G13),(490/((1/G13)+610/(EBF*(qw+qh)))/G13)),)</f>
        <v>0</v>
      </c>
      <c r="Y12" s="2138"/>
      <c r="Z12" s="620">
        <f>IF(G13&gt;0,IF(qw&gt;0,IF(Hoehe&lt;800,(640/((1/G13)+380/(EBF*qw))/G13),(700/((1/G13)+380/(EBF*qw))/G13)),),)</f>
        <v>0</v>
      </c>
      <c r="AA12" s="607"/>
      <c r="AB12" s="605">
        <f>IF(U12,IF(G13&gt;0.5,1,0),0)</f>
        <v>0</v>
      </c>
      <c r="AC12" s="609" t="b">
        <f>INDEX(Standardwerte!$AG$108:$AG$155,M12,1)</f>
        <v>0</v>
      </c>
      <c r="AD12" s="605" t="b">
        <f>(Q12&lt;0)</f>
        <v>0</v>
      </c>
      <c r="AF12" s="1510" t="s">
        <v>2371</v>
      </c>
      <c r="AG12" s="1499">
        <f>INDEX(Standardwerte!$AP$108:$AP$155,M12,1)</f>
        <v>0</v>
      </c>
      <c r="AH12" s="1500">
        <f>IF(WirkungsgradB&gt;0,AG12*WaermebedarfB/WirkungsgradB,0)</f>
        <v>0</v>
      </c>
      <c r="AI12" s="1510" t="s">
        <v>2371</v>
      </c>
      <c r="AJ12" s="1562">
        <f>IF(AND(M12=15,G13&lt;0.35),1,1-INDEX(Standardwerte!$AS$108:$AS$155,Verifica!M12,1))</f>
        <v>1</v>
      </c>
    </row>
    <row r="13" spans="1:37" s="599" customFormat="1" ht="14.1" customHeight="1">
      <c r="A13" s="1705" t="s">
        <v>415</v>
      </c>
      <c r="B13" s="2097" t="str">
        <f>IF(INDEX(Standardwerte!$AD$108:$AD$155,M12,1)=0,"",INDEX(Standardwerte!$AD$108:$AD$155,M12,1))</f>
        <v/>
      </c>
      <c r="C13" s="2098"/>
      <c r="D13" s="2098"/>
      <c r="E13" s="2098"/>
      <c r="F13" s="690"/>
      <c r="G13" s="838"/>
      <c r="H13" s="2105" t="str">
        <f>IF(AB12=1,"Deckungs-grad Soll-wert &lt; 0.5","")</f>
        <v/>
      </c>
      <c r="I13" s="686"/>
      <c r="J13" s="740">
        <f>IF(EBF&gt;0,IF(M12=33,Y15,IF(M12=31,AA15,"")),0)</f>
        <v>0</v>
      </c>
      <c r="K13" s="741"/>
      <c r="L13" s="742" t="str">
        <f>IF(M12=32,Z15,IF(M12=33,X15,""))</f>
        <v/>
      </c>
      <c r="M13" s="1716" t="str">
        <f>IF(INDEX(Standardwerte!$AD$108:$AD$155,M12,1)=0,"",INDEX(Standardwerte!$AL$108:$AL$155,M12,1))</f>
        <v/>
      </c>
      <c r="N13" s="606"/>
      <c r="O13" s="606"/>
      <c r="P13" s="606"/>
      <c r="Q13" s="607"/>
      <c r="R13" s="608"/>
      <c r="S13" s="616"/>
      <c r="T13" s="615"/>
      <c r="U13" s="615"/>
      <c r="V13" s="615"/>
      <c r="W13" s="617"/>
      <c r="X13" s="618">
        <f>IF(G14&lt;&gt;0,G14,X12)</f>
        <v>0</v>
      </c>
      <c r="Y13" s="619">
        <f>IF(Hoehe&lt;800,(440-X12)/610*100,(490-X12)/610*100)</f>
        <v>72.131147540983605</v>
      </c>
      <c r="Z13" s="620">
        <f>IF(G14&lt;&gt;0,G14,Z12)</f>
        <v>0</v>
      </c>
      <c r="AA13" s="607">
        <f>IF(G14&gt;0,G14,0)</f>
        <v>0</v>
      </c>
      <c r="AB13" s="621">
        <f>IF(H12="",IF(M12=15,Standardwerte!$X$122-G13,Standardwerte!$X$123-G13),AB14)</f>
        <v>0.7</v>
      </c>
      <c r="AC13" s="615"/>
      <c r="AD13" s="606"/>
      <c r="AG13" s="1499"/>
      <c r="AH13" s="1500"/>
      <c r="AI13" s="1510" t="s">
        <v>2691</v>
      </c>
      <c r="AJ13" s="1562">
        <f>J12/100</f>
        <v>0</v>
      </c>
    </row>
    <row r="14" spans="1:37" s="599" customFormat="1" ht="14.1" customHeight="1">
      <c r="A14" s="1719" t="s">
        <v>416</v>
      </c>
      <c r="B14" s="2099" t="str">
        <f>IF(INDEX(Standardwerte!$AD$108:$AE$155,M12,2)=0,"",INDEX(Standardwerte!$AD$108:$AE$155,M12,2))</f>
        <v/>
      </c>
      <c r="C14" s="2100"/>
      <c r="D14" s="2100"/>
      <c r="E14" s="2100"/>
      <c r="F14" s="1558" t="str">
        <f>IF(M12=33,IF(G14&gt;0,G14,X12),IF(M12=32,IF(G14&gt;0,G14,Z12),""))</f>
        <v/>
      </c>
      <c r="G14" s="837"/>
      <c r="H14" s="2106"/>
      <c r="I14" s="686"/>
      <c r="J14" s="2118" t="str">
        <f>IF(AND(J13&gt;0,J13&lt;&gt;""),IF(J12&gt;J13+0.1,"Deckungsgrad zu hoch",""),"")</f>
        <v/>
      </c>
      <c r="K14" s="743"/>
      <c r="L14" s="2127" t="str">
        <f>IF(AND(L13&gt;0,L13&lt;&gt;""),IF(L12&gt;L13+0.1,"Deckungsgrad zu hoch",""),"")</f>
        <v/>
      </c>
      <c r="M14" s="1710"/>
      <c r="N14" s="606"/>
      <c r="O14" s="606"/>
      <c r="P14" s="606"/>
      <c r="Q14" s="607"/>
      <c r="R14" s="608"/>
      <c r="S14" s="616"/>
      <c r="T14" s="615"/>
      <c r="U14" s="615"/>
      <c r="V14" s="615"/>
      <c r="W14" s="617"/>
      <c r="X14" s="618">
        <f>IF(qw&gt;0,IF(EBF&gt;0,IF((qh+qw)=0,,IF(AND(G13&gt;0,G14&gt;0),MIN(100/qw*X13*G13/EBF,100),IF(G13&gt;0,MIN(70,Y13*(qw+qh)/qw),))),),0)</f>
        <v>0</v>
      </c>
      <c r="Y14" s="619">
        <f>IF(EBF&gt;0,IF(AND(G13&gt;0,X13&gt;0),MIN(100/qh*(X13*G13/EBF-X15/100*qw),100),IF(X14&lt;70,0,IF(AND(G13&gt;0,G14&gt;0),G13*X13/EBF,((qw+qh)*Y13/100-qw*0.7)/qh))*100),)</f>
        <v>0</v>
      </c>
      <c r="Z14" s="620">
        <f>IF(EBF&gt;0,IF(G13&gt;0,IF(qw&gt;0,IF(G14&lt;&gt;0,MIN(100/qw*Z13*G13/EBF,80),MIN(IF(Hoehe&lt;800,((640-Z12)/380*100),((700-Z12)/380*100)),80)),0),)*T12,)</f>
        <v>0</v>
      </c>
      <c r="AA14" s="619">
        <f>IF(qh&gt;0,IF((100/qh*AA13*G13/EBF)&gt;100,100,(100/qh*AA13*G13/EBF)),0)*S12</f>
        <v>0</v>
      </c>
      <c r="AB14" s="621">
        <f>IF(M12=15,Standardwerte!$Y$122-G13,Standardwerte!$Y$123-G13)</f>
        <v>0.9</v>
      </c>
      <c r="AC14" s="615"/>
      <c r="AD14" s="606"/>
      <c r="AG14" s="1499"/>
      <c r="AH14" s="1500"/>
      <c r="AI14" s="1510" t="s">
        <v>2692</v>
      </c>
      <c r="AJ14" s="1562">
        <f>L12/100</f>
        <v>0</v>
      </c>
    </row>
    <row r="15" spans="1:37" s="599" customFormat="1" ht="15.9" customHeight="1">
      <c r="A15" s="1705" t="s">
        <v>417</v>
      </c>
      <c r="B15" s="701" t="str">
        <f>Uebersetzung!D261</f>
        <v>Produzione di calore C</v>
      </c>
      <c r="C15" s="706"/>
      <c r="D15" s="706"/>
      <c r="E15" s="682"/>
      <c r="F15" s="682"/>
      <c r="G15" s="682"/>
      <c r="H15" s="2107"/>
      <c r="I15" s="682"/>
      <c r="J15" s="2119"/>
      <c r="K15" s="743"/>
      <c r="L15" s="2128"/>
      <c r="M15" s="1710"/>
      <c r="N15" s="606"/>
      <c r="O15" s="606"/>
      <c r="P15" s="606"/>
      <c r="Q15" s="607"/>
      <c r="R15" s="608"/>
      <c r="S15" s="616"/>
      <c r="T15" s="615"/>
      <c r="U15" s="615"/>
      <c r="V15" s="615"/>
      <c r="W15" s="617"/>
      <c r="X15" s="618">
        <f>IF(G13&gt;0,IF(L12&lt;&gt;0,MIN(X14,L12),IF(AND(G14&lt;&gt;0,L12&lt;&gt;0),L12,X14)),)*T12</f>
        <v>0</v>
      </c>
      <c r="Y15" s="619">
        <f>IF(J12&lt;&gt;0,MIN(Y14,J12),IF(AND(G14&lt;&gt;0,J12&lt;&gt;0),J12,Y14))*S12</f>
        <v>0</v>
      </c>
      <c r="Z15" s="620">
        <f>IF(G13&gt;0,IF(L12&lt;&gt;0,MIN(L12,Z14),IF(AND(G14&lt;&gt;0,L12&lt;&gt;0),L12,Z14)),)*T12</f>
        <v>0</v>
      </c>
      <c r="AA15" s="619">
        <f>IF(J12&lt;&gt;0,MIN(AA14,J12),AA14)*S12</f>
        <v>0</v>
      </c>
      <c r="AB15" s="624"/>
      <c r="AC15" s="615"/>
      <c r="AD15" s="606"/>
      <c r="AG15" s="1499"/>
      <c r="AH15" s="1500"/>
      <c r="AJ15" s="612"/>
    </row>
    <row r="16" spans="1:37" s="599" customFormat="1" ht="18" customHeight="1">
      <c r="A16" s="1719" t="s">
        <v>418</v>
      </c>
      <c r="B16" s="2091"/>
      <c r="C16" s="2092"/>
      <c r="D16" s="2092"/>
      <c r="E16" s="2092"/>
      <c r="F16" s="2092"/>
      <c r="G16" s="2093"/>
      <c r="H16" s="683"/>
      <c r="I16" s="684">
        <f>IF(H16&lt;&gt;"",IF(H16&gt;W16,W16,H16),V16)</f>
        <v>0</v>
      </c>
      <c r="J16" s="685"/>
      <c r="K16" s="833"/>
      <c r="L16" s="835"/>
      <c r="M16" s="1710">
        <f>IF(B16="",1,VLOOKUP(B16,Standardwerte!$T$108:$AK$155,18,FALSE))</f>
        <v>1</v>
      </c>
      <c r="N16" s="1774">
        <f>S16*qh*IF(J16="",0,MIN(J16,IF(J17&lt;&gt;"",J17,J16))*S16)/100+T16*qw*IF(L16="",0,MIN(L16,IF(L17&lt;&gt;"",L17,L16))*T16)/100</f>
        <v>0</v>
      </c>
      <c r="O16" s="613">
        <f>IF(I16=0,0,N16/I16)</f>
        <v>0</v>
      </c>
      <c r="P16" s="613">
        <f>IF(R16=2,0,O16*R16)</f>
        <v>0</v>
      </c>
      <c r="Q16" s="614">
        <f>IF(AC16,-G17*G18/EBF,IF(U16,-N16/I16*G17,IF(R16=2,N16/I16,0)))</f>
        <v>0</v>
      </c>
      <c r="R16" s="605">
        <f>INDEX(Standardwerte!$Z$108:$Z$155,M16,1)</f>
        <v>0</v>
      </c>
      <c r="S16" s="601">
        <f>INDEX(Standardwerte!$AB$108:$AB$155,M16,1)</f>
        <v>0</v>
      </c>
      <c r="T16" s="609">
        <f>INDEX(Standardwerte!$AA$108:$AA$155,M16,1)</f>
        <v>0</v>
      </c>
      <c r="U16" s="708" t="b">
        <f>INDEX(Standardwerte!$AF$108:$AF$155,M16,1)</f>
        <v>0</v>
      </c>
      <c r="V16" s="609">
        <f>IF(U16,AB17,INDEX(Standardwerte!$X$108:$X$155,M16,1))</f>
        <v>0</v>
      </c>
      <c r="W16" s="614">
        <f>IF(U16,AB17,INDEX(Standardwerte!$Y$108:$Y$155,M16,1))</f>
        <v>0</v>
      </c>
      <c r="X16" s="2137">
        <f>IF(G17&gt;0,IF(Hoehe&lt;800,(440/((1/G17)+610/(EBF*(qw+qh)))/G17),(490/((1/G17)+610/(EBF*(qw+qh)))/G17)),)</f>
        <v>0</v>
      </c>
      <c r="Y16" s="2138"/>
      <c r="Z16" s="613">
        <f>IF(G17&gt;0,IF(qw&gt;0,IF(Hoehe&lt;800,(640/((1/G17)+380/(EBF*qw))/G17),(700/((1/G17)+380/(EBF*qw))/G17)),),)</f>
        <v>0</v>
      </c>
      <c r="AA16" s="609"/>
      <c r="AB16" s="605">
        <f>IF(U16,IF(G17&gt;0.5,1,0),0)</f>
        <v>0</v>
      </c>
      <c r="AC16" s="1495" t="b">
        <f>INDEX(Standardwerte!$AG$108:$AG$155,M16,1)</f>
        <v>0</v>
      </c>
      <c r="AD16" s="605" t="b">
        <f>(Q16&lt;0)</f>
        <v>0</v>
      </c>
      <c r="AF16" s="1510" t="s">
        <v>2372</v>
      </c>
      <c r="AG16" s="1499">
        <f>INDEX(Standardwerte!$AP$108:$AP$155,M16,1)</f>
        <v>0</v>
      </c>
      <c r="AH16" s="1500">
        <f>IF(WirkungsgradC&gt;0,AG16*WaermebedarfC/WirkungsgradC,0)</f>
        <v>0</v>
      </c>
      <c r="AI16" s="1510" t="s">
        <v>2372</v>
      </c>
      <c r="AJ16" s="1563">
        <f>IF(AND(M16=15,G17&lt;0.35),1,1-INDEX(Standardwerte!$AS$108:$AS$155,Verifica!M16,1))</f>
        <v>1</v>
      </c>
    </row>
    <row r="17" spans="1:36" s="599" customFormat="1" ht="14.1" customHeight="1">
      <c r="A17" s="1705" t="s">
        <v>419</v>
      </c>
      <c r="B17" s="2097" t="str">
        <f>IF(INDEX(Standardwerte!$AD$108:$AD$155,M16,1)=0,"",INDEX(Standardwerte!$AD$108:$AD$155,M16,1))</f>
        <v/>
      </c>
      <c r="C17" s="2098"/>
      <c r="D17" s="2098"/>
      <c r="E17" s="2098"/>
      <c r="F17" s="690"/>
      <c r="G17" s="838"/>
      <c r="H17" s="2105" t="str">
        <f>IF(AB16=1,"Deckungs-grad Soll-wert &lt; 0.5","")</f>
        <v/>
      </c>
      <c r="I17" s="686"/>
      <c r="J17" s="740">
        <f>IF(EBF&gt;0,IF(M16=33,Y19,IF(M16=31,AA19,"")),0)</f>
        <v>0</v>
      </c>
      <c r="K17" s="741"/>
      <c r="L17" s="742" t="str">
        <f>IF(M16=32,Z19,IF(M16=33,X19,""))</f>
        <v/>
      </c>
      <c r="M17" s="1716" t="str">
        <f>IF(INDEX(Standardwerte!$AD$108:$AD$155,M16,1)=0,"",INDEX(Standardwerte!$AL$108:$AL$155,M16,1))</f>
        <v/>
      </c>
      <c r="N17" s="606"/>
      <c r="O17" s="606"/>
      <c r="P17" s="606"/>
      <c r="Q17" s="607"/>
      <c r="R17" s="608"/>
      <c r="S17" s="616"/>
      <c r="T17" s="615"/>
      <c r="U17" s="615"/>
      <c r="V17" s="615"/>
      <c r="W17" s="617"/>
      <c r="X17" s="618">
        <f>IF(G18&lt;&gt;0,G18,X16)</f>
        <v>0</v>
      </c>
      <c r="Y17" s="619">
        <f>IF(Hoehe&lt;800,(440-X16)/610*100,(490-X16)/610*100)</f>
        <v>72.131147540983605</v>
      </c>
      <c r="Z17" s="620">
        <f>IF(G18&lt;&gt;0,G18,Z16)</f>
        <v>0</v>
      </c>
      <c r="AA17" s="607">
        <f>IF(G18&gt;0,G18,0)</f>
        <v>0</v>
      </c>
      <c r="AB17" s="621">
        <f>IF(H16="",IF(M16=15,Standardwerte!$X$122-G17,Standardwerte!$X$123-G17),AB18)</f>
        <v>0.7</v>
      </c>
      <c r="AC17" s="764"/>
      <c r="AD17" s="606"/>
      <c r="AG17" s="1499"/>
      <c r="AH17" s="1500"/>
      <c r="AI17" s="1510" t="s">
        <v>2691</v>
      </c>
      <c r="AJ17" s="1562">
        <f>J16/100</f>
        <v>0</v>
      </c>
    </row>
    <row r="18" spans="1:36" s="599" customFormat="1" ht="14.1" customHeight="1">
      <c r="A18" s="1719" t="s">
        <v>420</v>
      </c>
      <c r="B18" s="2099" t="str">
        <f>IF(INDEX(Standardwerte!$AD$108:$AE$155,M16,2)=0,"",INDEX(Standardwerte!$AD$108:$AE$155,M16,2))</f>
        <v/>
      </c>
      <c r="C18" s="2100"/>
      <c r="D18" s="2100"/>
      <c r="E18" s="2100"/>
      <c r="F18" s="1558" t="str">
        <f>IF(M16=33,IF(G18&gt;0,G18,X16),IF(M16=32,IF(G18&gt;0,G18,Z16),""))</f>
        <v/>
      </c>
      <c r="G18" s="837"/>
      <c r="H18" s="2106"/>
      <c r="I18" s="686"/>
      <c r="J18" s="2118" t="str">
        <f>IF(AND(J17&gt;0,J17&lt;&gt;""),IF(J16&gt;J17+0.1,"Deckungsgrad zu hoch",""),"")</f>
        <v/>
      </c>
      <c r="K18" s="743"/>
      <c r="L18" s="2127" t="str">
        <f>IF(AND(L17&gt;0,L17&lt;&gt;""),IF(L16&gt;L17+0.1,"Deckungsgrad zu hoch",""),"")</f>
        <v/>
      </c>
      <c r="M18" s="1710"/>
      <c r="N18" s="606"/>
      <c r="O18" s="606"/>
      <c r="P18" s="606"/>
      <c r="Q18" s="607"/>
      <c r="R18" s="608"/>
      <c r="S18" s="616"/>
      <c r="T18" s="615"/>
      <c r="U18" s="615"/>
      <c r="V18" s="615"/>
      <c r="W18" s="617"/>
      <c r="X18" s="618">
        <f>IF(qw&gt;0,IF(EBF&gt;0,IF((qh+qw)=0,,IF(AND(G17&gt;0,G18&gt;0),MIN(100/qw*X17*G17/EBF,100),IF(G17&gt;0,MIN(70,Y17*(qw+qh)/qw),))),),0)</f>
        <v>0</v>
      </c>
      <c r="Y18" s="619">
        <f>IF(EBF&gt;0,IF(AND(G17&gt;0,X17&gt;0),MIN(100/qh*(X17*G17/EBF-X19/100*qw),100),IF(X18&lt;70,0,IF(AND(G17&gt;0,G18&gt;0),G17*X17/EBF,((qw+qh)*Y17/100-qw*0.7)/qh))*100),)</f>
        <v>0</v>
      </c>
      <c r="Z18" s="620">
        <f>IF(EBF&gt;0,IF(G17&gt;0,IF(qw&gt;0,IF(G18&lt;&gt;0,MIN(100/qw*Z17*G17/EBF,80),MIN(IF(Hoehe&lt;800,((640-Z16)/380*100),((700-Z16)/380*100)),80)),0),)*T16,)</f>
        <v>0</v>
      </c>
      <c r="AA18" s="619">
        <f>IF(qh&gt;0,IF((100/qh*AA17*G17/EBF)&gt;100,100,(100/qh*AA17*G17/EBF)),0)*S16</f>
        <v>0</v>
      </c>
      <c r="AB18" s="621">
        <f>IF(M16=15,Standardwerte!$Y$122-G17,Standardwerte!$Y$123-G17)</f>
        <v>0.9</v>
      </c>
      <c r="AC18" s="764"/>
      <c r="AD18" s="606"/>
      <c r="AG18" s="1499"/>
      <c r="AH18" s="1500"/>
      <c r="AI18" s="1510" t="s">
        <v>2692</v>
      </c>
      <c r="AJ18" s="1562">
        <f>L16/100</f>
        <v>0</v>
      </c>
    </row>
    <row r="19" spans="1:36" s="599" customFormat="1" ht="15.9" customHeight="1">
      <c r="A19" s="1705" t="s">
        <v>421</v>
      </c>
      <c r="B19" s="701" t="str">
        <f>Uebersetzung!D262</f>
        <v>Produzione di calore D</v>
      </c>
      <c r="C19" s="706"/>
      <c r="D19" s="706"/>
      <c r="E19" s="682"/>
      <c r="F19" s="682"/>
      <c r="G19" s="682"/>
      <c r="H19" s="2107"/>
      <c r="I19" s="682"/>
      <c r="J19" s="2119"/>
      <c r="K19" s="743"/>
      <c r="L19" s="2128"/>
      <c r="M19" s="1710"/>
      <c r="N19" s="612"/>
      <c r="O19" s="612"/>
      <c r="P19" s="612"/>
      <c r="Q19" s="611"/>
      <c r="R19" s="624"/>
      <c r="S19" s="622"/>
      <c r="T19" s="623"/>
      <c r="U19" s="623"/>
      <c r="V19" s="623"/>
      <c r="W19" s="625"/>
      <c r="X19" s="626">
        <f>IF(G17&gt;0,IF(L16&lt;&gt;0,MIN(X18,L16),IF(AND(G18&lt;&gt;0,L16&lt;&gt;0),L16,X18)),)*T16</f>
        <v>0</v>
      </c>
      <c r="Y19" s="627">
        <f>IF(J16&lt;&gt;0,MIN(Y18,J16),IF(AND(G18&lt;&gt;0,J16&lt;&gt;0),J16,Y18))*S16</f>
        <v>0</v>
      </c>
      <c r="Z19" s="628">
        <f>IF(G17&gt;0,IF(L16&lt;&gt;0,MIN(L16,Z18),IF(AND(G18&lt;&gt;0,L16&lt;&gt;0),L16,Z18)),)*T16</f>
        <v>0</v>
      </c>
      <c r="AA19" s="627">
        <f>IF(J16&lt;&gt;0,MIN(AA18,J16),AA18)*S16</f>
        <v>0</v>
      </c>
      <c r="AB19" s="624"/>
      <c r="AC19" s="776"/>
      <c r="AD19" s="612"/>
      <c r="AG19" s="1499"/>
      <c r="AH19" s="1500"/>
      <c r="AJ19" s="612"/>
    </row>
    <row r="20" spans="1:36" s="599" customFormat="1" ht="18" customHeight="1">
      <c r="A20" s="1719" t="s">
        <v>422</v>
      </c>
      <c r="B20" s="2091"/>
      <c r="C20" s="2092"/>
      <c r="D20" s="2092"/>
      <c r="E20" s="2092"/>
      <c r="F20" s="2092"/>
      <c r="G20" s="2093"/>
      <c r="H20" s="683"/>
      <c r="I20" s="684">
        <f>IF(H20&lt;&gt;"",IF(H20&gt;W20,W20,H20),V20)</f>
        <v>0</v>
      </c>
      <c r="J20" s="685"/>
      <c r="K20" s="833"/>
      <c r="L20" s="835"/>
      <c r="M20" s="1710">
        <f>IF(B20="",1,VLOOKUP(B20,Standardwerte!$T$108:$AK$155,18,FALSE))</f>
        <v>1</v>
      </c>
      <c r="N20" s="1774">
        <f>S20*qh*IF(J20="",0,MIN(J20,IF(J21&lt;&gt;"",J21,J20))*S20)/100+T20*qw*IF(L20="",0,MIN(L20,IF(L21&lt;&gt;"",L21,L20))*T20)/100</f>
        <v>0</v>
      </c>
      <c r="O20" s="613">
        <f>IF(I20=0,0,N20/I20)</f>
        <v>0</v>
      </c>
      <c r="P20" s="613">
        <f>IF(R20=2,0,O20*R20)</f>
        <v>0</v>
      </c>
      <c r="Q20" s="614">
        <f>IF(AC20,-G21*G22/EBF,IF(U20,-N20/I20*G21,IF(R20=2,N20/I20,0)))</f>
        <v>0</v>
      </c>
      <c r="R20" s="605">
        <f>INDEX(Standardwerte!$Z$108:$Z$155,M20,1)</f>
        <v>0</v>
      </c>
      <c r="S20" s="601">
        <f>INDEX(Standardwerte!$AB$108:$AB$155,M20,1)</f>
        <v>0</v>
      </c>
      <c r="T20" s="609">
        <f>INDEX(Standardwerte!$AA$108:$AA$155,M20,1)</f>
        <v>0</v>
      </c>
      <c r="U20" s="708" t="b">
        <f>INDEX(Standardwerte!$AF$108:$AF$155,M20,1)</f>
        <v>0</v>
      </c>
      <c r="V20" s="609">
        <f>IF(U20,AB21,INDEX(Standardwerte!$X$108:$X$155,M20,1))</f>
        <v>0</v>
      </c>
      <c r="W20" s="614">
        <f>IF(U20,AB21,INDEX(Standardwerte!$Y$108:$Y$155,M20,1))</f>
        <v>0</v>
      </c>
      <c r="X20" s="2137">
        <f>IF(G21&gt;0,IF(Hoehe&lt;800,(440/((1/G21)+610/(EBF*(qw+qh)))/G21),(490/((1/G21)+610/(EBF*(qw+qh)))/G21)),)</f>
        <v>0</v>
      </c>
      <c r="Y20" s="2138"/>
      <c r="Z20" s="620">
        <f>IF(G21&gt;0,IF(qw&gt;0,IF(Hoehe&lt;800,(640/((1/G21)+380/(EBF*qw))/G21),(700/((1/G21)+380/(EBF*qw))/G21)),),)</f>
        <v>0</v>
      </c>
      <c r="AA20" s="607"/>
      <c r="AB20" s="605">
        <f>IF(U20,IF(G21&gt;0.5,1,0),0)</f>
        <v>0</v>
      </c>
      <c r="AC20" s="609" t="b">
        <f>INDEX(Standardwerte!$AG$108:$AG$155,M20,1)</f>
        <v>0</v>
      </c>
      <c r="AD20" s="606" t="b">
        <f>(Q20&lt;0)</f>
        <v>0</v>
      </c>
      <c r="AF20" s="1510" t="s">
        <v>2373</v>
      </c>
      <c r="AG20" s="1499">
        <f>INDEX(Standardwerte!$AP$108:$AP$155,M20,1)</f>
        <v>0</v>
      </c>
      <c r="AH20" s="1499">
        <f>IF(WirkungsgradD&gt;0,AG20*WaermebedarfD/WirkungsgradD,0)</f>
        <v>0</v>
      </c>
      <c r="AI20" s="1510" t="s">
        <v>2373</v>
      </c>
      <c r="AJ20" s="1562">
        <f>IF(AND(M20=15,G21&lt;0.35),1,1-INDEX(Standardwerte!$AS$108:$AS$155,Verifica!M20,1))</f>
        <v>1</v>
      </c>
    </row>
    <row r="21" spans="1:36" s="599" customFormat="1" ht="14.1" customHeight="1">
      <c r="A21" s="1705" t="s">
        <v>423</v>
      </c>
      <c r="B21" s="2097" t="str">
        <f>IF(INDEX(Standardwerte!$AD$108:$AD$155,M20,1)=0,"",INDEX(Standardwerte!$AD$108:$AD$155,M20,1))</f>
        <v/>
      </c>
      <c r="C21" s="2098"/>
      <c r="D21" s="2098"/>
      <c r="E21" s="2098"/>
      <c r="F21" s="690"/>
      <c r="G21" s="838"/>
      <c r="H21" s="2105" t="str">
        <f>IF(AB20=1,"Deckungs-grad Soll-wert &lt; 0.5","")</f>
        <v/>
      </c>
      <c r="I21" s="688"/>
      <c r="J21" s="740">
        <f>IF(EBF&gt;0,IF(M20=33,Y23,IF(M20=31,AA23,"")),0)</f>
        <v>0</v>
      </c>
      <c r="K21" s="741"/>
      <c r="L21" s="742" t="str">
        <f>IF(M20=32,Z23,IF(M20=33,X23,""))</f>
        <v/>
      </c>
      <c r="M21" s="1716" t="str">
        <f>IF(INDEX(Standardwerte!$AD$108:$AD$155,M20,1)=0,"",INDEX(Standardwerte!$AL$108:$AL$155,M20,1))</f>
        <v/>
      </c>
      <c r="N21" s="606"/>
      <c r="O21" s="606"/>
      <c r="P21" s="606"/>
      <c r="Q21" s="607"/>
      <c r="R21" s="608"/>
      <c r="S21" s="616"/>
      <c r="T21" s="615"/>
      <c r="U21" s="615"/>
      <c r="V21" s="615"/>
      <c r="W21" s="615"/>
      <c r="X21" s="618">
        <f>IF(G22&lt;&gt;0,G22,X20)</f>
        <v>0</v>
      </c>
      <c r="Y21" s="619">
        <f>IF(Hoehe&lt;800,(440-X20)/610*100,(490-X20)/610*100)</f>
        <v>72.131147540983605</v>
      </c>
      <c r="Z21" s="620">
        <f>IF(G22&lt;&gt;0,G22,Z20)</f>
        <v>0</v>
      </c>
      <c r="AA21" s="607">
        <f>IF(G22&gt;0,G22,0)</f>
        <v>0</v>
      </c>
      <c r="AB21" s="621">
        <f>IF(H20="",IF(M20=15,Standardwerte!$X$122-G21,Standardwerte!$X$123-G21),AB22)</f>
        <v>0.7</v>
      </c>
      <c r="AC21" s="615"/>
      <c r="AD21" s="606"/>
      <c r="AG21" s="1499"/>
      <c r="AH21" s="1500"/>
      <c r="AI21" s="1510" t="s">
        <v>2691</v>
      </c>
      <c r="AJ21" s="1562">
        <f>J20/100</f>
        <v>0</v>
      </c>
    </row>
    <row r="22" spans="1:36" s="599" customFormat="1" ht="14.1" customHeight="1">
      <c r="A22" s="1719" t="s">
        <v>424</v>
      </c>
      <c r="B22" s="2099" t="str">
        <f>IF(INDEX(Standardwerte!$AD$108:$AE$155,M20,2)=0,"",INDEX(Standardwerte!$AD$108:$AE$155,M20,2))</f>
        <v/>
      </c>
      <c r="C22" s="2100"/>
      <c r="D22" s="2100"/>
      <c r="E22" s="2100"/>
      <c r="F22" s="1558" t="str">
        <f>IF(M20=33,IF(G22&gt;0,G22,X20),IF(M20=32,IF(G22&gt;0,G22,Z20),""))</f>
        <v/>
      </c>
      <c r="G22" s="837"/>
      <c r="H22" s="2106"/>
      <c r="I22" s="686"/>
      <c r="J22" s="2118" t="str">
        <f>IF(AND(J21&gt;0,J21&lt;&gt;""),IF(J20&gt;J21+0.1,"Deckungsgrad zu hoch",""),"")</f>
        <v/>
      </c>
      <c r="K22" s="743"/>
      <c r="L22" s="2127" t="str">
        <f>IF(AND(L21&gt;0,L21&lt;&gt;""),IF(L20&gt;L21+0.1,"Deckungsgrad zu hoch",""),"")</f>
        <v/>
      </c>
      <c r="M22" s="1710"/>
      <c r="N22" s="606"/>
      <c r="O22" s="606"/>
      <c r="P22" s="606"/>
      <c r="Q22" s="607"/>
      <c r="R22" s="608"/>
      <c r="S22" s="616"/>
      <c r="T22" s="615"/>
      <c r="U22" s="615"/>
      <c r="V22" s="615"/>
      <c r="W22" s="615"/>
      <c r="X22" s="618">
        <f>IF(qw&gt;0,IF(EBF&gt;0,IF((qh+qw)=0,,IF(AND(G21&gt;0,G22&gt;0),MIN(100/qw*X21*G21/EBF,100),IF(G21&gt;0,MIN(70,Y21*(qw+qh)/qw),))),),0)</f>
        <v>0</v>
      </c>
      <c r="Y22" s="619">
        <f>IF(EBF&gt;0,IF(AND(G21&gt;0,X21&gt;0),MIN(100/qh*(X21*G21/EBF-X23/100*qw),100),IF(X22&lt;70,0,IF(AND(G21&gt;0,G22&gt;0),G21*X21/EBF,((qw+qh)*Y21/100-qw*0.7)/qh))*100),)</f>
        <v>0</v>
      </c>
      <c r="Z22" s="620">
        <f>IF(EBF&gt;0,IF(G21&gt;0,IF(qw&gt;0,IF(G22&lt;&gt;0,MIN(100/qw*Z21*G21/EBF,80),MIN(IF(Hoehe&lt;800,((640-Z20)/380*100),((700-Z20)/380*100)),80)),0),)*T20,)</f>
        <v>0</v>
      </c>
      <c r="AA22" s="619">
        <f>IF(qh&gt;0,IF((100/qh*AA21*G21/EBF)&gt;100,100,(100/qh*AA21*G21/EBF)),0)*S20</f>
        <v>0</v>
      </c>
      <c r="AB22" s="621">
        <f>IF(M20=15,Standardwerte!$Y$122-G21,Standardwerte!$Y$123-G21)</f>
        <v>0.9</v>
      </c>
      <c r="AC22" s="615"/>
      <c r="AD22" s="606"/>
      <c r="AG22" s="1499"/>
      <c r="AH22" s="1500"/>
      <c r="AI22" s="1510" t="s">
        <v>2692</v>
      </c>
      <c r="AJ22" s="1562">
        <f>L20/100</f>
        <v>0</v>
      </c>
    </row>
    <row r="23" spans="1:36" s="599" customFormat="1" ht="15.9" customHeight="1">
      <c r="A23" s="1705" t="s">
        <v>425</v>
      </c>
      <c r="B23" s="702" t="str">
        <f>Uebersetzung!D267</f>
        <v>Riporto da altre produzioni di calore</v>
      </c>
      <c r="C23" s="714"/>
      <c r="D23" s="714"/>
      <c r="E23" s="682"/>
      <c r="F23" s="681"/>
      <c r="G23" s="681"/>
      <c r="H23" s="2107"/>
      <c r="I23" s="689"/>
      <c r="J23" s="2119"/>
      <c r="K23" s="743"/>
      <c r="L23" s="2128"/>
      <c r="M23" s="1710"/>
      <c r="N23" s="612"/>
      <c r="O23" s="612"/>
      <c r="P23" s="612"/>
      <c r="Q23" s="611"/>
      <c r="R23" s="624"/>
      <c r="S23" s="622"/>
      <c r="T23" s="623"/>
      <c r="U23" s="623"/>
      <c r="V23" s="623"/>
      <c r="W23" s="623"/>
      <c r="X23" s="626">
        <f>IF(G21&gt;0,IF(L20&lt;&gt;0,MIN(X22,L20),IF(AND(G22&lt;&gt;0,L20&lt;&gt;0),L20,X22)),)*T20</f>
        <v>0</v>
      </c>
      <c r="Y23" s="627">
        <f>IF(J20&lt;&gt;0,MIN(Y22,J20),IF(AND(G22&lt;&gt;0,J20&lt;&gt;0),J20,Y22))*S20</f>
        <v>0</v>
      </c>
      <c r="Z23" s="628">
        <f>IF(G21&gt;0,IF(L20&lt;&gt;0,MIN(L20,Z22),IF(AND(G22&lt;&gt;0,L20&lt;&gt;0),L20,Z22)),)*T20</f>
        <v>0</v>
      </c>
      <c r="AA23" s="627">
        <f>IF(J20&lt;&gt;0,MIN(AA22,J20),AA22)*S20</f>
        <v>0</v>
      </c>
      <c r="AB23" s="624"/>
      <c r="AC23" s="623"/>
      <c r="AD23" s="612"/>
      <c r="AG23" s="1499"/>
      <c r="AH23" s="1500"/>
      <c r="AJ23" s="612"/>
    </row>
    <row r="24" spans="1:36" s="599" customFormat="1" ht="18" customHeight="1">
      <c r="A24" s="1719" t="s">
        <v>484</v>
      </c>
      <c r="B24" s="2094"/>
      <c r="C24" s="2095"/>
      <c r="D24" s="2095"/>
      <c r="E24" s="2095"/>
      <c r="F24" s="2095"/>
      <c r="G24" s="2095"/>
      <c r="H24" s="693"/>
      <c r="I24" s="686"/>
      <c r="J24" s="832"/>
      <c r="K24" s="833"/>
      <c r="L24" s="834"/>
      <c r="M24" s="1710"/>
      <c r="N24" s="734">
        <f>qh*J24/100+qw*L24/100</f>
        <v>0</v>
      </c>
      <c r="O24" s="605"/>
      <c r="P24" s="763">
        <f>G27</f>
        <v>0</v>
      </c>
      <c r="Q24" s="605">
        <f>G25</f>
        <v>0</v>
      </c>
      <c r="AA24" s="600"/>
      <c r="AD24" s="97"/>
      <c r="AG24" s="1499"/>
      <c r="AH24" s="1500"/>
      <c r="AI24" s="1510" t="s">
        <v>2696</v>
      </c>
      <c r="AJ24" s="1562">
        <f>IF(EndenergieE&gt;0.2,MAX(MIN((EndenergieE+IF(StrombedarfE&lt;0.1,StrombedarfE,0))/IF(AJ7&gt;0,(AJ5*AJ25+AJ6*AJ27),1),1),0),0)</f>
        <v>0</v>
      </c>
    </row>
    <row r="25" spans="1:36" s="599" customFormat="1" ht="15.9" customHeight="1">
      <c r="A25" s="1705" t="s">
        <v>804</v>
      </c>
      <c r="B25" s="694" t="str">
        <f>Uebersetzung!D268</f>
        <v>Elettricità fornita (non ponderata)</v>
      </c>
      <c r="C25" s="715"/>
      <c r="D25" s="715"/>
      <c r="E25" s="690"/>
      <c r="F25" s="733" t="s">
        <v>525</v>
      </c>
      <c r="G25" s="730"/>
      <c r="H25" s="693"/>
      <c r="I25" s="686"/>
      <c r="J25" s="687"/>
      <c r="K25" s="681"/>
      <c r="L25" s="686"/>
      <c r="M25" s="1710"/>
      <c r="N25" s="616"/>
      <c r="O25" s="608"/>
      <c r="P25" s="764"/>
      <c r="Q25" s="608"/>
      <c r="AA25" s="600"/>
      <c r="AD25" s="97"/>
      <c r="AF25" s="1510" t="s">
        <v>2374</v>
      </c>
      <c r="AG25" s="1499">
        <f>THG_Strom</f>
        <v>0.13900000000000001</v>
      </c>
      <c r="AH25" s="1499">
        <f>AG25*StrombedarfE</f>
        <v>0</v>
      </c>
      <c r="AI25" s="1510" t="s">
        <v>2691</v>
      </c>
      <c r="AJ25" s="1562">
        <f>J24/100</f>
        <v>0</v>
      </c>
    </row>
    <row r="26" spans="1:36" s="599" customFormat="1" ht="20.100000000000001" hidden="1" customHeight="1">
      <c r="A26" s="1719"/>
      <c r="B26" s="680"/>
      <c r="G26" s="731"/>
      <c r="H26" s="693"/>
      <c r="I26" s="686"/>
      <c r="J26" s="687"/>
      <c r="K26" s="681"/>
      <c r="L26" s="686"/>
      <c r="M26" s="1713"/>
      <c r="N26" s="616"/>
      <c r="O26" s="608"/>
      <c r="P26" s="764"/>
      <c r="Q26" s="608"/>
      <c r="AA26" s="600"/>
      <c r="AD26" s="97"/>
      <c r="AG26" s="1499"/>
      <c r="AH26" s="1500"/>
      <c r="AI26" s="1510" t="s">
        <v>2692</v>
      </c>
      <c r="AJ26" s="606"/>
    </row>
    <row r="27" spans="1:36" s="599" customFormat="1" ht="15.9" customHeight="1">
      <c r="A27" s="1705" t="s">
        <v>3073</v>
      </c>
      <c r="B27" s="703" t="str">
        <f>Uebersetzung!D269</f>
        <v>Energia fornita (escluso elettricità, ponderata)</v>
      </c>
      <c r="C27" s="716"/>
      <c r="D27" s="716"/>
      <c r="E27" s="704"/>
      <c r="F27" s="562" t="s">
        <v>525</v>
      </c>
      <c r="G27" s="732"/>
      <c r="H27" s="695"/>
      <c r="I27" s="696" t="str">
        <f>Uebersetzung!D270</f>
        <v>Copertura totale:</v>
      </c>
      <c r="J27" s="691">
        <f>IF(J8="",0,MIN(J8,IF(J9&lt;&gt;"",J9,J8))*S8)+IF(J12="",0,MIN(J12,IF(J13&lt;&gt;"",J13,J12))*S12)+IF(J16="",0,MIN(J16,IF(J17&lt;&gt;"",J17,J16))*S16)+IF(J20="",0,MIN(J20,IF(J21&lt;&gt;"",J21,J20))*S20)+J24</f>
        <v>0</v>
      </c>
      <c r="K27" s="682"/>
      <c r="L27" s="692">
        <f>IF(L8="",0,MIN(L8,IF(L9&lt;&gt;"",L9,L8))*T8)+IF(L12="",0,MIN(L12,IF(L13&lt;&gt;"",L13,L12))*T12)+IF(L16="",0,MIN(L16,IF(L17&lt;&gt;"",L17,L16))*T16)+IF(L20="",0,MIN(L20,IF(L21&lt;&gt;"",L21,L20))*T20)+L24</f>
        <v>0</v>
      </c>
      <c r="M27" s="1713"/>
      <c r="N27" s="765">
        <f>SUM(N8:N24)</f>
        <v>0</v>
      </c>
      <c r="O27" s="767">
        <f>SUM(O8:O24)</f>
        <v>0</v>
      </c>
      <c r="P27" s="766">
        <f>SUM(P8:P24)</f>
        <v>0</v>
      </c>
      <c r="Q27" s="767">
        <f>SUM(Q8:Q24)</f>
        <v>0</v>
      </c>
      <c r="R27" s="97"/>
      <c r="S27" s="97"/>
      <c r="T27" s="97"/>
      <c r="U27" s="97"/>
      <c r="V27" s="97"/>
      <c r="W27" s="97"/>
      <c r="X27" s="97"/>
      <c r="Y27" s="97"/>
      <c r="Z27" s="97"/>
      <c r="AA27" s="97"/>
      <c r="AB27" s="97"/>
      <c r="AC27" s="97"/>
      <c r="AD27" s="97"/>
      <c r="AF27" s="1510" t="s">
        <v>2375</v>
      </c>
      <c r="AG27" s="1499">
        <f>THG_andere</f>
        <v>0.249</v>
      </c>
      <c r="AH27" s="1499">
        <f>EndenergieE*AG27</f>
        <v>0</v>
      </c>
      <c r="AI27" s="1510" t="s">
        <v>2692</v>
      </c>
      <c r="AJ27" s="1562">
        <f>L24/100</f>
        <v>0</v>
      </c>
    </row>
    <row r="28" spans="1:36" ht="15.9" customHeight="1">
      <c r="B28" s="25"/>
      <c r="C28" s="25"/>
      <c r="D28" s="25"/>
      <c r="E28" s="25"/>
      <c r="F28" s="25"/>
      <c r="G28" s="25"/>
      <c r="H28" s="27"/>
      <c r="I28" s="2096" t="str">
        <f>IF(EBF_MUKEN&gt;0,IF(OR(DeckungsgradHeizung&lt;99.5,DeckungsgradHeizung&gt;100.5,AND(DeckungsgradWW&lt;99.5,qw&gt;0),AND(DeckungsgradWW&gt;100.5,qw&gt;0)),Uebersetzung!D308,),"")</f>
        <v/>
      </c>
      <c r="J28" s="2096"/>
      <c r="K28" s="2096"/>
      <c r="L28" s="2096"/>
      <c r="P28" s="1509" t="s">
        <v>2387</v>
      </c>
      <c r="Q28" s="1517">
        <f>SUMIF(AD8:AD20,TRUE,Q8:Q20)</f>
        <v>0</v>
      </c>
      <c r="R28" s="5" t="s">
        <v>2386</v>
      </c>
      <c r="AD28" s="97"/>
      <c r="AG28" s="1497"/>
      <c r="AH28" s="1498"/>
      <c r="AJ28" s="1559"/>
    </row>
    <row r="29" spans="1:36" ht="21" customHeight="1">
      <c r="A29" s="1711"/>
      <c r="B29" s="136" t="str">
        <f>Uebersetzung!D271</f>
        <v>Dati dell'edificio, ventilazione e valori limite</v>
      </c>
      <c r="C29" s="717"/>
      <c r="D29" s="717"/>
      <c r="E29" s="228"/>
      <c r="F29" s="229"/>
      <c r="G29" s="697">
        <v>1</v>
      </c>
      <c r="H29" s="698">
        <v>2</v>
      </c>
      <c r="I29" s="697">
        <v>3</v>
      </c>
      <c r="J29" s="697">
        <v>4</v>
      </c>
      <c r="K29" s="128"/>
      <c r="L29" s="1539" t="str">
        <f>Uebersetzung!D272</f>
        <v>Tot./media</v>
      </c>
      <c r="P29" s="1802" t="s">
        <v>729</v>
      </c>
      <c r="Q29" s="1803" t="b">
        <f>IF(OR(Q28&lt;-7.5,(_EBF1+_EBF2+_EBF3+_EBF4)*Q28/750&lt;-30),TRUE,FALSE)</f>
        <v>0</v>
      </c>
      <c r="AG29" s="1497"/>
      <c r="AH29" s="1498"/>
      <c r="AJ29" s="1516"/>
    </row>
    <row r="30" spans="1:36" ht="18" hidden="1" customHeight="1">
      <c r="A30" s="1711" t="s">
        <v>404</v>
      </c>
      <c r="B30" s="647" t="s">
        <v>648</v>
      </c>
      <c r="C30" s="102"/>
      <c r="D30" s="102"/>
      <c r="E30" s="648"/>
      <c r="F30" s="649" t="str">
        <f>Standardwerte!C4</f>
        <v xml:space="preserve"> </v>
      </c>
      <c r="G30" s="230" t="str">
        <f>Standardwerte!K4</f>
        <v/>
      </c>
      <c r="H30" s="230" t="str">
        <f>Standardwerte!M4</f>
        <v/>
      </c>
      <c r="I30" s="230" t="str">
        <f>Standardwerte!O4</f>
        <v/>
      </c>
      <c r="J30" s="231" t="str">
        <f>Standardwerte!Q4</f>
        <v/>
      </c>
      <c r="K30" s="652"/>
      <c r="L30" s="406" t="str">
        <f>IF(BadMisch,"o. Hallenb.","")</f>
        <v/>
      </c>
      <c r="AG30" s="1497"/>
      <c r="AH30" s="1498"/>
      <c r="AJ30" s="1516"/>
    </row>
    <row r="31" spans="1:36" ht="18" hidden="1" customHeight="1">
      <c r="A31" s="1711" t="s">
        <v>405</v>
      </c>
      <c r="B31" s="297" t="s">
        <v>486</v>
      </c>
      <c r="C31" s="718"/>
      <c r="D31" s="718"/>
      <c r="E31" s="648"/>
      <c r="F31" s="50"/>
      <c r="G31" s="129" t="str">
        <f>Standardwerte!S43</f>
        <v/>
      </c>
      <c r="H31" s="129" t="str">
        <f>Standardwerte!S44</f>
        <v/>
      </c>
      <c r="I31" s="129" t="str">
        <f>Standardwerte!S45</f>
        <v/>
      </c>
      <c r="J31" s="653" t="str">
        <f>Standardwerte!S46</f>
        <v/>
      </c>
      <c r="K31" s="654"/>
      <c r="L31" s="655"/>
      <c r="AG31" s="1497"/>
      <c r="AH31" s="1498"/>
      <c r="AJ31" s="1516"/>
    </row>
    <row r="32" spans="1:36" ht="18" hidden="1" customHeight="1">
      <c r="A32" s="1711" t="s">
        <v>406</v>
      </c>
      <c r="B32" s="297" t="s">
        <v>494</v>
      </c>
      <c r="C32" s="718"/>
      <c r="D32" s="718"/>
      <c r="E32" s="648"/>
      <c r="F32" s="650" t="s">
        <v>321</v>
      </c>
      <c r="G32" s="121" t="str">
        <f>IF(_EBF1&gt;0,_EBF1,"")</f>
        <v/>
      </c>
      <c r="H32" s="129" t="str">
        <f>IF(_EBF2&gt;0,_EBF2,"")</f>
        <v/>
      </c>
      <c r="I32" s="121" t="str">
        <f>IF(_EBF3&gt;0,_EBF3,"")</f>
        <v/>
      </c>
      <c r="J32" s="121" t="str">
        <f>IF(_EBF4&gt;0,_EBF4,"")</f>
        <v/>
      </c>
      <c r="K32" s="654"/>
      <c r="L32" s="127" t="str">
        <f>IF(EBF&gt;0,EBF,"")</f>
        <v/>
      </c>
      <c r="AG32" s="1497"/>
      <c r="AH32" s="1498"/>
      <c r="AJ32" s="1516"/>
    </row>
    <row r="33" spans="1:36" ht="18" hidden="1" customHeight="1">
      <c r="A33" s="1711" t="s">
        <v>407</v>
      </c>
      <c r="B33" s="297" t="str">
        <f>IF(minergiep=TRUE,"Qh-MP mit Standardluftwechsel","Qh mit Standardluftwechsel")</f>
        <v>Qh mit Standardluftwechsel</v>
      </c>
      <c r="C33" s="718"/>
      <c r="D33" s="718"/>
      <c r="E33" s="648"/>
      <c r="F33" s="50" t="s">
        <v>525</v>
      </c>
      <c r="G33" s="656" t="str">
        <f>IF(_qhs1&gt;0,_qhs1/3.6,"")</f>
        <v/>
      </c>
      <c r="H33" s="656" t="str">
        <f>IF(_qhs2&gt;0,_qhs2/3.6,"")</f>
        <v/>
      </c>
      <c r="I33" s="656" t="str">
        <f>IF(_qhs3&gt;0,_qhs3/3.6,"")</f>
        <v/>
      </c>
      <c r="J33" s="656" t="str">
        <f>IF(_qhs4&gt;0,_qhs4/3.6,"")</f>
        <v/>
      </c>
      <c r="K33" s="654"/>
      <c r="L33" s="657" t="str">
        <f>IF(AND(qhs&gt;0,EBF&gt;0),qhs/3.6,"")</f>
        <v/>
      </c>
      <c r="AG33" s="1497"/>
      <c r="AH33" s="1498"/>
      <c r="AJ33" s="1516"/>
    </row>
    <row r="34" spans="1:36" ht="15.9" customHeight="1">
      <c r="A34" s="1711" t="s">
        <v>3074</v>
      </c>
      <c r="B34" s="1420" t="str">
        <f>IF(OR(minergiea,minergiep),Uebersetzung!D273,Uebersetzung!D274)</f>
        <v>Qh con ricambio d'aria effettivo</v>
      </c>
      <c r="C34" s="718"/>
      <c r="D34" s="718"/>
      <c r="E34" s="648"/>
      <c r="F34" s="50" t="s">
        <v>525</v>
      </c>
      <c r="G34" s="122">
        <f>IF(MUKEN,IF(G43=0,0,_qh1),_qh1)/3.6</f>
        <v>0</v>
      </c>
      <c r="H34" s="122">
        <f>IF(MUKEN,IF(H43=0,0,_qh2),_qh2)/3.6</f>
        <v>0</v>
      </c>
      <c r="I34" s="122">
        <f>IF(MUKEN,IF(I43=0,0,_qh3),_qh3)/3.6</f>
        <v>0</v>
      </c>
      <c r="J34" s="122">
        <f>IF(MUKEN,IF(J43=0,0,_qh4),_qh4)/3.6</f>
        <v>0</v>
      </c>
      <c r="K34" s="232"/>
      <c r="L34" s="134">
        <f>IF(MUKEN,IF(EBF_MUKEN&gt;0,(G34*_EBF1+H34*_EBF2+I34*_EBF3+J34*_EBF4)/EBF_MUKEN,0),qh)</f>
        <v>0</v>
      </c>
      <c r="M34" s="1714"/>
      <c r="N34" s="97"/>
      <c r="O34" s="97"/>
      <c r="AF34" s="1509" t="s">
        <v>2376</v>
      </c>
      <c r="AG34" s="1497">
        <f>THG_Strom</f>
        <v>0.13900000000000001</v>
      </c>
      <c r="AH34" s="1498"/>
      <c r="AJ34" s="1516"/>
    </row>
    <row r="35" spans="1:36" ht="15.9" customHeight="1">
      <c r="A35" s="1711" t="s">
        <v>426</v>
      </c>
      <c r="B35" s="1420" t="str">
        <f>Uebersetzung!D275</f>
        <v>Qww Fabbisogno di calore per ACS SIA 380/1</v>
      </c>
      <c r="C35" s="718"/>
      <c r="D35" s="718"/>
      <c r="E35" s="648"/>
      <c r="F35" s="50" t="s">
        <v>525</v>
      </c>
      <c r="G35" s="656">
        <f>IF(Dati!F17=$N$35,0,IF(G43=0,0,INDEX(Standardwerte!$L$9:$L$21,Kategorie1,1)/3.6))</f>
        <v>0</v>
      </c>
      <c r="H35" s="656">
        <f>IF(Dati!G17=$N$35,0,IF(H43=0,0,INDEX(Standardwerte!$L$9:$L$21,Kategorie2,1)/3.6))</f>
        <v>0</v>
      </c>
      <c r="I35" s="656">
        <f>IF(Dati!H17=$N$35,0,IF(I43=0,0,INDEX(Standardwerte!$L$9:$L$21,Kategorie3,1)/3.6))</f>
        <v>0</v>
      </c>
      <c r="J35" s="656">
        <f>IF(Dati!I17=$N$35,0,IF(J43=0,0,INDEX(Standardwerte!$L$9:$L$21,Kategorie4,1)/3.6))</f>
        <v>0</v>
      </c>
      <c r="K35" s="654"/>
      <c r="L35" s="657">
        <f>IF(MUKEN,IF(EBF_MUKEN&gt;0,(_qw1*_EBF1+_qw2*_EBF2+_qw3*_EBF3+_qw4*_EBF4)/EBF_MUKEN,0),IF(EBF&gt;0,(_qw1*_EBF1+_qw2*_EBF2+_qw3*_EBF3+_qw4*_EBF4)/EBF,0))</f>
        <v>0</v>
      </c>
      <c r="N35" s="1239" t="str">
        <f>Uebersetzung!D26</f>
        <v>no</v>
      </c>
      <c r="O35" s="97"/>
      <c r="Q35" s="1424"/>
      <c r="R35" s="916"/>
      <c r="AG35" s="1497"/>
      <c r="AH35" s="1498"/>
      <c r="AJ35" s="1516"/>
    </row>
    <row r="36" spans="1:36" ht="18" hidden="1" customHeight="1">
      <c r="A36" s="1711" t="s">
        <v>408</v>
      </c>
      <c r="B36" s="1421" t="s">
        <v>689</v>
      </c>
      <c r="C36" s="719"/>
      <c r="D36" s="719"/>
      <c r="E36" s="648"/>
      <c r="F36" s="596" t="s">
        <v>584</v>
      </c>
      <c r="G36" s="658">
        <f>_Vth1</f>
        <v>0</v>
      </c>
      <c r="H36" s="658">
        <f>_Vth2</f>
        <v>0</v>
      </c>
      <c r="I36" s="658">
        <f>_Vth3</f>
        <v>0</v>
      </c>
      <c r="J36" s="658">
        <f>_Vth4</f>
        <v>0</v>
      </c>
      <c r="K36" s="659"/>
      <c r="L36" s="660">
        <f>Vth</f>
        <v>0</v>
      </c>
      <c r="N36" s="97"/>
      <c r="O36" s="97"/>
      <c r="AG36" s="1497"/>
      <c r="AH36" s="1498"/>
      <c r="AJ36" s="1516"/>
    </row>
    <row r="37" spans="1:36" ht="18" hidden="1" customHeight="1">
      <c r="A37" s="1711" t="s">
        <v>410</v>
      </c>
      <c r="B37" s="1421" t="s">
        <v>123</v>
      </c>
      <c r="C37" s="719"/>
      <c r="D37" s="719"/>
      <c r="E37" s="648"/>
      <c r="F37" s="651"/>
      <c r="G37" s="661">
        <f>IF(Kategorie1&gt;1,Standardwerte!L25,)</f>
        <v>0</v>
      </c>
      <c r="H37" s="661">
        <f>IF(Kategorie2&gt;1,Standardwerte!P25,)</f>
        <v>0</v>
      </c>
      <c r="I37" s="661">
        <f>IF(Kategorie3&gt;1,Standardwerte!L29,)</f>
        <v>0</v>
      </c>
      <c r="J37" s="661">
        <f>IF(Kategorie4&gt;1,Standardwerte!P29,)</f>
        <v>0</v>
      </c>
      <c r="K37" s="654"/>
      <c r="L37" s="662"/>
      <c r="N37" s="97"/>
      <c r="O37" s="97"/>
      <c r="AG37" s="1497"/>
      <c r="AH37" s="1498"/>
      <c r="AJ37" s="1516"/>
    </row>
    <row r="38" spans="1:36" ht="18" hidden="1" customHeight="1">
      <c r="A38" s="1711" t="s">
        <v>411</v>
      </c>
      <c r="B38" s="1421" t="s">
        <v>485</v>
      </c>
      <c r="C38" s="719"/>
      <c r="D38" s="719"/>
      <c r="E38" s="648"/>
      <c r="F38" s="651"/>
      <c r="G38" s="661">
        <f>IF(Kategorie1&gt;1,IF(abgabe1&gt;0,INDEX(Standardwerte!$AE$23:$AE$29,abgabe1,1),),)</f>
        <v>0</v>
      </c>
      <c r="H38" s="661">
        <f>IF(Kategorie2&gt;1,IF(abgabe2&gt;0,INDEX(Standardwerte!$AE$23:$AE$29,abgabe2,1),),)</f>
        <v>0</v>
      </c>
      <c r="I38" s="661">
        <f>IF(Kategorie3&gt;1,IF(abgabe3&gt;0,INDEX(Standardwerte!$AE$23:$AE$29,abgabe3,1),),)</f>
        <v>0</v>
      </c>
      <c r="J38" s="661">
        <f>IF(Kategorie4&gt;1,IF(abgabe4&gt;0,INDEX(Standardwerte!$AE$23:$AE$29,abgabe4,1),),)</f>
        <v>0</v>
      </c>
      <c r="K38" s="654"/>
      <c r="L38" s="662"/>
      <c r="N38" s="97"/>
      <c r="O38" s="97"/>
      <c r="AG38" s="1497"/>
      <c r="AH38" s="1498"/>
      <c r="AJ38" s="1516"/>
    </row>
    <row r="39" spans="1:36" ht="15.9" customHeight="1">
      <c r="A39" s="1711" t="s">
        <v>428</v>
      </c>
      <c r="B39" s="1421" t="str">
        <f>Uebersetzung!D276</f>
        <v>Fabbisogno elettrico per ventilazione</v>
      </c>
      <c r="C39" s="719"/>
      <c r="D39" s="719"/>
      <c r="E39" s="648"/>
      <c r="F39" s="50" t="s">
        <v>525</v>
      </c>
      <c r="G39" s="656">
        <f>IF(ISERROR(_Qe1),0,IF(MUKEN,IF(Neubau1=3,0,_Qe1),_Qe1))</f>
        <v>0</v>
      </c>
      <c r="H39" s="656">
        <f>IF(ISERROR(_Qe2),0,IF(MUKEN,IF(Neubau2=3,0,_Qe2),_Qe2))</f>
        <v>0</v>
      </c>
      <c r="I39" s="656">
        <f>IF(ISERROR(_Qe3),0,IF(MUKEN,IF(Neubau3=3,0,_Qe3),_Qe3))</f>
        <v>0</v>
      </c>
      <c r="J39" s="656">
        <f>IF(ISERROR(_Qe4),0,IF(MUKEN,IF(Neubau4=3,0,_Qe4),_Qe4))</f>
        <v>0</v>
      </c>
      <c r="K39" s="1512"/>
      <c r="L39" s="134">
        <f>IF(ISERROR(Qe),"",IF(MUKEN,IF(EBF_MUKEN&gt;0,(G39*_EBF1+H39*_EBF2+I39*_EBF3+J39*_EBF4)/EBF_MUKEN,0),Qe))</f>
        <v>0</v>
      </c>
      <c r="N39" s="97"/>
      <c r="O39" s="97"/>
      <c r="R39" s="5"/>
      <c r="AF39" s="1509" t="s">
        <v>682</v>
      </c>
      <c r="AG39" s="1497">
        <f>THG_Strom</f>
        <v>0.13900000000000001</v>
      </c>
      <c r="AH39" s="1497">
        <f>IF(L39&lt;&gt;"",L39*AG39,0)</f>
        <v>0</v>
      </c>
      <c r="AJ39" s="1516"/>
    </row>
    <row r="40" spans="1:36" ht="15.9" customHeight="1">
      <c r="A40" s="1711" t="s">
        <v>429</v>
      </c>
      <c r="B40" s="1421" t="str">
        <f>IF(minergiep,Uebersetzung!D277,Uebersetzung!D278)</f>
        <v>Fabbisogno elettrico per climatizzazione e ausiliari</v>
      </c>
      <c r="C40" s="719"/>
      <c r="D40" s="719"/>
      <c r="E40" s="648"/>
      <c r="F40" s="50" t="s">
        <v>525</v>
      </c>
      <c r="G40" s="122">
        <f>IF(MUKEN,IF(G43=0,0,E_Qk1),E_Qk1)</f>
        <v>0</v>
      </c>
      <c r="H40" s="122">
        <f>IF(MUKEN,IF(H43=0,0,E_Qk2),E_Qk2)</f>
        <v>0</v>
      </c>
      <c r="I40" s="122">
        <f>IF(MUKEN,IF(I43=0,0,E_Qk3),E_Qk3)</f>
        <v>0</v>
      </c>
      <c r="J40" s="122">
        <f>IF(MUKEN,IF(J43=0,0,E_Qk4),E_Qk4)</f>
        <v>0</v>
      </c>
      <c r="K40" s="232"/>
      <c r="L40" s="134">
        <f>IF(MUKEN,IF(EBF_MUKEN&gt;0,(G40*_EBF1+H40*_EBF2+I40*_EBF3+J40*_EBF4)/EBF_MUKEN,0),E_Qk)</f>
        <v>0</v>
      </c>
      <c r="N40" s="97"/>
      <c r="O40" s="97"/>
      <c r="R40" s="916"/>
      <c r="AF40" s="1509" t="s">
        <v>683</v>
      </c>
      <c r="AG40" s="1497">
        <f>THG_Strom</f>
        <v>0.13900000000000001</v>
      </c>
      <c r="AH40" s="1497">
        <f>IF(L40&lt;&gt;"",L40*AG40,0)</f>
        <v>0</v>
      </c>
      <c r="AJ40" s="1516"/>
    </row>
    <row r="41" spans="1:36" ht="2.25" hidden="1" customHeight="1">
      <c r="A41" s="1711" t="s">
        <v>414</v>
      </c>
      <c r="B41" s="1421" t="str">
        <f>IF(minergiea,"Strombedarf Hilfsbetriebe",IF(minergiep,"Grenzwert","Grenzwert ohne Zuschläge"))</f>
        <v>Grenzwert ohne Zuschläge</v>
      </c>
      <c r="C41" s="720"/>
      <c r="D41" s="720"/>
      <c r="E41" s="648"/>
      <c r="F41" s="50" t="s">
        <v>525</v>
      </c>
      <c r="G41" s="122">
        <f>IF(minergiea,IF(_EBF1&gt;0,Dati!F43/_EBF1,0),IF(minergiep,Standardwerte!J74,MAX(IF(Neubau1=2,INDEX(Standardwerte!$P$9:$Q$21,Kategorie1,1),IF(Neubau1=3,INDEX(Standardwerte!$P$9:$Q$21,Kategorie1,2),0))-Standardwerte!J107,0)))</f>
        <v>0</v>
      </c>
      <c r="H41" s="122">
        <f>IF(minergiea,IF(_EBF2&gt;0,Dati!G43/_EBF2,0),IF(minergiep,Standardwerte!J75,MAX(IF(Neubau2=2,INDEX(Standardwerte!$P$9:$Q$21,Kategorie2,1),IF(Neubau2=3,INDEX(Standardwerte!$P$9:$Q$21,Kategorie2,2),0))-Standardwerte!K107,0)))</f>
        <v>0</v>
      </c>
      <c r="I41" s="122">
        <f>IF(minergiea,IF(_EBF3&gt;0,Dati!H43/_EBF3,0),IF(minergiep,Standardwerte!J76,MAX(IF(Neubau3=2,INDEX(Standardwerte!$P$9:$Q$21,Kategorie3,1),IF(Neubau3=3,INDEX(Standardwerte!$P$9:$Q$21,Kategorie3,2),0))-Standardwerte!L107,0)))</f>
        <v>0</v>
      </c>
      <c r="J41" s="122">
        <f>IF(minergiea,IF(_EBF4&gt;0,Dati!I43/_EBF4,0),IF(minergiep,Standardwerte!J77,MAX(IF(Neubau4=2,INDEX(Standardwerte!$P$9:$Q$21,Kategorie4,1),IF(Neubau4=3,INDEX(Standardwerte!$P$9:$Q$21,Kategorie4,2),0))-Standardwerte!M107,0)))</f>
        <v>0</v>
      </c>
      <c r="K41" s="233"/>
      <c r="L41" s="134">
        <f>IF(EBF&gt;0,(G41*_EBF1+H41*_EBF2+I41*_EBF3+J41*_EBF4)/EBF,)</f>
        <v>0</v>
      </c>
      <c r="N41" s="97"/>
      <c r="O41" s="97"/>
      <c r="AF41" s="917"/>
      <c r="AG41" s="1497"/>
      <c r="AH41" s="1498"/>
      <c r="AJ41" s="1516"/>
    </row>
    <row r="42" spans="1:36" ht="2.25" hidden="1" customHeight="1">
      <c r="A42" s="1711" t="s">
        <v>415</v>
      </c>
      <c r="B42" s="1421" t="str">
        <f>IF(OR(minergiea,minergiep),"","Klima- und Verschattungszuschlag")</f>
        <v>Klima- und Verschattungszuschlag</v>
      </c>
      <c r="C42" s="720"/>
      <c r="D42" s="720"/>
      <c r="E42" s="648"/>
      <c r="F42" s="50" t="str">
        <f>IF(OR(minergiea,minergiep),"","kWh/m2")</f>
        <v>kWh/m2</v>
      </c>
      <c r="G42" s="234">
        <f>IF(OR(minergiea,minergiep),0,klima1+Standardwerte!J67)</f>
        <v>0</v>
      </c>
      <c r="H42" s="234">
        <f>IF(OR(minergiea,minergiep),0,klima2+Standardwerte!J68)</f>
        <v>0</v>
      </c>
      <c r="I42" s="234">
        <f>IF(OR(minergiea,minergiep),0,klima3+Standardwerte!J69)</f>
        <v>0</v>
      </c>
      <c r="J42" s="234">
        <f>IF(OR(minergiea,minergiep),0,klima4+Standardwerte!J70)</f>
        <v>0</v>
      </c>
      <c r="K42" s="233"/>
      <c r="L42" s="134">
        <f>IF(EBF&gt;0,(G42*_EBF1+H42*_EBF2+I42*_EBF3+J42*_EBF4)/EBF,)</f>
        <v>0</v>
      </c>
      <c r="N42" s="97"/>
      <c r="O42" s="97"/>
      <c r="AF42" s="917"/>
      <c r="AG42" s="1497"/>
      <c r="AH42" s="1498"/>
      <c r="AJ42" s="1516"/>
    </row>
    <row r="43" spans="1:36" ht="15.9" customHeight="1">
      <c r="A43" s="1711" t="s">
        <v>3075</v>
      </c>
      <c r="B43" s="1421" t="str">
        <f>IF(MUKEN,Uebersetzung!D279,Uebersetzung!D360)</f>
        <v>Valore limite fabbisogno finale d'energia senza PV</v>
      </c>
      <c r="C43" s="719"/>
      <c r="D43" s="719"/>
      <c r="E43" s="719"/>
      <c r="F43" s="50" t="s">
        <v>525</v>
      </c>
      <c r="G43" s="1401">
        <f>IF(MUKEN,IF(Neubau1=3,0,Standardwerte!N138),Standardwerte!N138+IF(AND(MUKEN=FALSE,Neubau1=3),Standardwerte!N139,0))</f>
        <v>0</v>
      </c>
      <c r="H43" s="1401">
        <f>IF(MUKEN,IF(Neubau2=3,0,Standardwerte!O138),Standardwerte!O138)+IF(AND(MUKEN=FALSE,Neubau2=3),Standardwerte!O139,0)</f>
        <v>0</v>
      </c>
      <c r="I43" s="1401">
        <f>IF(MUKEN,IF(Neubau3=3,0,Standardwerte!P138),Standardwerte!P138)+IF(AND(MUKEN=FALSE,Neubau3=3),Standardwerte!P139,0)</f>
        <v>0</v>
      </c>
      <c r="J43" s="1401">
        <f>IF(MUKEN,IF(Neubau4=3,0,Standardwerte!Q138),Standardwerte!Q138)+IF(AND(MUKEN=FALSE,Neubau4=3),Standardwerte!Q139,0)</f>
        <v>0</v>
      </c>
      <c r="K43" s="1400"/>
      <c r="L43" s="134">
        <f>IF(OR(EBF_MUKEN&gt;0,EBF&gt;0),(G43*_EBF1+H43*_EBF2+I43*_EBF3+J43*_EBF4)/IF(MUKEN,EBF_MUKEN,EBF),0)</f>
        <v>0</v>
      </c>
      <c r="N43" s="97"/>
      <c r="O43" s="97"/>
      <c r="AF43" s="1502" t="s">
        <v>2377</v>
      </c>
      <c r="AG43" s="1497">
        <f>-THG_PV</f>
        <v>-0.13900000000000001</v>
      </c>
      <c r="AH43" s="1497">
        <f>IF(EBF&gt;0,AG43*MINERGIE!E55*MINERGIE!G55*(1-MINERGIE!I55)/EBF,0)</f>
        <v>0</v>
      </c>
      <c r="AI43" s="1509" t="s">
        <v>2704</v>
      </c>
      <c r="AJ43" s="1562">
        <f>IF(AJ7&gt;0,AJ9*AJ8+AJ13*AJ12+AJ17*AJ16+AJ21*AJ20+AJ25*AJ24,1)</f>
        <v>1</v>
      </c>
    </row>
    <row r="44" spans="1:36" ht="20.100000000000001" customHeight="1">
      <c r="A44" s="1711" t="s">
        <v>3076</v>
      </c>
      <c r="B44" s="1422" t="str">
        <f>Uebersetzung!D361</f>
        <v>Valore limite indice Minergie</v>
      </c>
      <c r="C44" s="1402"/>
      <c r="D44" s="1402"/>
      <c r="E44" s="1402"/>
      <c r="F44" s="1403" t="s">
        <v>525</v>
      </c>
      <c r="G44" s="1404">
        <f>MINERGIE!V40</f>
        <v>0</v>
      </c>
      <c r="H44" s="1404">
        <f>MINERGIE!W40</f>
        <v>0</v>
      </c>
      <c r="I44" s="1404">
        <f>MINERGIE!X40</f>
        <v>0</v>
      </c>
      <c r="J44" s="1404">
        <f>MINERGIE!Y40</f>
        <v>0</v>
      </c>
      <c r="K44" s="1398"/>
      <c r="L44" s="1399">
        <f>IF(OR(EBF_MUKEN&gt;0,EBF&gt;0),(G44*_EBF1+H44*_EBF2+I44*_EBF3+J44*_EBF4)/EBF,0)</f>
        <v>0</v>
      </c>
      <c r="N44" s="97"/>
      <c r="O44" s="97"/>
      <c r="AF44" s="1502" t="s">
        <v>2378</v>
      </c>
      <c r="AG44" s="1501">
        <f>THG_Strom</f>
        <v>0.13900000000000001</v>
      </c>
      <c r="AH44" s="1501">
        <f>(MINERGIE!S75-MINERGIE!S15-MINERGIE!S19+MINERGIE!S72)/2*AG44</f>
        <v>0</v>
      </c>
      <c r="AI44" s="1509" t="s">
        <v>2703</v>
      </c>
      <c r="AJ44" s="1562">
        <f>IF(AJ7&gt;0,AJ10*AJ8+AJ14*AJ12+AJ18*AJ16+AJ22*AJ20+AJ27*AJ24,1)</f>
        <v>1</v>
      </c>
    </row>
    <row r="45" spans="1:36" ht="21.9" customHeight="1">
      <c r="A45" s="1711"/>
      <c r="B45" s="999" t="str">
        <f>Uebersetzung!D280</f>
        <v>Produzione di calore:</v>
      </c>
      <c r="C45" s="721"/>
      <c r="D45" s="721"/>
      <c r="E45" s="240" t="s">
        <v>242</v>
      </c>
      <c r="F45" s="2101" t="str">
        <f>Uebersetzung!D283</f>
        <v>Pondera-
zione</v>
      </c>
      <c r="G45" s="2144" t="str">
        <f>Uebersetzung!D284</f>
        <v>Tasso di copertura</v>
      </c>
      <c r="H45" s="2145"/>
      <c r="I45" s="2103" t="str">
        <f>Uebersetzung!D285</f>
        <v>Fabb. fin. pond. kWh/m2</v>
      </c>
      <c r="J45" s="2104"/>
      <c r="K45" s="106"/>
      <c r="L45" s="241" t="str">
        <f>Uebersetzung!D288</f>
        <v>Calore</v>
      </c>
      <c r="AG45" s="1494" t="s">
        <v>692</v>
      </c>
      <c r="AH45" s="1511">
        <f>SUM(AH4:AH44)</f>
        <v>0</v>
      </c>
      <c r="AJ45" s="1564">
        <f>IF(AJ7&gt;0,(AJ9*AJ5*AJ8+AJ10*AJ8*AJ6+AJ13*AJ12*AJ5+AJ14*AJ12*AJ6+AJ17*AJ16*AJ5+AJ18*AJ16*AJ6+AJ21*AJ20*AJ5+AJ22*AJ20*AJ6+AJ25*AJ24*AJ5+AJ27*AJ24*AJ6)/AJ7,1)</f>
        <v>1</v>
      </c>
    </row>
    <row r="46" spans="1:36" ht="14.1" customHeight="1">
      <c r="A46" s="1711"/>
      <c r="B46" s="227" t="str">
        <f>Uebersetzung!D281</f>
        <v>(Riscaldamento+ACS)</v>
      </c>
      <c r="C46" s="722"/>
      <c r="D46" s="722"/>
      <c r="E46" s="135" t="str">
        <f>Uebersetzung!D282</f>
        <v>o COP</v>
      </c>
      <c r="F46" s="2102"/>
      <c r="G46" s="237" t="str">
        <f>J7</f>
        <v>Riscaldam.</v>
      </c>
      <c r="H46" s="135" t="str">
        <f>L7</f>
        <v>Acqua calda</v>
      </c>
      <c r="I46" s="135" t="str">
        <f>Uebersetzung!D286</f>
        <v>Elettricità</v>
      </c>
      <c r="J46" s="135" t="str">
        <f>Uebersetzung!D287</f>
        <v>altro</v>
      </c>
      <c r="K46" s="104"/>
      <c r="L46" s="242" t="s">
        <v>160</v>
      </c>
      <c r="N46" s="762" t="s">
        <v>1866</v>
      </c>
      <c r="O46" s="1218" t="s">
        <v>1867</v>
      </c>
    </row>
    <row r="47" spans="1:36" ht="15.9" customHeight="1">
      <c r="A47" s="1711" t="s">
        <v>3077</v>
      </c>
      <c r="B47" s="1420" t="str">
        <f>IF(_typ1=1,"",Standardwerte!U63)</f>
        <v/>
      </c>
      <c r="C47" s="718"/>
      <c r="D47" s="718"/>
      <c r="E47" s="121">
        <f>IF(WirkungsgradA&lt;&gt;"",IF(WirkungsgradA&gt;25,WirkungsgradA/100,WirkungsgradA),"")</f>
        <v>0</v>
      </c>
      <c r="F47" s="121">
        <f>_gew1</f>
        <v>0</v>
      </c>
      <c r="G47" s="238">
        <f>IF(J8="",0,MIN(J8,IF(J9&lt;&gt;"",J9,J8))*S8)/100</f>
        <v>0</v>
      </c>
      <c r="H47" s="235">
        <f>IF(qw&gt;0,IF(L8="",0,MIN(L8,IF(L9&lt;&gt;"",L9,L8))*T8)/100,)</f>
        <v>0</v>
      </c>
      <c r="I47" s="132">
        <f>IF(Q8&lt;&gt;"",Q8*2,0)</f>
        <v>0</v>
      </c>
      <c r="J47" s="236">
        <f>P8</f>
        <v>0</v>
      </c>
      <c r="K47" s="101"/>
      <c r="L47" s="247">
        <f>WaermebedarfA</f>
        <v>0</v>
      </c>
      <c r="N47" s="1223">
        <f>IF(E47&gt;0,G47*F47/E47,0)</f>
        <v>0</v>
      </c>
      <c r="O47" s="1226">
        <f>IF(E47&gt;0,H47*F47/E47,0)</f>
        <v>0</v>
      </c>
    </row>
    <row r="48" spans="1:36" ht="15.9" customHeight="1">
      <c r="A48" s="1711" t="s">
        <v>3078</v>
      </c>
      <c r="B48" s="1421" t="str">
        <f>IF(_typ2=1,"",Standardwerte!U64)</f>
        <v/>
      </c>
      <c r="C48" s="719"/>
      <c r="D48" s="719"/>
      <c r="E48" s="121">
        <f>IF(WirkungsgradB&lt;&gt;"",IF(WirkungsgradB&gt;25,WirkungsgradB/100,WirkungsgradB),"")</f>
        <v>0</v>
      </c>
      <c r="F48" s="121">
        <f>_gew2</f>
        <v>0</v>
      </c>
      <c r="G48" s="239">
        <f>IF(J12="",0,MIN(J12,IF(J13&lt;&gt;"",J13,J12))*S12)/100</f>
        <v>0</v>
      </c>
      <c r="H48" s="162">
        <f>IF(qw&gt;0,IF(L12="",0,MIN(L12,IF(L13&lt;&gt;"",L13,L12))*T12)/100,)</f>
        <v>0</v>
      </c>
      <c r="I48" s="163">
        <f>IF(Q12&lt;&gt;"",Q12*2,0)</f>
        <v>0</v>
      </c>
      <c r="J48" s="1042">
        <f>P12</f>
        <v>0</v>
      </c>
      <c r="K48" s="105"/>
      <c r="L48" s="58">
        <f>WaermebedarfB</f>
        <v>0</v>
      </c>
      <c r="N48" s="1223">
        <f t="shared" ref="N48:N50" si="0">IF(E48&gt;0,G48*F48/E48,0)</f>
        <v>0</v>
      </c>
      <c r="O48" s="1226">
        <f t="shared" ref="O48:O50" si="1">IF(E48&gt;0,H48*F48/E48,0)</f>
        <v>0</v>
      </c>
    </row>
    <row r="49" spans="1:36" ht="15.9" customHeight="1">
      <c r="A49" s="1711" t="s">
        <v>3079</v>
      </c>
      <c r="B49" s="1421" t="str">
        <f>IF(_typ3=1,"",Standardwerte!U65)</f>
        <v/>
      </c>
      <c r="C49" s="719"/>
      <c r="D49" s="719"/>
      <c r="E49" s="121">
        <f>IF(WirkungsgradC&lt;&gt;"",IF(WirkungsgradC&gt;25,WirkungsgradC/100,WirkungsgradC),"")</f>
        <v>0</v>
      </c>
      <c r="F49" s="121">
        <f>_gew3</f>
        <v>0</v>
      </c>
      <c r="G49" s="239">
        <f>IF(J16="",0,MIN(J16,IF(J17&lt;&gt;"",J17,J16))*S16)/100</f>
        <v>0</v>
      </c>
      <c r="H49" s="162">
        <f>IF(qw&gt;0,IF(L16="",0,MIN(L16,IF(L17&lt;&gt;"",L17,L16))*T16)/100,)</f>
        <v>0</v>
      </c>
      <c r="I49" s="163">
        <f>IF(Q16&lt;&gt;"",Q16*2,0)</f>
        <v>0</v>
      </c>
      <c r="J49" s="1042">
        <f>P16</f>
        <v>0</v>
      </c>
      <c r="K49" s="105"/>
      <c r="L49" s="58">
        <f>WaermebedarfC</f>
        <v>0</v>
      </c>
      <c r="N49" s="1223">
        <f t="shared" si="0"/>
        <v>0</v>
      </c>
      <c r="O49" s="1226">
        <f t="shared" si="1"/>
        <v>0</v>
      </c>
    </row>
    <row r="50" spans="1:36" ht="15.9" customHeight="1">
      <c r="A50" s="1711" t="s">
        <v>3080</v>
      </c>
      <c r="B50" s="1421" t="str">
        <f>IF(_typ4=1,"",Standardwerte!U66)</f>
        <v/>
      </c>
      <c r="C50" s="719"/>
      <c r="D50" s="719"/>
      <c r="E50" s="121">
        <f>IF(WirkungsgradD&lt;&gt;"",IF(WirkungsgradD&gt;25,WirkungsgradD/100,WirkungsgradD),"")</f>
        <v>0</v>
      </c>
      <c r="F50" s="121">
        <f>_gew4</f>
        <v>0</v>
      </c>
      <c r="G50" s="239">
        <f>IF(J20="",0,MIN(J20,IF(J21&lt;&gt;"",J21,J20))*S20)/100</f>
        <v>0</v>
      </c>
      <c r="H50" s="162">
        <f>IF(qw&gt;0,IF(L20="",0,MIN(L20,IF(L21&lt;&gt;"",L21,L20))*T20)/100,)</f>
        <v>0</v>
      </c>
      <c r="I50" s="163">
        <f>IF(Q20&lt;&gt;"",Q20*2,0)</f>
        <v>0</v>
      </c>
      <c r="J50" s="1042">
        <f>P20</f>
        <v>0</v>
      </c>
      <c r="K50" s="99"/>
      <c r="L50" s="58">
        <f>WaermebedarfD</f>
        <v>0</v>
      </c>
      <c r="N50" s="1223">
        <f t="shared" si="0"/>
        <v>0</v>
      </c>
      <c r="O50" s="1226">
        <f t="shared" si="1"/>
        <v>0</v>
      </c>
    </row>
    <row r="51" spans="1:36" ht="15.9" customHeight="1">
      <c r="A51" s="1711" t="s">
        <v>3081</v>
      </c>
      <c r="B51" s="1421" t="str">
        <f>IF(B24&lt;&gt;"",B24,IF(OR(J24&lt;&gt;"",L24&lt;&gt;""),Uebersetzung!D300,""))</f>
        <v/>
      </c>
      <c r="C51" s="719"/>
      <c r="D51" s="719"/>
      <c r="E51" s="295"/>
      <c r="F51" s="257"/>
      <c r="G51" s="239" t="str">
        <f>IF(B51="","",J24/100)</f>
        <v/>
      </c>
      <c r="H51" s="162">
        <f>IF(qw&gt;0,IF(B51="","",L24/100),)</f>
        <v>0</v>
      </c>
      <c r="I51" s="163">
        <f>StrombedarfE*2</f>
        <v>0</v>
      </c>
      <c r="J51" s="164">
        <f>EndenergieE</f>
        <v>0</v>
      </c>
      <c r="K51" s="99"/>
      <c r="L51" s="58">
        <f>WaermebedarfE</f>
        <v>0</v>
      </c>
      <c r="N51" s="1224">
        <f>IF(WaermebedarfE&gt;0,G51*(StrombedarfE*2+EndenergieE)/WaermebedarfE,0)</f>
        <v>0</v>
      </c>
      <c r="O51" s="1221">
        <f>IF(WaermebedarfE&gt;0,H51*(StrombedarfE*2+EndenergieE)/WaermebedarfE,0)</f>
        <v>0</v>
      </c>
    </row>
    <row r="52" spans="1:36" ht="15.9" customHeight="1">
      <c r="A52" s="1711" t="s">
        <v>3082</v>
      </c>
      <c r="B52" s="1421" t="str">
        <f>Uebersetzung!D289</f>
        <v>Fabb. elettricità impianti di aerazione</v>
      </c>
      <c r="C52" s="719"/>
      <c r="D52" s="719"/>
      <c r="E52" s="296"/>
      <c r="F52" s="121">
        <f>IF(EBF&gt;0,2,)</f>
        <v>0</v>
      </c>
      <c r="G52" s="116"/>
      <c r="H52" s="117"/>
      <c r="I52" s="122">
        <f>IF(ISERROR(Qe*F52),,Qe*F52)</f>
        <v>0</v>
      </c>
      <c r="J52" s="164"/>
      <c r="K52" s="101"/>
      <c r="L52" s="58"/>
      <c r="N52" s="1217">
        <f>SUM(N47:N51)</f>
        <v>0</v>
      </c>
      <c r="O52" s="1217">
        <f>SUM(O47:O51)</f>
        <v>0</v>
      </c>
    </row>
    <row r="53" spans="1:36" ht="15.9" customHeight="1">
      <c r="A53" s="1711" t="s">
        <v>3083</v>
      </c>
      <c r="B53" s="1421" t="str">
        <f>IF(OR(minergiep,minergiea),Uebersetzung!D290,Uebersetzung!D291)</f>
        <v>Elettricità per climatizzazione + ausiliari</v>
      </c>
      <c r="C53" s="719"/>
      <c r="D53" s="719"/>
      <c r="E53" s="296"/>
      <c r="F53" s="243">
        <f>IF(E_Qk=0,0,2)</f>
        <v>0</v>
      </c>
      <c r="G53" s="116"/>
      <c r="H53" s="165"/>
      <c r="I53" s="122">
        <f>E_Qk*F53</f>
        <v>0</v>
      </c>
      <c r="J53" s="164"/>
      <c r="K53" s="101"/>
      <c r="L53" s="248"/>
    </row>
    <row r="54" spans="1:36" ht="15.9" customHeight="1">
      <c r="A54" s="1711" t="s">
        <v>3084</v>
      </c>
      <c r="B54" s="729" t="str">
        <f>Uebersetzung!D292</f>
        <v>Totale:</v>
      </c>
      <c r="C54" s="723"/>
      <c r="D54" s="723"/>
      <c r="E54" s="246"/>
      <c r="F54" s="245"/>
      <c r="G54" s="256">
        <f>SUM(G47:G53)</f>
        <v>0</v>
      </c>
      <c r="H54" s="256">
        <f>SUM(H47:H53)</f>
        <v>0</v>
      </c>
      <c r="I54" s="167">
        <f>SUM(I47:I53)</f>
        <v>0</v>
      </c>
      <c r="J54" s="167">
        <f>SUM(J47:J53)</f>
        <v>0</v>
      </c>
      <c r="K54" s="166"/>
      <c r="L54" s="1399">
        <f>SUM(L47:L53)</f>
        <v>0</v>
      </c>
      <c r="M54" s="1714"/>
      <c r="N54" s="758"/>
      <c r="O54" s="758"/>
      <c r="P54" s="648"/>
      <c r="Q54" s="648"/>
      <c r="R54" s="648"/>
      <c r="S54" s="648"/>
      <c r="T54" s="648"/>
      <c r="U54" s="648"/>
      <c r="V54" s="648"/>
      <c r="W54" s="648"/>
      <c r="X54" s="648"/>
      <c r="Y54" s="648"/>
      <c r="Z54" s="648"/>
      <c r="AA54" s="648"/>
      <c r="AB54" s="648"/>
      <c r="AC54" s="648"/>
    </row>
    <row r="55" spans="1:36" s="648" customFormat="1" ht="3.9" customHeight="1">
      <c r="A55" s="1696"/>
      <c r="F55" s="757"/>
      <c r="G55" s="2143"/>
      <c r="H55" s="2143"/>
      <c r="M55" s="1712"/>
      <c r="N55" s="125"/>
      <c r="O55" s="125"/>
      <c r="P55" s="97"/>
      <c r="Q55" s="97"/>
      <c r="R55" s="97"/>
      <c r="S55" s="97"/>
      <c r="T55" s="97"/>
      <c r="U55" s="97"/>
      <c r="V55" s="97"/>
      <c r="W55" s="97"/>
      <c r="X55" s="97"/>
      <c r="Y55" s="97"/>
      <c r="Z55" s="97"/>
      <c r="AA55" s="97"/>
      <c r="AB55" s="97"/>
      <c r="AC55" s="97"/>
      <c r="AD55" s="1492"/>
      <c r="AE55" s="1492"/>
      <c r="AJ55" s="1492"/>
    </row>
    <row r="56" spans="1:36" ht="20.100000000000001" customHeight="1">
      <c r="A56" s="1711"/>
      <c r="B56" s="634" t="str">
        <f>Uebersetzung!D293</f>
        <v>Rispetto delle esigenze:</v>
      </c>
      <c r="C56" s="717"/>
      <c r="D56" s="717"/>
      <c r="E56" s="128"/>
      <c r="F56" s="128"/>
      <c r="G56" s="2108" t="str">
        <f>Uebersetzung!D294</f>
        <v>Esigenza</v>
      </c>
      <c r="H56" s="2109"/>
      <c r="I56" s="2108" t="str">
        <f>Uebersetzung!D295</f>
        <v>Valore calcolato</v>
      </c>
      <c r="J56" s="2164"/>
      <c r="K56" s="137"/>
      <c r="L56" s="663" t="str">
        <f>Uebersetzung!D299</f>
        <v>Rispettato?</v>
      </c>
      <c r="O56" s="395"/>
    </row>
    <row r="57" spans="1:36" ht="20.100000000000001" hidden="1" customHeight="1">
      <c r="A57" s="1711" t="s">
        <v>425</v>
      </c>
      <c r="B57" s="98" t="str">
        <f>IF(Primaeranforderung=0,"","Primäranforderung an Gebäudehülle")</f>
        <v/>
      </c>
      <c r="C57" s="106"/>
      <c r="D57" s="106"/>
      <c r="E57" s="106"/>
      <c r="F57" s="106"/>
      <c r="G57" s="157" t="str">
        <f>IF(Primaeranforderung&gt;0,Primaeranforderung,"")</f>
        <v/>
      </c>
      <c r="H57" s="158" t="str">
        <f>IF(Primaeranforderung=0,""," kWh/m2")</f>
        <v/>
      </c>
      <c r="I57" s="157" t="str">
        <f>IF(Primaeranforderung=0,"",IF(EBF&gt;0,Zonen_vollständig*qhs_vollständig*(Primaer1*_qhs1*Dati!F19+Primaer2*_qhs2*Dati!G19+Primaer3*_qhs3*Dati!H19+Primaer4*_qhs4*Dati!I19)/(Primaer1*Dati!F19+Primaer2*Dati!G19+Primaer3*Dati!H19+Primaer4*Dati!I19)/3.6,))</f>
        <v/>
      </c>
      <c r="J57" s="159" t="str">
        <f>IF(Primaeranforderung=0,""," kWh/m2")</f>
        <v/>
      </c>
      <c r="K57" s="106"/>
      <c r="L57" s="138" t="str">
        <f>IF(Primaeranforderung=0,"",IF(AND(I57=0,G57=0),"",IF(OR(I57=0,G57=0),"Nein",IF(I57&lt;=G57,IF(nurBadnutzung,"Ja",IF(G54&lt;0.995,"Nein","Ja")),"Nein"))))</f>
        <v/>
      </c>
      <c r="M57" s="592">
        <f>IF(minergiea,0.9*I57/G57,)</f>
        <v>0</v>
      </c>
    </row>
    <row r="58" spans="1:36" ht="20.100000000000001" customHeight="1">
      <c r="A58" s="1720" t="s">
        <v>936</v>
      </c>
      <c r="B58" s="69" t="str">
        <f>IF(MUKEN,Uebersetzung!D298,Uebersetzung!D360)</f>
        <v>Valore limite fabbisogno finale d'energia senza PV</v>
      </c>
      <c r="C58" s="26"/>
      <c r="D58" s="26"/>
      <c r="E58" s="14"/>
      <c r="F58" s="830" t="str">
        <f>IF(AND(G54=0,H54=0),"",IF(OR(G54&lt;0.995,AND(H54&lt;0.995,qw&gt;0)),Uebersetzung!D305,IF(BadMisch,Uebersetzung!D306,IF(AND(G54=0,H54=0),"",IF(OR(G54&lt;0.995,AND(H54&lt;0.995,qw&gt;0)),Uebersetzung!D305,"")))))</f>
        <v/>
      </c>
      <c r="G58" s="1080">
        <f>L43</f>
        <v>0</v>
      </c>
      <c r="H58" s="8" t="s">
        <v>585</v>
      </c>
      <c r="I58" s="1080">
        <f>IF(nurBadnutzung,"",IF(AND(qh&gt;0,Zonen_vollständig*qh_vollständig=1),IF(OR(WWBonus,WWMIN1,WWMIN2,WWMIN3,WWMIN4),IF(OR(DeckungsgradHeizung&lt;99.5,DeckungsgradHeizung&gt;101,DeckungsgradWW&gt;101),,I54+J54),IF(OR(DeckungsgradHeizung&lt;99.5,DeckungsgradHeizung&gt;101,DeckungsgradWW&gt;101),,I54+J54)),0))</f>
        <v>0</v>
      </c>
      <c r="J58" s="831" t="s">
        <v>585</v>
      </c>
      <c r="K58" s="26"/>
      <c r="L58" s="819" t="str">
        <f>IF(nurBadnutzung,"",IF(AND(MINERGIE_Wert=0,G58=0),"",IF(MINERGIE_Wert=0,Uebersetzung!D26,IF(ROUND(I58,1)&lt;=ROUND(G58,1),IF(OR(G54&lt;0.995,AND(H54&lt;0.995,qw&gt;0)),Uebersetzung!D26,Uebersetzung!D25),Uebersetzung!D26))))</f>
        <v/>
      </c>
      <c r="M58" s="1715"/>
      <c r="N58" s="1027">
        <f>IF(L58=Standardwerte!AA47,1,2)</f>
        <v>2</v>
      </c>
    </row>
    <row r="59" spans="1:36" ht="20.100000000000001" customHeight="1">
      <c r="A59" s="1720" t="s">
        <v>937</v>
      </c>
      <c r="B59" s="2114" t="str">
        <f>Uebersetzung!D478</f>
        <v>IM -  Indice Minergie</v>
      </c>
      <c r="C59" s="2115"/>
      <c r="D59" s="2115"/>
      <c r="E59" s="2115"/>
      <c r="F59" s="2116"/>
      <c r="G59" s="1387">
        <f>MINERGIE!Z40</f>
        <v>0</v>
      </c>
      <c r="H59" s="1203" t="s">
        <v>585</v>
      </c>
      <c r="I59" s="1387">
        <f>MINERGIE!S75</f>
        <v>0</v>
      </c>
      <c r="J59" s="1203" t="s">
        <v>585</v>
      </c>
      <c r="K59" s="1083"/>
      <c r="L59" s="819" t="str">
        <f>IF(AND(G59&lt;&gt;0,I59&lt;&gt;0),IF(ROUND(I59,1)&lt;=ROUND(G59,1),Uebersetzung!D25,Uebersetzung!D26),"")</f>
        <v/>
      </c>
      <c r="M59" s="1715"/>
      <c r="N59" s="1000" t="b">
        <f>IF(L60=O2,TRUE,FALSE)</f>
        <v>0</v>
      </c>
    </row>
    <row r="60" spans="1:36" ht="20.100000000000001" customHeight="1">
      <c r="A60" s="1720" t="s">
        <v>3085</v>
      </c>
      <c r="B60" s="1690" t="str">
        <f>Uebersetzung!D307</f>
        <v>ACS prodotta con almeno 20% di energie rinnovabili (per ristoranti/impianti sportivi/piscine)</v>
      </c>
      <c r="C60" s="14"/>
      <c r="D60" s="14"/>
      <c r="E60" s="14"/>
      <c r="F60" s="14"/>
      <c r="G60" s="14"/>
      <c r="H60" s="14"/>
      <c r="I60" s="14"/>
      <c r="J60" s="14"/>
      <c r="K60" s="14"/>
      <c r="L60" s="1081" t="s">
        <v>120</v>
      </c>
      <c r="N60" s="1027">
        <f>IF(N59,1,2)</f>
        <v>2</v>
      </c>
    </row>
    <row r="61" spans="1:36" ht="20.100000000000001" customHeight="1">
      <c r="B61" s="709" t="str">
        <f>Uebersetzung!D301</f>
        <v>Allegati (presentare tutti gli allegati della colonna a sinistra)</v>
      </c>
      <c r="C61" s="724"/>
      <c r="D61" s="724"/>
      <c r="E61" s="710"/>
      <c r="F61" s="1028"/>
      <c r="G61" s="796"/>
      <c r="H61" s="725" t="s">
        <v>778</v>
      </c>
      <c r="I61" s="712" t="str">
        <f>Uebersetzung!D302</f>
        <v>Crociare gli allegati da presentare</v>
      </c>
      <c r="J61" s="1079"/>
      <c r="K61" s="711"/>
      <c r="L61" s="949"/>
    </row>
    <row r="62" spans="1:36" ht="9.9" hidden="1" customHeight="1">
      <c r="A62" s="1711"/>
      <c r="B62" s="2110"/>
      <c r="C62" s="2111"/>
      <c r="D62" s="2111"/>
      <c r="E62" s="2111"/>
      <c r="F62" s="2111"/>
      <c r="G62" s="2111"/>
      <c r="H62" s="156"/>
      <c r="I62" s="156"/>
      <c r="J62" s="156"/>
      <c r="K62" s="156"/>
      <c r="L62" s="639"/>
      <c r="M62" s="1714"/>
    </row>
    <row r="63" spans="1:36" ht="18.899999999999999" customHeight="1">
      <c r="A63" s="1711" t="s">
        <v>3086</v>
      </c>
      <c r="B63" s="962" t="s">
        <v>778</v>
      </c>
      <c r="C63" s="2156" t="str">
        <f>Uebersetzung!D303</f>
        <v>Schema riscaldamento e ventilazione</v>
      </c>
      <c r="D63" s="2156"/>
      <c r="E63" s="2156"/>
      <c r="F63" s="2156"/>
      <c r="G63" s="962"/>
      <c r="H63" s="2112"/>
      <c r="I63" s="2112"/>
      <c r="J63" s="2112"/>
      <c r="K63" s="2112"/>
      <c r="L63" s="2113"/>
      <c r="M63" s="1714"/>
    </row>
    <row r="64" spans="1:36" ht="18.899999999999999" customHeight="1">
      <c r="A64" s="1711" t="s">
        <v>3087</v>
      </c>
      <c r="B64" s="963" t="s">
        <v>778</v>
      </c>
      <c r="C64" s="1958" t="str">
        <f>Uebersetzung!D304</f>
        <v>Calcoli e schede tecniche</v>
      </c>
      <c r="D64" s="1958"/>
      <c r="E64" s="1958"/>
      <c r="F64" s="1958"/>
      <c r="G64" s="963"/>
      <c r="H64" s="2157"/>
      <c r="I64" s="2157"/>
      <c r="J64" s="2157"/>
      <c r="K64" s="2157"/>
      <c r="L64" s="2158"/>
      <c r="M64" s="1714"/>
    </row>
    <row r="65" spans="1:13" ht="18.899999999999999" hidden="1" customHeight="1">
      <c r="A65" s="1711" t="s">
        <v>427</v>
      </c>
      <c r="B65" s="678" t="s">
        <v>772</v>
      </c>
      <c r="C65" s="705"/>
      <c r="D65" s="705"/>
      <c r="E65" s="103"/>
      <c r="F65" s="103"/>
      <c r="G65" s="679"/>
      <c r="H65" s="133"/>
      <c r="I65" s="8" t="s">
        <v>777</v>
      </c>
      <c r="J65" s="8"/>
      <c r="K65" s="8"/>
      <c r="L65" s="677"/>
      <c r="M65" s="1714"/>
    </row>
    <row r="66" spans="1:13" ht="18.899999999999999" hidden="1" customHeight="1">
      <c r="A66" s="1711" t="s">
        <v>428</v>
      </c>
      <c r="B66" s="2161" t="s">
        <v>775</v>
      </c>
      <c r="C66" s="2162"/>
      <c r="D66" s="2162"/>
      <c r="E66" s="2162"/>
      <c r="F66" s="2162"/>
      <c r="G66" s="2163"/>
      <c r="H66" s="133"/>
      <c r="I66" s="8" t="s">
        <v>761</v>
      </c>
      <c r="J66" s="8"/>
      <c r="K66" s="8"/>
      <c r="L66" s="677"/>
      <c r="M66" s="1714"/>
    </row>
    <row r="67" spans="1:13" ht="18.899999999999999" hidden="1" customHeight="1">
      <c r="A67" s="1711" t="s">
        <v>429</v>
      </c>
      <c r="B67" s="2140"/>
      <c r="C67" s="2141"/>
      <c r="D67" s="2141"/>
      <c r="E67" s="2141"/>
      <c r="F67" s="2141"/>
      <c r="G67" s="2142"/>
      <c r="H67" s="133"/>
      <c r="I67" s="8"/>
      <c r="J67" s="8"/>
      <c r="K67" s="8"/>
      <c r="L67" s="677"/>
      <c r="M67" s="1714"/>
    </row>
    <row r="68" spans="1:13" ht="20.100000000000001" hidden="1" customHeight="1">
      <c r="A68" s="1711" t="s">
        <v>430</v>
      </c>
      <c r="B68" s="2140" t="s">
        <v>762</v>
      </c>
      <c r="C68" s="2141"/>
      <c r="D68" s="2141"/>
      <c r="E68" s="2141"/>
      <c r="F68" s="2141"/>
      <c r="G68" s="2142"/>
      <c r="H68" s="155"/>
      <c r="I68" s="2159"/>
      <c r="J68" s="2159"/>
      <c r="K68" s="2159"/>
      <c r="L68" s="2160"/>
      <c r="M68" s="1714"/>
    </row>
    <row r="69" spans="1:13" ht="15.9" hidden="1" customHeight="1">
      <c r="A69" s="1711"/>
      <c r="B69" s="664"/>
      <c r="C69" s="664"/>
      <c r="D69" s="664"/>
      <c r="E69" s="664"/>
      <c r="F69" s="664"/>
      <c r="G69" s="664"/>
      <c r="H69" s="664"/>
      <c r="I69" s="664"/>
      <c r="J69" s="664"/>
      <c r="K69" s="664"/>
      <c r="L69" s="664"/>
      <c r="M69" s="1714"/>
    </row>
    <row r="70" spans="1:13" ht="6" hidden="1" customHeight="1">
      <c r="A70" s="1711"/>
      <c r="E70" s="641"/>
      <c r="F70" s="641"/>
      <c r="G70" s="641"/>
      <c r="H70" s="103"/>
      <c r="I70" s="641"/>
      <c r="J70" s="641"/>
      <c r="K70" s="641"/>
      <c r="L70" s="641"/>
      <c r="M70" s="1714"/>
    </row>
    <row r="71" spans="1:13" ht="12.9" hidden="1" customHeight="1">
      <c r="A71" s="1711"/>
      <c r="B71" s="640" t="s">
        <v>763</v>
      </c>
      <c r="C71" s="640"/>
      <c r="D71" s="642" t="s">
        <v>764</v>
      </c>
      <c r="E71" s="641"/>
      <c r="F71" s="641"/>
      <c r="G71" s="641"/>
      <c r="H71" s="642" t="s">
        <v>765</v>
      </c>
      <c r="J71" s="643"/>
      <c r="K71" s="641"/>
      <c r="L71" s="641"/>
      <c r="M71" s="1714"/>
    </row>
    <row r="72" spans="1:13" ht="12.9" hidden="1" customHeight="1">
      <c r="A72" s="1711"/>
      <c r="B72" s="641"/>
      <c r="C72" s="641"/>
      <c r="D72" s="644"/>
      <c r="E72" s="641"/>
      <c r="F72" s="641"/>
      <c r="G72" s="641"/>
      <c r="H72" s="297" t="s">
        <v>766</v>
      </c>
      <c r="J72" s="643"/>
      <c r="K72" s="641"/>
      <c r="L72" s="641"/>
      <c r="M72" s="1714"/>
    </row>
    <row r="73" spans="1:13" ht="8.1" hidden="1" customHeight="1">
      <c r="A73" s="1711"/>
      <c r="B73" s="641"/>
      <c r="C73" s="641"/>
      <c r="D73" s="644"/>
      <c r="E73" s="641"/>
      <c r="F73" s="641"/>
      <c r="G73" s="641"/>
      <c r="H73" s="644"/>
      <c r="J73" s="643"/>
      <c r="K73" s="641"/>
      <c r="L73" s="641"/>
      <c r="M73" s="1714"/>
    </row>
    <row r="74" spans="1:13" ht="12.75" hidden="1" customHeight="1">
      <c r="A74" s="1711"/>
      <c r="B74" s="645" t="s">
        <v>767</v>
      </c>
      <c r="C74" s="645"/>
      <c r="D74" s="2152"/>
      <c r="E74" s="2153"/>
      <c r="F74" s="2153"/>
      <c r="G74" s="2154"/>
      <c r="H74" s="2152"/>
      <c r="I74" s="2153"/>
      <c r="J74" s="2153"/>
      <c r="K74" s="2153"/>
      <c r="L74" s="2153"/>
      <c r="M74" s="1714"/>
    </row>
    <row r="75" spans="1:13" ht="12.75" hidden="1" customHeight="1">
      <c r="A75" s="1711"/>
      <c r="B75" s="645" t="s">
        <v>768</v>
      </c>
      <c r="C75" s="645"/>
      <c r="D75" s="2152"/>
      <c r="E75" s="2153"/>
      <c r="F75" s="2153"/>
      <c r="G75" s="2154"/>
      <c r="H75" s="2152"/>
      <c r="I75" s="2153"/>
      <c r="J75" s="2153"/>
      <c r="K75" s="2153"/>
      <c r="L75" s="2153"/>
      <c r="M75" s="1714"/>
    </row>
    <row r="76" spans="1:13" ht="12.75" hidden="1" customHeight="1">
      <c r="B76" s="641"/>
      <c r="C76" s="641"/>
      <c r="D76" s="2089"/>
      <c r="E76" s="2090"/>
      <c r="F76" s="2090"/>
      <c r="G76" s="2155"/>
      <c r="H76" s="2089"/>
      <c r="I76" s="2090"/>
      <c r="J76" s="2090"/>
      <c r="K76" s="2090"/>
      <c r="L76" s="2090"/>
      <c r="M76" s="1714"/>
    </row>
    <row r="77" spans="1:13" ht="6.75" hidden="1" customHeight="1">
      <c r="B77" s="641"/>
      <c r="C77" s="641"/>
      <c r="D77" s="644"/>
      <c r="E77" s="641"/>
      <c r="F77" s="641"/>
      <c r="G77" s="641"/>
      <c r="H77" s="644"/>
      <c r="I77" s="727"/>
      <c r="J77" s="643"/>
      <c r="K77" s="641"/>
      <c r="L77" s="641"/>
      <c r="M77" s="1714"/>
    </row>
    <row r="78" spans="1:13" ht="15.75" hidden="1" customHeight="1">
      <c r="A78" s="1711"/>
      <c r="B78" s="645" t="s">
        <v>769</v>
      </c>
      <c r="C78" s="645"/>
      <c r="D78" s="2089"/>
      <c r="E78" s="2090"/>
      <c r="F78" s="2090"/>
      <c r="G78" s="2155"/>
      <c r="H78" s="2089"/>
      <c r="I78" s="2090"/>
      <c r="J78" s="2090"/>
      <c r="K78" s="2090"/>
      <c r="L78" s="2090"/>
      <c r="M78" s="1714"/>
    </row>
    <row r="79" spans="1:13" ht="18" hidden="1" customHeight="1">
      <c r="A79" s="1711"/>
      <c r="B79" s="645" t="s">
        <v>770</v>
      </c>
      <c r="C79" s="645"/>
      <c r="D79" s="2146"/>
      <c r="E79" s="2147"/>
      <c r="F79" s="2147"/>
      <c r="G79" s="2148"/>
      <c r="H79" s="2146"/>
      <c r="I79" s="2147"/>
      <c r="J79" s="2147"/>
      <c r="K79" s="2147"/>
      <c r="L79" s="2147"/>
      <c r="M79" s="1714"/>
    </row>
    <row r="80" spans="1:13" ht="0.9" hidden="1" customHeight="1">
      <c r="A80" s="1711"/>
      <c r="B80" s="641"/>
      <c r="C80" s="641"/>
      <c r="D80" s="2149"/>
      <c r="E80" s="2150"/>
      <c r="F80" s="2150"/>
      <c r="G80" s="2151"/>
      <c r="H80" s="2149"/>
      <c r="I80" s="2150"/>
      <c r="J80" s="2150"/>
      <c r="K80" s="2150"/>
      <c r="L80" s="2150"/>
      <c r="M80" s="1714"/>
    </row>
    <row r="81" spans="1:13" ht="3.75" hidden="1" customHeight="1">
      <c r="A81" s="1711"/>
      <c r="B81" s="641"/>
      <c r="C81" s="641"/>
      <c r="D81" s="641"/>
      <c r="E81" s="641"/>
      <c r="F81" s="641"/>
      <c r="G81" s="728"/>
      <c r="H81" s="728"/>
      <c r="I81" s="728"/>
      <c r="J81" s="641"/>
      <c r="K81" s="641"/>
      <c r="L81" s="641"/>
      <c r="M81" s="1714"/>
    </row>
    <row r="82" spans="1:13" ht="18" hidden="1" customHeight="1">
      <c r="A82" s="1711"/>
      <c r="B82" s="645" t="s">
        <v>771</v>
      </c>
      <c r="C82" s="641"/>
      <c r="D82" s="718" t="s">
        <v>780</v>
      </c>
      <c r="E82" s="726" t="s">
        <v>778</v>
      </c>
      <c r="F82" s="641"/>
      <c r="G82" s="707" t="s">
        <v>781</v>
      </c>
      <c r="H82" s="1891"/>
      <c r="I82" s="1891"/>
      <c r="J82" s="1891"/>
      <c r="K82" s="1891"/>
      <c r="L82" s="1891"/>
      <c r="M82" s="1714"/>
    </row>
    <row r="83" spans="1:13" ht="3" hidden="1" customHeight="1">
      <c r="A83" s="1711"/>
      <c r="B83" s="646"/>
      <c r="C83" s="646"/>
      <c r="D83" s="646"/>
      <c r="E83" s="646"/>
      <c r="F83" s="646"/>
      <c r="G83" s="646"/>
      <c r="H83" s="646"/>
      <c r="I83" s="646"/>
      <c r="J83" s="646"/>
      <c r="K83" s="646"/>
      <c r="L83" s="646"/>
    </row>
    <row r="84" spans="1:13" ht="9.9" customHeight="1">
      <c r="B84" s="2139">
        <f ca="1">NOW()</f>
        <v>43132.781938657405</v>
      </c>
      <c r="C84" s="2139"/>
      <c r="D84" s="2139"/>
      <c r="L84" s="824" t="str">
        <f>Dati!C8&amp;" / "&amp;Dati!C7&amp;" / "&amp;Dati!H7&amp;" / "&amp;Dati!J7&amp;" / "&amp;Dati!J8&amp;" / "&amp;Dati!G55&amp;" / "&amp;Dati!G57</f>
        <v xml:space="preserve"> /  /  /  /  /  / </v>
      </c>
    </row>
    <row r="86" spans="1:13" ht="12" hidden="1">
      <c r="B86" s="796" t="s">
        <v>1869</v>
      </c>
      <c r="C86" s="128"/>
      <c r="D86" s="128"/>
      <c r="E86" s="128"/>
      <c r="F86" s="1227" t="s">
        <v>525</v>
      </c>
      <c r="G86" s="1228">
        <f>IF(MUKEN,IF(G43=0,0,INDEX(Standardwerte!$L$9:$L$21,Kategorie1,1)/3.6),IF(_EBF1&gt;0,IF(WWMIN1,IF(WWBonus1,0,Standardwerte!J104),0),))</f>
        <v>0</v>
      </c>
      <c r="H86" s="1228">
        <f>IF(MUKEN,IF(H43=0,0,INDEX(Standardwerte!$L$9:$L$21,Kategorie2,1)/3.6),IF(_EBF2&gt;0,IF(WWMIN2,IF(WWBonus2,0,Standardwerte!K104),0),))</f>
        <v>0</v>
      </c>
      <c r="I86" s="1228">
        <f>IF(MUKEN,IF(I43=0,0,INDEX(Standardwerte!$L$9:$L$21,Kategorie3,1)/3.6),IF(_EBF3&gt;0,IF(WWMIN3,IF(WWBonus3,0,Standardwerte!L104),0),))</f>
        <v>0</v>
      </c>
      <c r="J86" s="1228">
        <f>IF(MUKEN,IF(J43=0,0,INDEX(Standardwerte!$L$9:$L$21,Kategorie4,1)/3.6),IF(_EBF4&gt;0,IF(WWMIN4,IF(WWBonus4,0,Standardwerte!M104),0),))</f>
        <v>0</v>
      </c>
      <c r="K86" s="128"/>
      <c r="L86" s="1229">
        <f>IF(ISERROR(Qe),"",IF(MUKEN,IF(EBF_MUKEN&gt;0,(G86*_EBF1+H86*_EBF2+I86*_EBF3+J86*_EBF4)/EBF_MUKEN,0),Qe))</f>
        <v>0</v>
      </c>
    </row>
    <row r="87" spans="1:13" ht="12" hidden="1">
      <c r="B87" s="2114" t="s">
        <v>1724</v>
      </c>
      <c r="C87" s="2115"/>
      <c r="D87" s="2115"/>
      <c r="E87" s="2115"/>
      <c r="F87" s="2116"/>
      <c r="G87" s="1082">
        <f>L44</f>
        <v>0</v>
      </c>
      <c r="H87" s="1097" t="s">
        <v>585</v>
      </c>
      <c r="I87" s="1082">
        <f>IF(nurBadnutzung,"",IF(AND(qh&gt;0,Zonen_vollständig*qh_vollständig=1),IF(OR(WWBonus,WWMIN1,WWMIN2,WWMIN3,WWMIN4),IF(OR(DeckungsgradHeizung&lt;99.5,DeckungsgradHeizung&gt;101,DeckungsgradWW&gt;101),,I54+J54),IF(OR(DeckungsgradHeizung&lt;99.5,DeckungsgradHeizung&gt;101,DeckungsgradWW&gt;101),,I54+J54)),0))</f>
        <v>0</v>
      </c>
      <c r="J87" s="1097" t="s">
        <v>585</v>
      </c>
      <c r="K87" s="1083"/>
      <c r="L87" s="819" t="str">
        <f>IF(AND(G87&gt;0,I87&gt;0),IF(I87&lt;=G87,Uebersetzung!D25,Uebersetzung!D26),"")</f>
        <v/>
      </c>
    </row>
  </sheetData>
  <sheetProtection password="C616" sheet="1" objects="1" scenarios="1"/>
  <mergeCells count="67">
    <mergeCell ref="B84:D84"/>
    <mergeCell ref="B67:G67"/>
    <mergeCell ref="G55:H55"/>
    <mergeCell ref="G45:H45"/>
    <mergeCell ref="D79:G80"/>
    <mergeCell ref="D74:G76"/>
    <mergeCell ref="C63:F63"/>
    <mergeCell ref="H64:L64"/>
    <mergeCell ref="H82:L82"/>
    <mergeCell ref="H74:L76"/>
    <mergeCell ref="H79:L80"/>
    <mergeCell ref="D78:G78"/>
    <mergeCell ref="B68:G68"/>
    <mergeCell ref="I68:L68"/>
    <mergeCell ref="B66:G66"/>
    <mergeCell ref="I56:J56"/>
    <mergeCell ref="X12:Y12"/>
    <mergeCell ref="X20:Y20"/>
    <mergeCell ref="X16:Y16"/>
    <mergeCell ref="J18:J19"/>
    <mergeCell ref="J22:J23"/>
    <mergeCell ref="J14:J15"/>
    <mergeCell ref="L22:L23"/>
    <mergeCell ref="L14:L15"/>
    <mergeCell ref="L18:L19"/>
    <mergeCell ref="B10:E10"/>
    <mergeCell ref="X4:AA4"/>
    <mergeCell ref="S6:T6"/>
    <mergeCell ref="X6:Y6"/>
    <mergeCell ref="X8:Y8"/>
    <mergeCell ref="H63:L63"/>
    <mergeCell ref="B87:F87"/>
    <mergeCell ref="B59:F59"/>
    <mergeCell ref="H2:L2"/>
    <mergeCell ref="F3:G3"/>
    <mergeCell ref="H3:L3"/>
    <mergeCell ref="H4:L4"/>
    <mergeCell ref="J10:J11"/>
    <mergeCell ref="B8:G8"/>
    <mergeCell ref="B11:E11"/>
    <mergeCell ref="J6:L6"/>
    <mergeCell ref="H6:I6"/>
    <mergeCell ref="L10:L11"/>
    <mergeCell ref="B7:G7"/>
    <mergeCell ref="H9:H11"/>
    <mergeCell ref="B9:E9"/>
    <mergeCell ref="B13:E13"/>
    <mergeCell ref="B16:G16"/>
    <mergeCell ref="B20:G20"/>
    <mergeCell ref="H17:H19"/>
    <mergeCell ref="B14:E14"/>
    <mergeCell ref="AG2:AH2"/>
    <mergeCell ref="H78:L78"/>
    <mergeCell ref="B12:G12"/>
    <mergeCell ref="B24:G24"/>
    <mergeCell ref="I28:L28"/>
    <mergeCell ref="B21:E21"/>
    <mergeCell ref="B22:E22"/>
    <mergeCell ref="B18:E18"/>
    <mergeCell ref="B17:E17"/>
    <mergeCell ref="F45:F46"/>
    <mergeCell ref="I45:J45"/>
    <mergeCell ref="H21:H23"/>
    <mergeCell ref="G56:H56"/>
    <mergeCell ref="B62:G62"/>
    <mergeCell ref="C64:F64"/>
    <mergeCell ref="H13:H15"/>
  </mergeCells>
  <phoneticPr fontId="6" type="noConversion"/>
  <conditionalFormatting sqref="J27">
    <cfRule type="expression" dxfId="74" priority="53">
      <formula>AND(EBF_MUKEN&gt;0,OR($J$27&lt;99.8,$J$27&gt;100.2))</formula>
    </cfRule>
    <cfRule type="expression" dxfId="73" priority="54">
      <formula>AND($J$27&gt;=99.8,$J$27&lt;=100.2)</formula>
    </cfRule>
  </conditionalFormatting>
  <conditionalFormatting sqref="J8">
    <cfRule type="expression" dxfId="72" priority="52">
      <formula>$S$8=1</formula>
    </cfRule>
  </conditionalFormatting>
  <conditionalFormatting sqref="L8">
    <cfRule type="expression" dxfId="71" priority="30">
      <formula>qw=0</formula>
    </cfRule>
    <cfRule type="expression" dxfId="70" priority="51">
      <formula>AND($T$8=1,qw&gt;0)</formula>
    </cfRule>
  </conditionalFormatting>
  <conditionalFormatting sqref="J12">
    <cfRule type="expression" dxfId="69" priority="50">
      <formula>$S$12=1</formula>
    </cfRule>
  </conditionalFormatting>
  <conditionalFormatting sqref="L12">
    <cfRule type="expression" dxfId="68" priority="27">
      <formula>qw=0</formula>
    </cfRule>
    <cfRule type="expression" dxfId="67" priority="49">
      <formula>AND($T$12=1,qw&gt;0)</formula>
    </cfRule>
  </conditionalFormatting>
  <conditionalFormatting sqref="J16">
    <cfRule type="expression" dxfId="66" priority="48">
      <formula>$S$16=1</formula>
    </cfRule>
  </conditionalFormatting>
  <conditionalFormatting sqref="L16">
    <cfRule type="expression" dxfId="65" priority="25">
      <formula>qw=0</formula>
    </cfRule>
    <cfRule type="expression" dxfId="64" priority="47">
      <formula>AND($T$16=1,qw&gt;0)</formula>
    </cfRule>
  </conditionalFormatting>
  <conditionalFormatting sqref="J20">
    <cfRule type="expression" dxfId="63" priority="46">
      <formula>$S$20=1</formula>
    </cfRule>
  </conditionalFormatting>
  <conditionalFormatting sqref="L20">
    <cfRule type="expression" dxfId="62" priority="23">
      <formula>qw=0</formula>
    </cfRule>
    <cfRule type="expression" dxfId="61" priority="45">
      <formula>AND($T$20=1,qw&gt;0)</formula>
    </cfRule>
  </conditionalFormatting>
  <conditionalFormatting sqref="L27">
    <cfRule type="expression" dxfId="60" priority="20">
      <formula>qw=0</formula>
    </cfRule>
    <cfRule type="expression" dxfId="59" priority="43">
      <formula>OR($L$27&lt;99.8,$L$27&gt;100.2)</formula>
    </cfRule>
    <cfRule type="expression" dxfId="58" priority="44">
      <formula>AND($L$27&gt;=99.8,$L$27&lt;=100.2)</formula>
    </cfRule>
  </conditionalFormatting>
  <conditionalFormatting sqref="G14">
    <cfRule type="expression" dxfId="57" priority="264">
      <formula>B14&lt;&gt;""</formula>
    </cfRule>
  </conditionalFormatting>
  <conditionalFormatting sqref="G10">
    <cfRule type="expression" dxfId="56" priority="266">
      <formula>B10&lt;&gt;""</formula>
    </cfRule>
  </conditionalFormatting>
  <conditionalFormatting sqref="G18">
    <cfRule type="expression" dxfId="55" priority="268">
      <formula>B18&lt;&gt;""</formula>
    </cfRule>
  </conditionalFormatting>
  <conditionalFormatting sqref="G22">
    <cfRule type="expression" dxfId="54" priority="269">
      <formula>B22&lt;&gt;""</formula>
    </cfRule>
  </conditionalFormatting>
  <conditionalFormatting sqref="L58">
    <cfRule type="cellIs" dxfId="53" priority="33" stopIfTrue="1" operator="equal">
      <formula>$O$2</formula>
    </cfRule>
    <cfRule type="cellIs" dxfId="52" priority="34" stopIfTrue="1" operator="equal">
      <formula>$O$3</formula>
    </cfRule>
  </conditionalFormatting>
  <conditionalFormatting sqref="B60:L60">
    <cfRule type="expression" dxfId="51" priority="5">
      <formula>MUKEN=FALSE</formula>
    </cfRule>
    <cfRule type="expression" dxfId="50" priority="31">
      <formula>ww_erneuerbar=FALSE</formula>
    </cfRule>
  </conditionalFormatting>
  <conditionalFormatting sqref="L60">
    <cfRule type="expression" dxfId="49" priority="32">
      <formula>OR($L$60="",$N$59=FALSE)</formula>
    </cfRule>
  </conditionalFormatting>
  <conditionalFormatting sqref="L9">
    <cfRule type="expression" dxfId="48" priority="29">
      <formula>qw=0</formula>
    </cfRule>
  </conditionalFormatting>
  <conditionalFormatting sqref="L10:L11">
    <cfRule type="expression" dxfId="47" priority="28">
      <formula>qw=0</formula>
    </cfRule>
  </conditionalFormatting>
  <conditionalFormatting sqref="L13:L15">
    <cfRule type="expression" dxfId="46" priority="26">
      <formula>qw=0</formula>
    </cfRule>
  </conditionalFormatting>
  <conditionalFormatting sqref="L17:L19">
    <cfRule type="expression" dxfId="45" priority="24">
      <formula>qw=0</formula>
    </cfRule>
  </conditionalFormatting>
  <conditionalFormatting sqref="L21:L23">
    <cfRule type="expression" dxfId="44" priority="22">
      <formula>qw=0</formula>
    </cfRule>
  </conditionalFormatting>
  <conditionalFormatting sqref="L24">
    <cfRule type="expression" dxfId="43" priority="21">
      <formula>qw=0</formula>
    </cfRule>
  </conditionalFormatting>
  <conditionalFormatting sqref="B35">
    <cfRule type="expression" dxfId="42" priority="19">
      <formula>qw=0</formula>
    </cfRule>
  </conditionalFormatting>
  <conditionalFormatting sqref="F35">
    <cfRule type="expression" dxfId="41" priority="18">
      <formula>qw=0</formula>
    </cfRule>
  </conditionalFormatting>
  <conditionalFormatting sqref="L87">
    <cfRule type="expression" dxfId="40" priority="14">
      <formula>MUKEN=TRUE</formula>
    </cfRule>
    <cfRule type="cellIs" dxfId="39" priority="16" stopIfTrue="1" operator="equal">
      <formula>$O$2</formula>
    </cfRule>
    <cfRule type="cellIs" dxfId="38" priority="17" stopIfTrue="1" operator="equal">
      <formula>$O$3</formula>
    </cfRule>
  </conditionalFormatting>
  <conditionalFormatting sqref="B87:J87">
    <cfRule type="expression" dxfId="37" priority="15">
      <formula>MUKEN=TRUE</formula>
    </cfRule>
  </conditionalFormatting>
  <conditionalFormatting sqref="B44:L44">
    <cfRule type="expression" dxfId="36" priority="13">
      <formula>MUKEN=TRUE</formula>
    </cfRule>
  </conditionalFormatting>
  <conditionalFormatting sqref="F86">
    <cfRule type="expression" dxfId="35" priority="12">
      <formula>qw=0</formula>
    </cfRule>
  </conditionalFormatting>
  <conditionalFormatting sqref="L59">
    <cfRule type="expression" dxfId="34" priority="8">
      <formula>MUKEN=TRUE</formula>
    </cfRule>
    <cfRule type="cellIs" dxfId="33" priority="10" stopIfTrue="1" operator="equal">
      <formula>$O$2</formula>
    </cfRule>
    <cfRule type="cellIs" dxfId="32" priority="11" stopIfTrue="1" operator="equal">
      <formula>$O$3</formula>
    </cfRule>
  </conditionalFormatting>
  <conditionalFormatting sqref="B59:L59">
    <cfRule type="expression" dxfId="31" priority="9">
      <formula>MUKEN=TRUE</formula>
    </cfRule>
  </conditionalFormatting>
  <conditionalFormatting sqref="B61:L64">
    <cfRule type="expression" dxfId="30" priority="7">
      <formula>MUKEN=FALSE</formula>
    </cfRule>
  </conditionalFormatting>
  <conditionalFormatting sqref="B61:L61">
    <cfRule type="expression" dxfId="29" priority="6">
      <formula>MUKEN=TRUE</formula>
    </cfRule>
  </conditionalFormatting>
  <conditionalFormatting sqref="G9 G13 G17 G21">
    <cfRule type="expression" dxfId="28" priority="545">
      <formula>AND(B9&lt;&gt;"",M9&lt;2)</formula>
    </cfRule>
  </conditionalFormatting>
  <conditionalFormatting sqref="A63:A64">
    <cfRule type="expression" dxfId="27" priority="4">
      <formula>MUKEN=FALSE</formula>
    </cfRule>
  </conditionalFormatting>
  <conditionalFormatting sqref="A59">
    <cfRule type="expression" dxfId="26" priority="3">
      <formula>MUKEN=TRUE</formula>
    </cfRule>
  </conditionalFormatting>
  <conditionalFormatting sqref="A60">
    <cfRule type="expression" dxfId="25" priority="2">
      <formula>ww_erneuerbar=FALSE</formula>
    </cfRule>
  </conditionalFormatting>
  <conditionalFormatting sqref="A44">
    <cfRule type="expression" dxfId="24" priority="1">
      <formula>MUKEN=TRUE</formula>
    </cfRule>
  </conditionalFormatting>
  <dataValidations count="3">
    <dataValidation type="list" allowBlank="1" showInputMessage="1" showErrorMessage="1" sqref="B63:B64 E82 G63:G64">
      <formula1>$N$2:$N$3</formula1>
    </dataValidation>
    <dataValidation type="list" allowBlank="1" showInputMessage="1" showErrorMessage="1" sqref="L60">
      <formula1>$O$1:$O$3</formula1>
    </dataValidation>
    <dataValidation type="list" allowBlank="1" showInputMessage="1" showErrorMessage="1" sqref="B20:G20 B8:G8 B12:G12 B16:G16">
      <formula1>Erzeugung</formula1>
    </dataValidation>
  </dataValidations>
  <pageMargins left="0.47244094488188981" right="0.39370078740157483" top="0.59055118110236227" bottom="0.35433070866141736" header="0.39370078740157483" footer="0.27559055118110237"/>
  <pageSetup paperSize="9" scale="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X67"/>
  <sheetViews>
    <sheetView showZeros="0" zoomScaleNormal="100" workbookViewId="0"/>
  </sheetViews>
  <sheetFormatPr baseColWidth="10" defaultColWidth="11.44140625" defaultRowHeight="13.2"/>
  <cols>
    <col min="1" max="1" width="3.44140625" style="1722" customWidth="1"/>
    <col min="2" max="2" width="20.6640625" style="1359" customWidth="1"/>
    <col min="3" max="3" width="10.6640625" style="1359" customWidth="1"/>
    <col min="4" max="4" width="8.6640625" style="1359" customWidth="1"/>
    <col min="5" max="5" width="6.6640625" style="1359" customWidth="1"/>
    <col min="6" max="9" width="11.6640625" style="1359" customWidth="1"/>
    <col min="10" max="10" width="0.6640625" style="1359" customWidth="1"/>
    <col min="11" max="11" width="10.6640625" style="1359" customWidth="1"/>
    <col min="12" max="12" width="11.44140625" style="1431"/>
    <col min="13" max="13" width="23.44140625" style="1656" customWidth="1"/>
    <col min="14" max="14" width="6.33203125" style="1656" customWidth="1"/>
    <col min="15" max="15" width="8" style="1656" customWidth="1"/>
    <col min="16" max="16" width="17.88671875" style="1656" customWidth="1"/>
    <col min="17" max="20" width="11.44140625" style="1656"/>
    <col min="21" max="22" width="11.44140625" style="1431"/>
    <col min="23" max="23" width="11.44140625" style="1685"/>
    <col min="24" max="16384" width="11.44140625" style="1359"/>
  </cols>
  <sheetData>
    <row r="1" spans="1:24" s="5" customFormat="1" ht="9.9" customHeight="1">
      <c r="A1" s="1696"/>
      <c r="B1" s="1476" t="str">
        <f>MOP!A3</f>
        <v>2018.2</v>
      </c>
      <c r="C1" s="3"/>
      <c r="D1" s="3"/>
      <c r="E1" s="367"/>
      <c r="F1" s="3"/>
      <c r="G1" s="3"/>
      <c r="H1" s="3"/>
      <c r="I1" s="169"/>
      <c r="J1" s="3"/>
      <c r="K1" s="1479" t="str">
        <f>Uebersetzung!D5</f>
        <v>Formulario EN101b, v2.02, da utilizzare fino al 31.12.2018</v>
      </c>
      <c r="L1" s="852"/>
      <c r="M1" s="1650"/>
      <c r="N1" s="1432"/>
      <c r="O1" s="1432"/>
      <c r="P1" s="1432"/>
      <c r="Q1" s="1432"/>
      <c r="R1" s="1432"/>
      <c r="S1" s="1432"/>
      <c r="T1" s="1432"/>
      <c r="U1" s="853"/>
      <c r="V1" s="853"/>
      <c r="W1" s="1682"/>
    </row>
    <row r="2" spans="1:24" s="5" customFormat="1" ht="17.100000000000001" customHeight="1">
      <c r="A2" s="1696"/>
      <c r="B2" s="1344"/>
      <c r="C2" s="1345"/>
      <c r="D2" s="1346"/>
      <c r="E2" s="1344"/>
      <c r="F2" s="1346"/>
      <c r="G2" s="2187" t="str">
        <f>Uebersetzung!D318</f>
        <v>Visione d'insieme</v>
      </c>
      <c r="H2" s="2188"/>
      <c r="I2" s="2188"/>
      <c r="J2" s="2188"/>
      <c r="K2" s="2189"/>
      <c r="L2" s="852"/>
      <c r="M2" s="1650"/>
      <c r="N2" s="1432"/>
      <c r="O2" s="1432"/>
      <c r="P2" s="1432"/>
      <c r="Q2" s="1432"/>
      <c r="R2" s="1432"/>
      <c r="S2" s="1432"/>
      <c r="T2" s="1432"/>
      <c r="U2" s="853"/>
      <c r="V2" s="853"/>
      <c r="W2" s="1682"/>
    </row>
    <row r="3" spans="1:24" s="5" customFormat="1" ht="17.100000000000001" customHeight="1">
      <c r="A3" s="1696"/>
      <c r="B3" s="1347"/>
      <c r="C3" s="1348"/>
      <c r="D3" s="1349"/>
      <c r="E3" s="1350"/>
      <c r="F3" s="1351"/>
      <c r="G3" s="2190" t="str">
        <f>Uebersetzung!D376</f>
        <v>Verifica Minergie</v>
      </c>
      <c r="H3" s="2191"/>
      <c r="I3" s="2191"/>
      <c r="J3" s="2191"/>
      <c r="K3" s="2192"/>
      <c r="L3" s="852"/>
      <c r="M3" s="1650"/>
      <c r="N3" s="1432"/>
      <c r="O3" s="1432"/>
      <c r="P3" s="1432"/>
      <c r="Q3" s="1432"/>
      <c r="R3" s="1432"/>
      <c r="S3" s="1432"/>
      <c r="T3" s="1432"/>
      <c r="U3" s="853"/>
      <c r="V3" s="853"/>
      <c r="W3" s="1682"/>
    </row>
    <row r="4" spans="1:24" s="5" customFormat="1" ht="9.9" customHeight="1">
      <c r="A4" s="1696"/>
      <c r="B4" s="1352"/>
      <c r="C4" s="958"/>
      <c r="D4" s="1353"/>
      <c r="E4" s="1352"/>
      <c r="F4" s="1353"/>
      <c r="G4" s="1354"/>
      <c r="H4" s="1355"/>
      <c r="I4" s="1355"/>
      <c r="J4" s="1355"/>
      <c r="K4" s="1356"/>
      <c r="L4" s="852"/>
      <c r="M4" s="1650"/>
      <c r="N4" s="1432"/>
      <c r="O4" s="1432"/>
      <c r="P4" s="1432"/>
      <c r="Q4" s="1432"/>
      <c r="R4" s="1432"/>
      <c r="S4" s="1432"/>
      <c r="T4" s="1432"/>
      <c r="U4" s="853"/>
      <c r="V4" s="853"/>
      <c r="W4" s="1682"/>
    </row>
    <row r="5" spans="1:24" s="5" customFormat="1" ht="9.9" customHeight="1">
      <c r="A5" s="1696"/>
      <c r="B5" s="3"/>
      <c r="C5" s="3"/>
      <c r="D5" s="3"/>
      <c r="E5" s="367"/>
      <c r="F5" s="3"/>
      <c r="G5" s="3"/>
      <c r="H5" s="3"/>
      <c r="I5" s="169"/>
      <c r="J5" s="3"/>
      <c r="K5" s="4"/>
      <c r="L5" s="852"/>
      <c r="M5" s="1650"/>
      <c r="N5" s="1432"/>
      <c r="O5" s="1432"/>
      <c r="P5" s="1432"/>
      <c r="Q5" s="1432"/>
      <c r="R5" s="1432"/>
      <c r="S5" s="1432"/>
      <c r="T5" s="1432"/>
      <c r="U5" s="853"/>
      <c r="V5" s="853"/>
      <c r="W5" s="1682"/>
    </row>
    <row r="6" spans="1:24" s="5" customFormat="1" ht="9.9" hidden="1" customHeight="1">
      <c r="A6" s="1696"/>
      <c r="B6" s="6"/>
      <c r="C6" s="6"/>
      <c r="D6" s="3"/>
      <c r="E6" s="3"/>
      <c r="F6" s="3"/>
      <c r="G6" s="3"/>
      <c r="H6" s="3"/>
      <c r="I6" s="3"/>
      <c r="J6" s="3"/>
      <c r="L6" s="852"/>
      <c r="M6" s="1650"/>
      <c r="N6" s="1432"/>
      <c r="O6" s="1432"/>
      <c r="P6" s="1432"/>
      <c r="Q6" s="1432"/>
      <c r="R6" s="1432"/>
      <c r="S6" s="1432"/>
      <c r="T6" s="1432"/>
      <c r="U6" s="853"/>
      <c r="V6" s="853"/>
      <c r="W6" s="1682"/>
    </row>
    <row r="7" spans="1:24" s="325" customFormat="1" ht="12" hidden="1" customHeight="1">
      <c r="A7" s="1696"/>
      <c r="B7" s="8"/>
      <c r="C7" s="8"/>
      <c r="D7" s="9"/>
      <c r="E7" s="9"/>
      <c r="F7" s="9"/>
      <c r="G7" s="9"/>
      <c r="H7" s="5"/>
      <c r="I7" s="5"/>
      <c r="J7" s="5"/>
      <c r="K7" s="5"/>
      <c r="L7" s="852"/>
      <c r="M7" s="1650"/>
      <c r="N7" s="1432"/>
      <c r="O7" s="1432"/>
      <c r="P7" s="1432"/>
      <c r="Q7" s="1432"/>
      <c r="R7" s="1432"/>
      <c r="S7" s="1432"/>
      <c r="T7" s="1432"/>
      <c r="U7" s="853"/>
      <c r="V7" s="853"/>
      <c r="W7" s="1682"/>
      <c r="X7" s="5"/>
    </row>
    <row r="8" spans="1:24" s="325" customFormat="1" ht="6" customHeight="1">
      <c r="A8" s="1696"/>
      <c r="B8" s="1329"/>
      <c r="C8" s="1063"/>
      <c r="D8" s="1330"/>
      <c r="E8" s="1330"/>
      <c r="F8" s="1330"/>
      <c r="G8" s="1330"/>
      <c r="H8" s="1091"/>
      <c r="I8" s="1091"/>
      <c r="J8" s="1091"/>
      <c r="K8" s="1233"/>
      <c r="L8" s="852"/>
      <c r="M8" s="1650"/>
      <c r="N8" s="1432"/>
      <c r="O8" s="1432"/>
      <c r="P8" s="1432"/>
      <c r="Q8" s="1432"/>
      <c r="R8" s="1432"/>
      <c r="S8" s="1432"/>
      <c r="T8" s="1432"/>
      <c r="U8" s="853"/>
      <c r="V8" s="853"/>
      <c r="W8" s="1682"/>
      <c r="X8" s="5"/>
    </row>
    <row r="9" spans="1:24" s="325" customFormat="1" ht="14.25" customHeight="1">
      <c r="A9" s="1696" t="s">
        <v>3113</v>
      </c>
      <c r="B9" s="1343" t="str">
        <f>Uebersetzung!D419</f>
        <v>Istruzioni</v>
      </c>
      <c r="C9" s="8"/>
      <c r="D9" s="9"/>
      <c r="E9" s="9"/>
      <c r="F9" s="9"/>
      <c r="G9" s="9"/>
      <c r="H9" s="148"/>
      <c r="I9" s="148"/>
      <c r="J9" s="148"/>
      <c r="K9" s="1234"/>
      <c r="L9" s="852"/>
      <c r="M9" s="1650"/>
      <c r="N9" s="1432"/>
      <c r="O9" s="1432"/>
      <c r="P9" s="1432"/>
      <c r="Q9" s="1432"/>
      <c r="R9" s="1432"/>
      <c r="S9" s="1432"/>
      <c r="T9" s="1432"/>
      <c r="U9" s="853"/>
      <c r="V9" s="853"/>
      <c r="W9" s="1682"/>
      <c r="X9" s="5"/>
    </row>
    <row r="10" spans="1:24" s="325" customFormat="1" ht="19.2" customHeight="1">
      <c r="A10" s="1696"/>
      <c r="B10" s="1331" t="str">
        <f>Uebersetzung!D420</f>
        <v>Questo formulario di verifica è necessario per la verifica dello standard Minergie, Minergie-P e Minergie A. Lo standard corrispon-</v>
      </c>
      <c r="C10" s="8"/>
      <c r="D10" s="8"/>
      <c r="E10" s="8"/>
      <c r="F10" s="8"/>
      <c r="G10" s="8"/>
      <c r="H10" s="8"/>
      <c r="I10" s="8"/>
      <c r="J10" s="8"/>
      <c r="K10" s="677"/>
      <c r="L10" s="852"/>
      <c r="M10" s="1650"/>
      <c r="N10" s="1432"/>
      <c r="O10" s="1432"/>
      <c r="P10" s="1432"/>
      <c r="Q10" s="1432"/>
      <c r="R10" s="1432"/>
      <c r="S10" s="1432"/>
      <c r="T10" s="1432"/>
      <c r="U10" s="853"/>
      <c r="V10" s="853"/>
      <c r="W10" s="1682"/>
      <c r="X10" s="5"/>
    </row>
    <row r="11" spans="1:24" s="325" customFormat="1" ht="19.2" customHeight="1">
      <c r="A11" s="1696"/>
      <c r="B11" s="1331" t="str">
        <f>Uebersetzung!D421</f>
        <v>dente può essere selezionato nel foglio "Dati". Il formulario compilato va caricato sulla piattaforma Minergie Online (MOP).</v>
      </c>
      <c r="C11" s="8"/>
      <c r="D11" s="8"/>
      <c r="E11" s="8"/>
      <c r="F11" s="8"/>
      <c r="G11" s="8"/>
      <c r="H11" s="8"/>
      <c r="I11" s="8"/>
      <c r="J11" s="8"/>
      <c r="K11" s="677"/>
      <c r="L11" s="852"/>
      <c r="M11" s="1650"/>
      <c r="N11" s="1432"/>
      <c r="O11" s="1432"/>
      <c r="P11" s="1432"/>
      <c r="Q11" s="1432"/>
      <c r="R11" s="1432"/>
      <c r="S11" s="1432"/>
      <c r="T11" s="1432"/>
      <c r="U11" s="853"/>
      <c r="V11" s="853"/>
      <c r="W11" s="1682"/>
      <c r="X11" s="5"/>
    </row>
    <row r="12" spans="1:24" s="325" customFormat="1" ht="19.2" customHeight="1">
      <c r="A12" s="1696"/>
      <c r="B12" s="1331" t="str">
        <f>Uebersetzung!D422</f>
        <v>La richiesta di certificazione è generata automaticamente tramite MOP. La richiesta firmata, il presente formulario di verifica</v>
      </c>
      <c r="C12" s="8"/>
      <c r="D12" s="8"/>
      <c r="E12" s="8"/>
      <c r="F12" s="8"/>
      <c r="G12" s="8"/>
      <c r="H12" s="8"/>
      <c r="I12" s="8"/>
      <c r="J12" s="8"/>
      <c r="K12" s="677"/>
      <c r="L12" s="852"/>
      <c r="M12" s="1650"/>
      <c r="N12" s="1432"/>
      <c r="O12" s="1432"/>
      <c r="P12" s="1432"/>
      <c r="Q12" s="1432"/>
      <c r="R12" s="1432"/>
      <c r="S12" s="1432"/>
      <c r="T12" s="1432"/>
      <c r="U12" s="853"/>
      <c r="V12" s="853"/>
      <c r="W12" s="1682"/>
      <c r="X12" s="5"/>
    </row>
    <row r="13" spans="1:24" s="325" customFormat="1" ht="19.2" customHeight="1">
      <c r="A13" s="1696"/>
      <c r="B13" s="1331" t="str">
        <f>Uebersetzung!D423</f>
        <v>nonché altri documenti necessari, devono essere inviati in forma cartacea al centro di certificazione.</v>
      </c>
      <c r="C13" s="8"/>
      <c r="D13" s="8"/>
      <c r="E13" s="8"/>
      <c r="F13" s="8"/>
      <c r="G13" s="8"/>
      <c r="H13" s="8"/>
      <c r="I13" s="8"/>
      <c r="J13" s="8"/>
      <c r="K13" s="677"/>
      <c r="L13" s="852"/>
      <c r="M13" s="1650"/>
      <c r="N13" s="1432"/>
      <c r="O13" s="1432"/>
      <c r="P13" s="1432"/>
      <c r="Q13" s="1432"/>
      <c r="R13" s="1432"/>
      <c r="S13" s="1432"/>
      <c r="T13" s="1432"/>
      <c r="U13" s="853"/>
      <c r="V13" s="853"/>
      <c r="W13" s="1682"/>
      <c r="X13" s="5"/>
    </row>
    <row r="14" spans="1:24" s="325" customFormat="1" ht="18.600000000000001" customHeight="1">
      <c r="A14" s="1696"/>
      <c r="B14" s="1331" t="str">
        <f>Uebersetzung!D424</f>
        <v>La seguente codifica cromatica è da ricordare durante la compilazione del formulario di verifica.</v>
      </c>
      <c r="C14" s="8"/>
      <c r="D14" s="8"/>
      <c r="E14" s="8"/>
      <c r="F14" s="8"/>
      <c r="G14" s="8"/>
      <c r="H14" s="8"/>
      <c r="I14" s="8"/>
      <c r="J14" s="8"/>
      <c r="K14" s="677"/>
      <c r="L14" s="852"/>
      <c r="M14" s="1650"/>
      <c r="N14" s="1432"/>
      <c r="O14" s="1432"/>
      <c r="P14" s="1432"/>
      <c r="Q14" s="1432"/>
      <c r="R14" s="1432"/>
      <c r="S14" s="1432"/>
      <c r="T14" s="1432"/>
      <c r="U14" s="853"/>
      <c r="V14" s="853"/>
      <c r="W14" s="1682"/>
      <c r="X14" s="5"/>
    </row>
    <row r="15" spans="1:24" s="325" customFormat="1" ht="12" hidden="1" customHeight="1">
      <c r="A15" s="1696"/>
      <c r="B15" s="1331"/>
      <c r="C15" s="8"/>
      <c r="D15" s="8"/>
      <c r="E15" s="8"/>
      <c r="F15" s="8"/>
      <c r="G15" s="8"/>
      <c r="H15" s="8"/>
      <c r="I15" s="8"/>
      <c r="J15" s="8"/>
      <c r="K15" s="677"/>
      <c r="L15" s="852"/>
      <c r="M15" s="1650"/>
      <c r="N15" s="1432"/>
      <c r="O15" s="1432"/>
      <c r="P15" s="1432"/>
      <c r="Q15" s="1432"/>
      <c r="R15" s="1432"/>
      <c r="S15" s="1432"/>
      <c r="T15" s="1432"/>
      <c r="U15" s="853"/>
      <c r="V15" s="853"/>
      <c r="W15" s="1682"/>
      <c r="X15" s="5"/>
    </row>
    <row r="16" spans="1:24" s="325" customFormat="1" ht="19.2" hidden="1" customHeight="1">
      <c r="A16" s="1696"/>
      <c r="B16" s="1331"/>
      <c r="C16" s="8"/>
      <c r="D16" s="8"/>
      <c r="E16" s="8"/>
      <c r="F16" s="8"/>
      <c r="G16" s="8"/>
      <c r="H16" s="8"/>
      <c r="I16" s="8"/>
      <c r="J16" s="8"/>
      <c r="K16" s="677"/>
      <c r="L16" s="852"/>
      <c r="M16" s="1650"/>
      <c r="N16" s="1432"/>
      <c r="O16" s="1432"/>
      <c r="P16" s="1432"/>
      <c r="Q16" s="1432"/>
      <c r="R16" s="1432"/>
      <c r="S16" s="1432"/>
      <c r="T16" s="1432"/>
      <c r="U16" s="853"/>
      <c r="V16" s="853"/>
      <c r="W16" s="1682"/>
      <c r="X16" s="5"/>
    </row>
    <row r="17" spans="1:24" s="325" customFormat="1" ht="9" customHeight="1">
      <c r="A17" s="1696"/>
      <c r="B17" s="1331"/>
      <c r="C17" s="8"/>
      <c r="D17" s="8"/>
      <c r="E17" s="8"/>
      <c r="F17" s="8"/>
      <c r="G17" s="8"/>
      <c r="H17" s="8"/>
      <c r="I17" s="8"/>
      <c r="J17" s="8"/>
      <c r="K17" s="677"/>
      <c r="L17" s="852"/>
      <c r="M17" s="1650"/>
      <c r="N17" s="1432"/>
      <c r="O17" s="1432"/>
      <c r="P17" s="1432"/>
      <c r="Q17" s="1432"/>
      <c r="R17" s="1432"/>
      <c r="S17" s="1432"/>
      <c r="T17" s="1432"/>
      <c r="U17" s="853"/>
      <c r="V17" s="853"/>
      <c r="W17" s="1682"/>
      <c r="X17" s="5"/>
    </row>
    <row r="18" spans="1:24" s="325" customFormat="1" ht="19.2" customHeight="1">
      <c r="A18" s="1696"/>
      <c r="B18" s="1695" t="str">
        <f>Uebersetzung!D425</f>
        <v>Immissione dati (obbligatori)</v>
      </c>
      <c r="C18" s="1406"/>
      <c r="D18" s="2193" t="str">
        <f>Uebersetzung!D426</f>
        <v>Immissione dati (facoltativi)</v>
      </c>
      <c r="E18" s="2193"/>
      <c r="F18" s="2193"/>
      <c r="G18" s="11"/>
      <c r="H18" s="2194" t="str">
        <f>Uebersetzung!D427</f>
        <v>Campo di selezione(facoltativo)</v>
      </c>
      <c r="I18" s="2194"/>
      <c r="J18" s="156"/>
      <c r="K18" s="639"/>
      <c r="L18" s="852"/>
      <c r="M18" s="1650"/>
      <c r="N18" s="1432"/>
      <c r="O18" s="1432"/>
      <c r="P18" s="1432"/>
      <c r="Q18" s="1432"/>
      <c r="R18" s="1432"/>
      <c r="S18" s="1432"/>
      <c r="T18" s="1432"/>
      <c r="U18" s="853"/>
      <c r="V18" s="853"/>
      <c r="W18" s="1682"/>
      <c r="X18" s="5"/>
    </row>
    <row r="19" spans="1:24" s="325" customFormat="1" ht="9.6" customHeight="1">
      <c r="A19" s="1696"/>
      <c r="B19" s="8"/>
      <c r="C19" s="8"/>
      <c r="D19" s="9"/>
      <c r="E19" s="9"/>
      <c r="F19" s="9"/>
      <c r="G19" s="9"/>
      <c r="H19" s="5"/>
      <c r="I19" s="5"/>
      <c r="J19" s="5"/>
      <c r="K19" s="5"/>
      <c r="L19" s="852"/>
      <c r="M19" s="1650"/>
      <c r="N19" s="1432"/>
      <c r="O19" s="1432"/>
      <c r="P19" s="1432"/>
      <c r="Q19" s="1432"/>
      <c r="R19" s="1432"/>
      <c r="S19" s="1432"/>
      <c r="T19" s="1432"/>
      <c r="U19" s="853"/>
      <c r="V19" s="853"/>
      <c r="W19" s="1682"/>
      <c r="X19" s="5"/>
    </row>
    <row r="20" spans="1:24" s="325" customFormat="1" ht="20.399999999999999" customHeight="1">
      <c r="A20" s="1696" t="s">
        <v>3088</v>
      </c>
      <c r="B20" s="396" t="str">
        <f>Uebersetzung!D418</f>
        <v>Progetto</v>
      </c>
      <c r="C20" s="1332"/>
      <c r="D20" s="1333"/>
      <c r="E20" s="1333"/>
      <c r="F20" s="1333"/>
      <c r="G20" s="1333" t="str">
        <f>Uebersetzung!D18</f>
        <v>Tipo di verifica</v>
      </c>
      <c r="H20" s="711"/>
      <c r="I20" s="1333" t="str">
        <f>MINERGIE!F13</f>
        <v>MINERGIE</v>
      </c>
      <c r="J20" s="711"/>
      <c r="K20" s="949"/>
      <c r="L20" s="852"/>
      <c r="M20" s="1650"/>
      <c r="N20" s="1432"/>
      <c r="O20" s="1432"/>
      <c r="P20" s="1432"/>
      <c r="Q20" s="1432"/>
      <c r="R20" s="1432"/>
      <c r="S20" s="1432"/>
      <c r="T20" s="1432"/>
      <c r="U20" s="853"/>
      <c r="V20" s="853"/>
      <c r="W20" s="1682"/>
      <c r="X20" s="5"/>
    </row>
    <row r="21" spans="1:24" s="325" customFormat="1" ht="24" customHeight="1">
      <c r="A21" s="1696" t="s">
        <v>3089</v>
      </c>
      <c r="B21" s="822" t="str">
        <f>IF(MUKEN,Uebersetzung!D9,Uebersetzung!D356)</f>
        <v>Nome del progetto:</v>
      </c>
      <c r="C21" s="2197" t="str">
        <f>IF(Projekt1="","",Projekt1)</f>
        <v/>
      </c>
      <c r="D21" s="2197"/>
      <c r="E21" s="2197"/>
      <c r="F21" s="2197"/>
      <c r="G21" s="930" t="str">
        <f>Uebersetzung!D10</f>
        <v>Part. n.:</v>
      </c>
      <c r="H21" s="1360">
        <f>Projekt2</f>
        <v>0</v>
      </c>
      <c r="I21" s="1540" t="str">
        <f>IF(MUKEN,Uebersetzung!D11,Uebersetzung!D358)</f>
        <v xml:space="preserve">n. MOP: </v>
      </c>
      <c r="J21" s="1357"/>
      <c r="K21" s="1361">
        <f>Projekt3</f>
        <v>0</v>
      </c>
      <c r="L21" s="852"/>
      <c r="M21" s="1650"/>
      <c r="N21" s="1432"/>
      <c r="O21" s="1432"/>
      <c r="P21" s="1432"/>
      <c r="Q21" s="1432"/>
      <c r="R21" s="1432"/>
      <c r="S21" s="1432"/>
      <c r="T21" s="1432"/>
      <c r="U21" s="853"/>
      <c r="V21" s="853"/>
      <c r="W21" s="1682"/>
      <c r="X21" s="5"/>
    </row>
    <row r="22" spans="1:24" s="325" customFormat="1" ht="24" customHeight="1">
      <c r="A22" s="1696" t="s">
        <v>3090</v>
      </c>
      <c r="B22" s="823" t="str">
        <f>IF(MUKEN,Uebersetzung!D13,Uebersetzung!D359)</f>
        <v>Indirizzo dell'edificio</v>
      </c>
      <c r="C22" s="2195">
        <f>Dati!C8</f>
        <v>0</v>
      </c>
      <c r="D22" s="2195"/>
      <c r="E22" s="2195"/>
      <c r="F22" s="2195"/>
      <c r="G22" s="2195"/>
      <c r="H22" s="2195"/>
      <c r="I22" s="2195"/>
      <c r="J22" s="2195"/>
      <c r="K22" s="2196"/>
      <c r="L22" s="852"/>
      <c r="M22" s="852"/>
      <c r="N22" s="852"/>
      <c r="O22" s="852"/>
      <c r="P22" s="852"/>
      <c r="Q22" s="852"/>
      <c r="R22" s="852"/>
      <c r="S22" s="852"/>
      <c r="T22" s="852"/>
      <c r="U22" s="852"/>
      <c r="V22" s="852"/>
      <c r="W22" s="1683"/>
      <c r="X22" s="5"/>
    </row>
    <row r="23" spans="1:24" s="325" customFormat="1" ht="19.2" hidden="1" customHeight="1">
      <c r="A23" s="1696"/>
      <c r="B23" s="8"/>
      <c r="C23" s="8"/>
      <c r="D23" s="9"/>
      <c r="E23" s="9"/>
      <c r="F23" s="9"/>
      <c r="G23" s="9"/>
      <c r="H23" s="5"/>
      <c r="I23" s="5"/>
      <c r="J23" s="5"/>
      <c r="K23" s="5"/>
      <c r="L23" s="852"/>
      <c r="M23" s="1650"/>
      <c r="N23" s="1432"/>
      <c r="O23" s="1432"/>
      <c r="P23" s="1432"/>
      <c r="Q23" s="1432"/>
      <c r="R23" s="1432"/>
      <c r="S23" s="1432"/>
      <c r="T23" s="1432"/>
      <c r="U23" s="853"/>
      <c r="V23" s="853"/>
      <c r="W23" s="1682"/>
      <c r="X23" s="5"/>
    </row>
    <row r="24" spans="1:24" s="325" customFormat="1" ht="19.2" hidden="1" customHeight="1">
      <c r="A24" s="1696"/>
      <c r="B24" s="8"/>
      <c r="C24" s="8"/>
      <c r="D24" s="9"/>
      <c r="E24" s="9"/>
      <c r="F24" s="9"/>
      <c r="G24" s="9"/>
      <c r="H24" s="5"/>
      <c r="I24" s="5"/>
      <c r="J24" s="5"/>
      <c r="K24" s="5"/>
      <c r="L24" s="852"/>
      <c r="M24" s="1650"/>
      <c r="N24" s="1432"/>
      <c r="O24" s="1432"/>
      <c r="P24" s="1432"/>
      <c r="Q24" s="1432"/>
      <c r="R24" s="1432"/>
      <c r="S24" s="1432"/>
      <c r="T24" s="1432"/>
      <c r="U24" s="853"/>
      <c r="V24" s="853"/>
      <c r="W24" s="1682"/>
      <c r="X24" s="5"/>
    </row>
    <row r="25" spans="1:24" s="325" customFormat="1" ht="19.2" hidden="1" customHeight="1">
      <c r="A25" s="1696"/>
      <c r="B25" s="8"/>
      <c r="C25" s="8"/>
      <c r="D25" s="9"/>
      <c r="E25" s="9"/>
      <c r="F25" s="9"/>
      <c r="G25" s="9"/>
      <c r="H25" s="5"/>
      <c r="I25" s="5"/>
      <c r="J25" s="5"/>
      <c r="K25" s="5"/>
      <c r="L25" s="852"/>
      <c r="M25" s="1650"/>
      <c r="N25" s="1432"/>
      <c r="O25" s="1432"/>
      <c r="P25" s="1432"/>
      <c r="Q25" s="1432"/>
      <c r="R25" s="1432"/>
      <c r="S25" s="1432"/>
      <c r="T25" s="1432"/>
      <c r="U25" s="853"/>
      <c r="V25" s="853"/>
      <c r="W25" s="1682"/>
      <c r="X25" s="5"/>
    </row>
    <row r="26" spans="1:24" s="325" customFormat="1" ht="12" customHeight="1">
      <c r="A26" s="1697"/>
      <c r="B26" s="5"/>
      <c r="C26" s="5"/>
      <c r="D26" s="5"/>
      <c r="E26" s="5"/>
      <c r="F26" s="9"/>
      <c r="G26" s="9"/>
      <c r="H26" s="5"/>
      <c r="I26" s="5"/>
      <c r="J26" s="5"/>
      <c r="K26" s="5" t="str">
        <f>Uebersetzung!D26</f>
        <v>no</v>
      </c>
      <c r="L26" s="852"/>
      <c r="M26" s="1650"/>
      <c r="N26" s="1432"/>
      <c r="O26" s="1432"/>
      <c r="P26" s="1432"/>
      <c r="Q26" s="1432"/>
      <c r="R26" s="1432"/>
      <c r="S26" s="1432"/>
      <c r="T26" s="1432"/>
      <c r="U26" s="853"/>
      <c r="V26" s="853"/>
      <c r="W26" s="1682"/>
      <c r="X26" s="5"/>
    </row>
    <row r="27" spans="1:24" s="325" customFormat="1" ht="1.2" customHeight="1">
      <c r="A27" s="1697"/>
      <c r="B27" s="3"/>
      <c r="C27" s="3"/>
      <c r="D27" s="3"/>
      <c r="E27" s="3"/>
      <c r="F27" s="3"/>
      <c r="G27" s="3"/>
      <c r="H27" s="9"/>
      <c r="I27" s="9"/>
      <c r="J27" s="9"/>
      <c r="K27" s="9"/>
      <c r="L27" s="852"/>
      <c r="M27" s="1650"/>
      <c r="N27" s="1432"/>
      <c r="O27" s="1432"/>
      <c r="P27" s="1432"/>
      <c r="Q27" s="1432"/>
      <c r="R27" s="1432"/>
      <c r="S27" s="1432"/>
      <c r="T27" s="1432"/>
      <c r="U27" s="853"/>
      <c r="V27" s="853"/>
      <c r="W27" s="1682"/>
      <c r="X27" s="5"/>
    </row>
    <row r="28" spans="1:24" s="325" customFormat="1" ht="20.100000000000001" customHeight="1">
      <c r="A28" s="1697" t="s">
        <v>3091</v>
      </c>
      <c r="B28" s="1407" t="str">
        <f>Uebersetzung!D428</f>
        <v>Rispetto del requisito principale</v>
      </c>
      <c r="C28" s="1062"/>
      <c r="D28" s="1063"/>
      <c r="E28" s="1064"/>
      <c r="F28" s="1065"/>
      <c r="G28" s="1066"/>
      <c r="H28" s="1067"/>
      <c r="I28" s="1071"/>
      <c r="J28" s="1068"/>
      <c r="K28" s="1069"/>
      <c r="L28" s="852"/>
      <c r="M28" s="1650"/>
      <c r="N28" s="1432"/>
      <c r="O28" s="1432"/>
      <c r="P28" s="1432"/>
      <c r="Q28" s="1432"/>
      <c r="R28" s="1432"/>
      <c r="S28" s="1432"/>
      <c r="T28" s="1432"/>
      <c r="U28" s="853"/>
      <c r="V28" s="853"/>
      <c r="W28" s="1682"/>
      <c r="X28" s="5"/>
    </row>
    <row r="29" spans="1:24" s="325" customFormat="1" ht="15.9" customHeight="1">
      <c r="A29" s="1697"/>
      <c r="B29" s="1408"/>
      <c r="C29" s="11"/>
      <c r="D29" s="11"/>
      <c r="E29" s="11"/>
      <c r="F29" s="2175" t="str">
        <f>Uebersetzung!D294</f>
        <v>Esigenza</v>
      </c>
      <c r="G29" s="2176"/>
      <c r="H29" s="2175" t="str">
        <f>Uebersetzung!D295</f>
        <v>Valore calcolato</v>
      </c>
      <c r="I29" s="2176"/>
      <c r="J29" s="818"/>
      <c r="K29" s="819" t="str">
        <f>Uebersetzung!D299</f>
        <v>Rispettato?</v>
      </c>
      <c r="L29" s="852"/>
      <c r="M29" s="1651"/>
      <c r="N29" s="1432"/>
      <c r="O29" s="1432"/>
      <c r="P29" s="1432"/>
      <c r="Q29" s="1432"/>
      <c r="R29" s="1432"/>
      <c r="S29" s="852"/>
      <c r="T29" s="852"/>
      <c r="U29" s="853"/>
      <c r="V29" s="853"/>
      <c r="W29" s="1682"/>
      <c r="X29" s="5"/>
    </row>
    <row r="30" spans="1:24" s="325" customFormat="1" ht="20.100000000000001" customHeight="1">
      <c r="A30" s="1697" t="s">
        <v>3092</v>
      </c>
      <c r="B30" s="1335" t="str">
        <f>Uebersetzung!D430</f>
        <v>Indice Minergie in kWh/m2</v>
      </c>
      <c r="C30" s="1336"/>
      <c r="D30" s="1336"/>
      <c r="E30" s="1337"/>
      <c r="F30" s="2177">
        <f>MINERGIE!Z40</f>
        <v>0</v>
      </c>
      <c r="G30" s="2178"/>
      <c r="H30" s="2177">
        <f>IF(MUKEN=FALSE,Verifica!I59)</f>
        <v>0</v>
      </c>
      <c r="I30" s="2178"/>
      <c r="J30" s="1085"/>
      <c r="K30" s="1603" t="str">
        <f>IF(ROUND(F30,1)&gt;=ROUND(H30,1),IF(EBF&gt;0,Uebersetzung!D25,Uebersetzung!D26),Uebersetzung!D26)</f>
        <v>no</v>
      </c>
      <c r="L30" s="1608">
        <f>IF(K30=MINERGIE!$N$12,1,IF(K30=MINERGIE!$N$13,2,0))</f>
        <v>2</v>
      </c>
      <c r="M30" s="1652"/>
      <c r="N30" s="1652"/>
      <c r="O30" s="1432"/>
      <c r="P30" s="1432"/>
      <c r="Q30" s="1432"/>
      <c r="R30" s="1432"/>
      <c r="S30" s="852"/>
      <c r="T30" s="852"/>
      <c r="U30" s="853"/>
      <c r="V30" s="853"/>
      <c r="W30" s="1682"/>
      <c r="X30" s="5"/>
    </row>
    <row r="31" spans="1:24" s="5" customFormat="1" ht="20.100000000000001" customHeight="1">
      <c r="A31" s="1697" t="s">
        <v>3093</v>
      </c>
      <c r="B31" s="1338" t="str">
        <f>Uebersetzung!D431</f>
        <v>Indice Minergie in CO2/m2</v>
      </c>
      <c r="C31" s="1413"/>
      <c r="D31" s="1413"/>
      <c r="E31" s="1339"/>
      <c r="F31" s="2169" t="str">
        <f>Uebersetzung!D462</f>
        <v>Nessuna esigenza</v>
      </c>
      <c r="G31" s="2170"/>
      <c r="H31" s="2169">
        <f>Verifica!AH45</f>
        <v>0</v>
      </c>
      <c r="I31" s="2170"/>
      <c r="J31" s="1334"/>
      <c r="K31" s="1386"/>
      <c r="L31" s="852"/>
      <c r="M31" s="1650"/>
      <c r="N31" s="1432"/>
      <c r="O31" s="1432"/>
      <c r="P31" s="1432"/>
      <c r="Q31" s="1432"/>
      <c r="R31" s="1432"/>
      <c r="S31" s="1432"/>
      <c r="T31" s="1432"/>
      <c r="U31" s="853"/>
      <c r="V31" s="853"/>
      <c r="W31" s="1682"/>
    </row>
    <row r="32" spans="1:24" s="5" customFormat="1" ht="9.9" customHeight="1">
      <c r="A32" s="1698"/>
      <c r="B32" s="488"/>
      <c r="C32" s="488"/>
      <c r="D32" s="488"/>
      <c r="E32" s="488"/>
      <c r="F32" s="160"/>
      <c r="G32" s="160"/>
      <c r="H32" s="160"/>
      <c r="I32" s="160"/>
      <c r="J32" s="488"/>
      <c r="K32" s="488"/>
      <c r="L32" s="852"/>
      <c r="M32" s="1650"/>
      <c r="N32" s="1432"/>
      <c r="O32" s="1432"/>
      <c r="P32" s="1432"/>
      <c r="Q32" s="1432"/>
      <c r="R32" s="1432"/>
      <c r="S32" s="1432"/>
      <c r="T32" s="1432"/>
      <c r="U32" s="853"/>
      <c r="V32" s="853"/>
      <c r="W32" s="1682"/>
    </row>
    <row r="33" spans="1:23" s="5" customFormat="1" ht="9.6" hidden="1" customHeight="1">
      <c r="A33" s="1698"/>
      <c r="B33" s="488"/>
      <c r="C33" s="488"/>
      <c r="D33" s="488"/>
      <c r="E33" s="488"/>
      <c r="F33" s="160"/>
      <c r="G33" s="160"/>
      <c r="H33" s="160"/>
      <c r="I33" s="160"/>
      <c r="J33" s="488"/>
      <c r="K33" s="488"/>
      <c r="L33" s="852"/>
      <c r="M33" s="1650"/>
      <c r="N33" s="1432"/>
      <c r="O33" s="1432"/>
      <c r="P33" s="1432"/>
      <c r="Q33" s="1432"/>
      <c r="R33" s="1432"/>
      <c r="S33" s="1432"/>
      <c r="T33" s="1432"/>
      <c r="U33" s="853"/>
      <c r="V33" s="853"/>
      <c r="W33" s="1682"/>
    </row>
    <row r="34" spans="1:23" s="5" customFormat="1" ht="9.6" hidden="1" customHeight="1">
      <c r="A34" s="1698"/>
      <c r="B34" s="488"/>
      <c r="C34" s="488"/>
      <c r="D34" s="488"/>
      <c r="E34" s="488"/>
      <c r="F34" s="160"/>
      <c r="G34" s="160"/>
      <c r="H34" s="160"/>
      <c r="I34" s="160"/>
      <c r="J34" s="488"/>
      <c r="K34" s="488"/>
      <c r="L34" s="852"/>
      <c r="M34" s="1650"/>
      <c r="N34" s="1432"/>
      <c r="O34" s="1432"/>
      <c r="P34" s="1432"/>
      <c r="Q34" s="1432"/>
      <c r="R34" s="1432"/>
      <c r="S34" s="1432"/>
      <c r="T34" s="1432"/>
      <c r="U34" s="853"/>
      <c r="V34" s="853"/>
      <c r="W34" s="1682"/>
    </row>
    <row r="35" spans="1:23" s="5" customFormat="1" ht="19.95" customHeight="1">
      <c r="A35" s="1696" t="s">
        <v>3094</v>
      </c>
      <c r="B35" s="1407" t="str">
        <f>Uebersetzung!D429</f>
        <v>Rispetto dei requisiti supplementari</v>
      </c>
      <c r="C35" s="1062"/>
      <c r="D35" s="1063"/>
      <c r="E35" s="1064"/>
      <c r="F35" s="1065"/>
      <c r="G35" s="1066"/>
      <c r="H35" s="1067"/>
      <c r="I35" s="1071"/>
      <c r="J35" s="1068"/>
      <c r="K35" s="1069"/>
      <c r="L35" s="853"/>
      <c r="M35" s="1432"/>
      <c r="N35" s="1432"/>
      <c r="O35" s="1432"/>
      <c r="P35" s="1432"/>
      <c r="Q35" s="1432"/>
      <c r="R35" s="1432"/>
      <c r="S35" s="1432"/>
      <c r="T35" s="1432"/>
      <c r="U35" s="853"/>
      <c r="V35" s="853"/>
      <c r="W35" s="1682"/>
    </row>
    <row r="36" spans="1:23" s="5" customFormat="1" ht="15.9" customHeight="1">
      <c r="A36" s="1696"/>
      <c r="B36" s="1408"/>
      <c r="C36" s="11"/>
      <c r="D36" s="11"/>
      <c r="E36" s="11"/>
      <c r="F36" s="2175" t="str">
        <f>Uebersetzung!D294</f>
        <v>Esigenza</v>
      </c>
      <c r="G36" s="2176"/>
      <c r="H36" s="2175" t="str">
        <f>Uebersetzung!D295</f>
        <v>Valore calcolato</v>
      </c>
      <c r="I36" s="2176"/>
      <c r="J36" s="818"/>
      <c r="K36" s="819" t="str">
        <f>Uebersetzung!D299</f>
        <v>Rispettato?</v>
      </c>
      <c r="L36" s="853"/>
      <c r="M36" s="1432"/>
      <c r="N36" s="1432"/>
      <c r="O36" s="1432"/>
      <c r="P36" s="1432"/>
      <c r="Q36" s="1653" t="s">
        <v>2808</v>
      </c>
      <c r="R36" s="1653" t="s">
        <v>2809</v>
      </c>
      <c r="S36" s="1653" t="s">
        <v>2810</v>
      </c>
      <c r="T36" s="1432"/>
      <c r="U36" s="853"/>
      <c r="V36" s="853"/>
      <c r="W36" s="1682"/>
    </row>
    <row r="37" spans="1:23" s="5" customFormat="1" ht="19.95" customHeight="1">
      <c r="A37" s="1697" t="s">
        <v>3095</v>
      </c>
      <c r="B37" s="1335" t="str">
        <f>Uebersetzung!D432</f>
        <v>Fabbisogno per il riscaldamento in kWh/m2</v>
      </c>
      <c r="C37" s="1336"/>
      <c r="D37" s="1336"/>
      <c r="E37" s="1674" t="s">
        <v>2817</v>
      </c>
      <c r="F37" s="2177">
        <f>MINERGIE!Z18</f>
        <v>0</v>
      </c>
      <c r="G37" s="2178"/>
      <c r="H37" s="2177">
        <f>MINERGIE!Z25</f>
        <v>0</v>
      </c>
      <c r="I37" s="2178"/>
      <c r="J37" s="1085"/>
      <c r="K37" s="1604">
        <f>IF(AND(F37=0,H37&gt;0),Uebersetzung!D25,IF(AND(F37&gt;0,H37&gt;0),IF(ROUND(F37,1)&gt;=ROUND(H37,1),Uebersetzung!D25,Uebersetzung!D26),))</f>
        <v>0</v>
      </c>
      <c r="L37" s="1608">
        <f>IF(K37=MINERGIE!$N$12,1,IF(K37=MINERGIE!$N$13,2,0))</f>
        <v>0</v>
      </c>
      <c r="M37" s="1432"/>
      <c r="N37" s="1432"/>
      <c r="O37" s="1432"/>
      <c r="P37" s="1432"/>
      <c r="Q37" s="1432">
        <v>0</v>
      </c>
      <c r="R37" s="1432">
        <v>0</v>
      </c>
      <c r="S37" s="1433">
        <f>S60-S38</f>
        <v>0</v>
      </c>
      <c r="T37" s="1432"/>
      <c r="U37" s="853"/>
      <c r="V37" s="853"/>
      <c r="W37" s="1682"/>
    </row>
    <row r="38" spans="1:23" s="5" customFormat="1" ht="19.95" customHeight="1">
      <c r="A38" s="1697" t="s">
        <v>3096</v>
      </c>
      <c r="B38" s="1340" t="str">
        <f>Uebersetzung!D433</f>
        <v>Energia finale senza PV in kWh/m2</v>
      </c>
      <c r="C38" s="1341"/>
      <c r="D38" s="1341"/>
      <c r="E38" s="1342"/>
      <c r="F38" s="2183">
        <f>IF(Verifica!L43="",0,Verifica!L43)</f>
        <v>0</v>
      </c>
      <c r="G38" s="2184"/>
      <c r="H38" s="2183">
        <f>IF(Verifica!I58="",0,Verifica!I58)</f>
        <v>0</v>
      </c>
      <c r="I38" s="2184"/>
      <c r="J38" s="1208"/>
      <c r="K38" s="1605" t="str">
        <f>IF(ROUND(F38,1)&gt;=ROUND(H38,1),IF(EBF&gt;0,Uebersetzung!D25,Uebersetzung!D26),Uebersetzung!D26)</f>
        <v>no</v>
      </c>
      <c r="L38" s="1608">
        <f>IF(K38=MINERGIE!$N$12,1,IF(K38=MINERGIE!$N$13,2,0))</f>
        <v>2</v>
      </c>
      <c r="M38" s="1432" t="s">
        <v>2917</v>
      </c>
      <c r="N38" s="1686">
        <v>0</v>
      </c>
      <c r="O38" s="1432"/>
      <c r="P38" s="1432"/>
      <c r="Q38" s="1432">
        <v>0</v>
      </c>
      <c r="R38" s="1432">
        <v>0</v>
      </c>
      <c r="S38" s="1433">
        <f>MAX(MIN(S60,N56),0)</f>
        <v>0</v>
      </c>
      <c r="T38" s="1432"/>
      <c r="U38" s="853"/>
      <c r="V38" s="853"/>
      <c r="W38" s="1682"/>
    </row>
    <row r="39" spans="1:23" s="5" customFormat="1" ht="20.100000000000001" customHeight="1">
      <c r="A39" s="1697" t="s">
        <v>3097</v>
      </c>
      <c r="B39" s="1331" t="str">
        <f>Uebersetzung!D434</f>
        <v>Valore limite Minergieper l'illuminazione in kWh/m2</v>
      </c>
      <c r="C39" s="8"/>
      <c r="D39" s="8"/>
      <c r="E39" s="831"/>
      <c r="F39" s="2179">
        <f>MINERGIE!K48</f>
        <v>0</v>
      </c>
      <c r="G39" s="2180"/>
      <c r="H39" s="2179">
        <f>MINERGIE!K49</f>
        <v>0</v>
      </c>
      <c r="I39" s="2180"/>
      <c r="J39" s="1513"/>
      <c r="K39" s="1606" t="str">
        <f>IF(MINERGIE!S63=FALSE,Uebersetzung!D26,IF(AND(F39=0,H39=0),"",IF(AND(F39=0,OR(MINERGIE!S82,MINERGIE!S86,MINERGIE!S90)),Uebersetzung!D26,IF(AND(F39&gt;0,H39&gt;0),IF(ROUND(F39,1)&gt;=ROUND(H39,1),Uebersetzung!D25,Uebersetzung!D26),))))</f>
        <v/>
      </c>
      <c r="L39" s="1608">
        <f>IF(K39=MINERGIE!$N$12,1,IF(K39=MINERGIE!$N$13,2,0))</f>
        <v>0</v>
      </c>
      <c r="M39" s="1432"/>
      <c r="N39" s="1432">
        <f>IF(N38=1,0,1)</f>
        <v>1</v>
      </c>
      <c r="O39" s="1432"/>
      <c r="P39" s="1432"/>
      <c r="Q39" s="1432">
        <v>0</v>
      </c>
      <c r="R39" s="1432">
        <v>0</v>
      </c>
      <c r="S39" s="1433">
        <f>IF(N52&lt;0,MAX(N54-MAX(0,-S60+S38),0),N54)</f>
        <v>0</v>
      </c>
      <c r="T39" s="1432"/>
      <c r="U39" s="853"/>
      <c r="V39" s="853"/>
      <c r="W39" s="1682"/>
    </row>
    <row r="40" spans="1:23" s="5" customFormat="1" ht="24" customHeight="1">
      <c r="A40" s="1697" t="s">
        <v>3098</v>
      </c>
      <c r="B40" s="2171" t="str">
        <f>MINERGIE!B57</f>
        <v>Dimensione minima della produzione propria di elettricità:</v>
      </c>
      <c r="C40" s="2172"/>
      <c r="D40" s="2172"/>
      <c r="E40" s="1514" t="s">
        <v>2383</v>
      </c>
      <c r="F40" s="2185">
        <f>MINERGIE!E57</f>
        <v>0</v>
      </c>
      <c r="G40" s="2186"/>
      <c r="H40" s="2185">
        <f>MINERGIE!E55</f>
        <v>0</v>
      </c>
      <c r="I40" s="2186"/>
      <c r="J40" s="1208"/>
      <c r="K40" s="1605" t="str">
        <f>IF(wkk,Uebersetzung!D25,IF(ROUND(H40,2)&gt;=ROUND(F40,2),IF(EBF&gt;0,Uebersetzung!D25,Uebersetzung!D26),Uebersetzung!D26))</f>
        <v>no</v>
      </c>
      <c r="L40" s="1608">
        <f>IF(K40=MINERGIE!$N$12,1,IF(K40=MINERGIE!$N$13,2,0))</f>
        <v>2</v>
      </c>
      <c r="M40" s="1432"/>
      <c r="N40" s="1432"/>
      <c r="O40" s="1432"/>
      <c r="P40" s="1432"/>
      <c r="Q40" s="1432">
        <v>0</v>
      </c>
      <c r="R40" s="1432">
        <v>0</v>
      </c>
      <c r="S40" s="1433">
        <f>IF(N52&lt;0,MIN(N53,N55),N53)</f>
        <v>0</v>
      </c>
      <c r="T40" s="1432"/>
      <c r="U40" s="853"/>
      <c r="V40" s="853"/>
      <c r="W40" s="1682"/>
    </row>
    <row r="41" spans="1:23" s="5" customFormat="1" ht="19.95" customHeight="1">
      <c r="A41" s="1697" t="s">
        <v>3099</v>
      </c>
      <c r="B41" s="1340" t="str">
        <f>Estate!B2</f>
        <v>Protezione termica estiva secondo lo standard Minergie</v>
      </c>
      <c r="C41" s="1552"/>
      <c r="D41" s="1552"/>
      <c r="E41" s="1553"/>
      <c r="F41" s="1592"/>
      <c r="G41" s="1593"/>
      <c r="H41" s="1592"/>
      <c r="I41" s="1593"/>
      <c r="J41" s="218"/>
      <c r="K41" s="1607" t="str">
        <f>IF(Estate!R52,Uebersetzung!D25,Uebersetzung!D26)</f>
        <v>no</v>
      </c>
      <c r="L41" s="1608">
        <f>IF(K41=MINERGIE!$N$12,1,IF(K41=MINERGIE!$N$13,2,0))</f>
        <v>2</v>
      </c>
      <c r="M41" s="1650"/>
      <c r="N41" s="1432"/>
      <c r="O41" s="1432"/>
      <c r="P41" s="1680" t="str">
        <f>M43</f>
        <v>Riscaldamento</v>
      </c>
      <c r="Q41" s="1433" t="e">
        <f>(MINERGIE!Z46-R42)*(1/(R43+R41)*R41)*N39</f>
        <v>#DIV/0!</v>
      </c>
      <c r="R41" s="1433">
        <f t="shared" ref="R41:R46" si="0">N43</f>
        <v>0</v>
      </c>
      <c r="S41" s="1432">
        <v>0</v>
      </c>
      <c r="T41" s="1432"/>
      <c r="U41" s="853"/>
      <c r="V41" s="853"/>
      <c r="W41" s="1682"/>
    </row>
    <row r="42" spans="1:23" s="5" customFormat="1" ht="19.95" customHeight="1">
      <c r="A42" s="1697" t="s">
        <v>3100</v>
      </c>
      <c r="B42" s="1214" t="str">
        <f>Uebersetzung!D464</f>
        <v>Coperto da energie fossile</v>
      </c>
      <c r="C42" s="1567"/>
      <c r="D42" s="1567"/>
      <c r="E42" s="1568" t="s">
        <v>2690</v>
      </c>
      <c r="F42" s="2167">
        <f>IF(AND(MINERGIE!AH37&gt;0,H42&gt;0),MINERGIE!AH21,)</f>
        <v>0</v>
      </c>
      <c r="G42" s="2168"/>
      <c r="H42" s="2167">
        <f>IF(MINERGIE!AH14&gt;0,MINERGIE!AH38,)</f>
        <v>0</v>
      </c>
      <c r="I42" s="2168"/>
      <c r="J42" s="1567"/>
      <c r="K42" s="1606" t="str">
        <f>IF(ROUND(H42,3)&lt;=ROUND(F42,3),Uebersetzung!D25,Uebersetzung!D26)</f>
        <v>si</v>
      </c>
      <c r="L42" s="1608">
        <f>IF(K42=MINERGIE!$N$12,1,IF(K42=MINERGIE!$N$13,2,0))</f>
        <v>1</v>
      </c>
      <c r="M42" s="1650" t="str">
        <f>Uebersetzung!D446</f>
        <v>Fabbisogno</v>
      </c>
      <c r="N42" s="1432"/>
      <c r="O42" s="1432"/>
      <c r="P42" s="1680" t="str">
        <f>M44</f>
        <v>Acqua calda sanitaria</v>
      </c>
      <c r="Q42" s="1433">
        <f>R42*N39</f>
        <v>0</v>
      </c>
      <c r="R42" s="1433">
        <f t="shared" si="0"/>
        <v>0</v>
      </c>
      <c r="S42" s="1432">
        <v>0</v>
      </c>
      <c r="T42" s="1432"/>
      <c r="U42" s="853"/>
      <c r="V42" s="853"/>
      <c r="W42" s="1682"/>
    </row>
    <row r="43" spans="1:23" s="5" customFormat="1" ht="23.1" customHeight="1">
      <c r="A43" s="1697" t="s">
        <v>3101</v>
      </c>
      <c r="B43" s="2173" t="str">
        <f>IF(minergiea,Uebersetzung!D465,"")</f>
        <v/>
      </c>
      <c r="C43" s="2174"/>
      <c r="D43" s="2174"/>
      <c r="E43" s="920" t="s">
        <v>2398</v>
      </c>
      <c r="F43" s="2181" t="str">
        <f>IF(minergiea,MINERGIE!G59,"")</f>
        <v/>
      </c>
      <c r="G43" s="2182"/>
      <c r="H43" s="2181" t="str">
        <f>IF(minergiea,MINERGIE!H59,"")</f>
        <v/>
      </c>
      <c r="I43" s="2182"/>
      <c r="J43" s="17"/>
      <c r="K43" s="1693" t="e">
        <f>IF(AND(F43&gt;0,H43&gt;0),IF(ROUND(F43,1)&lt;=ROUND(H43,1),Uebersetzung!D25,Uebersetzung!D26),)</f>
        <v>#VALUE!</v>
      </c>
      <c r="L43" s="1608" t="e">
        <f>IF(K43=MINERGIE!$N$12,1,IF(K43=MINERGIE!$N$13,2,0))</f>
        <v>#VALUE!</v>
      </c>
      <c r="M43" s="1432" t="str">
        <f>Uebersetzung!D436</f>
        <v>Riscaldamento</v>
      </c>
      <c r="N43" s="1433">
        <f>MINERGIE!S103</f>
        <v>0</v>
      </c>
      <c r="O43" s="1432" t="s">
        <v>525</v>
      </c>
      <c r="P43" s="1680" t="str">
        <f>M45</f>
        <v>Aerazione + climatizzazione</v>
      </c>
      <c r="Q43" s="1433" t="e">
        <f>(MINERGIE!Z46-R42-Q41)*N39</f>
        <v>#DIV/0!</v>
      </c>
      <c r="R43" s="1433">
        <f t="shared" si="0"/>
        <v>0</v>
      </c>
      <c r="S43" s="1432">
        <v>0</v>
      </c>
      <c r="T43" s="1432"/>
      <c r="U43" s="853"/>
      <c r="V43" s="853"/>
      <c r="W43" s="1682"/>
    </row>
    <row r="44" spans="1:23" s="5" customFormat="1" ht="19.95" customHeight="1">
      <c r="A44" s="1697" t="s">
        <v>3102</v>
      </c>
      <c r="B44" s="1565" t="str">
        <f>"   "&amp;Uebersetzung!D435</f>
        <v xml:space="preserve">   Visualizzazione Indice Minergie</v>
      </c>
      <c r="C44" s="1392"/>
      <c r="D44" s="148"/>
      <c r="E44" s="148"/>
      <c r="F44" s="148"/>
      <c r="G44" s="148"/>
      <c r="H44" s="148"/>
      <c r="I44" s="148"/>
      <c r="J44" s="148"/>
      <c r="K44" s="1566" t="s">
        <v>2637</v>
      </c>
      <c r="L44" s="853"/>
      <c r="M44" s="1432" t="str">
        <f>Uebersetzung!D437</f>
        <v>Acqua calda sanitaria</v>
      </c>
      <c r="N44" s="1433">
        <f>MINERGIE!S19</f>
        <v>0</v>
      </c>
      <c r="O44" s="1432" t="s">
        <v>525</v>
      </c>
      <c r="P44" s="1680" t="str">
        <f>M46</f>
        <v>Elettricità d'abitazione</v>
      </c>
      <c r="Q44" s="1433">
        <f>MINERGIE!Z47</f>
        <v>0</v>
      </c>
      <c r="R44" s="1433">
        <f t="shared" si="0"/>
        <v>0</v>
      </c>
      <c r="S44" s="1432">
        <v>0</v>
      </c>
      <c r="T44" s="1432"/>
      <c r="U44" s="853"/>
      <c r="V44" s="853"/>
      <c r="W44" s="1682"/>
    </row>
    <row r="45" spans="1:23" s="5" customFormat="1" ht="19.95" customHeight="1">
      <c r="A45" s="1697"/>
      <c r="B45" s="2165" t="str">
        <f>M67&amp;"    "</f>
        <v xml:space="preserve">                                            E rvcac,li +
                            Fabbisogno elettrico standard
      </v>
      </c>
      <c r="C45" s="2166"/>
      <c r="D45" s="2166"/>
      <c r="E45" s="2166" t="str">
        <f>"             
 "&amp;M65</f>
        <v xml:space="preserve">             
            Valore oggetto
 </v>
      </c>
      <c r="F45" s="2166"/>
      <c r="G45" s="2166"/>
      <c r="H45" s="2034" t="str">
        <f>M63</f>
        <v xml:space="preserve">   Produzione PV
 </v>
      </c>
      <c r="I45" s="2034"/>
      <c r="J45" s="148"/>
      <c r="K45" s="1550" t="str">
        <f>Uebersetzung!D479&amp;" "&amp;Uebersetzung!D480</f>
        <v>IM R</v>
      </c>
      <c r="L45" s="853"/>
      <c r="M45" s="1432" t="str">
        <f>Uebersetzung!D470</f>
        <v>Aerazione + climatizzazione</v>
      </c>
      <c r="N45" s="1678">
        <f>MINERGIE!S104</f>
        <v>0</v>
      </c>
      <c r="O45" s="1432" t="s">
        <v>525</v>
      </c>
      <c r="P45" s="1687" t="str">
        <f>M47</f>
        <v>Illuminazione</v>
      </c>
      <c r="Q45" s="1433">
        <f>MINERGIE!Z48</f>
        <v>0</v>
      </c>
      <c r="R45" s="1433">
        <f t="shared" si="0"/>
        <v>0</v>
      </c>
      <c r="S45" s="1432">
        <v>0</v>
      </c>
      <c r="T45" s="1432"/>
      <c r="U45" s="853"/>
      <c r="V45" s="853"/>
      <c r="W45" s="1682"/>
    </row>
    <row r="46" spans="1:23" s="5" customFormat="1" ht="24" customHeight="1">
      <c r="A46" s="1697" t="s">
        <v>3103</v>
      </c>
      <c r="B46" s="2165"/>
      <c r="C46" s="2166"/>
      <c r="D46" s="2166"/>
      <c r="E46" s="2166"/>
      <c r="F46" s="2166"/>
      <c r="G46" s="2166"/>
      <c r="H46" s="2034"/>
      <c r="I46" s="2034"/>
      <c r="J46" s="148"/>
      <c r="K46" s="1551">
        <f>N43</f>
        <v>0</v>
      </c>
      <c r="L46" s="853"/>
      <c r="M46" s="1432" t="str">
        <f>Uebersetzung!D443</f>
        <v>Elettricità d'abitazione</v>
      </c>
      <c r="N46" s="1433">
        <f>MINERGIE!S44</f>
        <v>0</v>
      </c>
      <c r="O46" s="1432" t="s">
        <v>525</v>
      </c>
      <c r="P46" s="1680" t="s">
        <v>1899</v>
      </c>
      <c r="Q46" s="1433">
        <f>MINERGIE!Z49</f>
        <v>0</v>
      </c>
      <c r="R46" s="1433">
        <f t="shared" si="0"/>
        <v>0</v>
      </c>
      <c r="S46" s="1432">
        <v>0</v>
      </c>
      <c r="T46" s="1432"/>
      <c r="U46" s="853"/>
      <c r="V46" s="853"/>
      <c r="W46" s="1682"/>
    </row>
    <row r="47" spans="1:23" s="5" customFormat="1" ht="20.100000000000001" customHeight="1">
      <c r="A47" s="1697"/>
      <c r="B47" s="2165"/>
      <c r="C47" s="2166"/>
      <c r="D47" s="2166"/>
      <c r="E47" s="1725"/>
      <c r="F47" s="1725"/>
      <c r="G47" s="1725"/>
      <c r="H47" s="1694"/>
      <c r="I47" s="1694"/>
      <c r="J47" s="148"/>
      <c r="K47" s="1550" t="str">
        <f>Uebersetzung!D479&amp;" "&amp;Uebersetzung!D481</f>
        <v>IM AC</v>
      </c>
      <c r="L47" s="853"/>
      <c r="M47" s="1432" t="str">
        <f>Uebersetzung!D438</f>
        <v>Illuminazione</v>
      </c>
      <c r="N47" s="1433">
        <f>MINERGIE!S56+MINERGIE!S94+MINERGIE!S100</f>
        <v>0</v>
      </c>
      <c r="O47" s="1432" t="s">
        <v>525</v>
      </c>
      <c r="P47" s="1432" t="str">
        <f>M49</f>
        <v>Impiantistica dell'edificio</v>
      </c>
      <c r="Q47" s="1433">
        <f>MINERGIE!Z50</f>
        <v>0</v>
      </c>
      <c r="R47" s="1433">
        <f>N49</f>
        <v>0</v>
      </c>
      <c r="S47" s="1432">
        <v>0</v>
      </c>
      <c r="T47" s="1432"/>
      <c r="U47" s="853"/>
      <c r="V47" s="853"/>
      <c r="W47" s="1682"/>
    </row>
    <row r="48" spans="1:23" s="5" customFormat="1" ht="20.100000000000001" customHeight="1">
      <c r="A48" s="1697" t="s">
        <v>3104</v>
      </c>
      <c r="B48" s="1391"/>
      <c r="C48" s="1392"/>
      <c r="D48" s="148"/>
      <c r="E48" s="148"/>
      <c r="F48" s="148"/>
      <c r="G48" s="148"/>
      <c r="H48" s="148"/>
      <c r="I48" s="148"/>
      <c r="J48" s="148"/>
      <c r="K48" s="1551">
        <f>N44</f>
        <v>0</v>
      </c>
      <c r="L48" s="853"/>
      <c r="M48" s="1432" t="str">
        <f>Uebersetzung!D439</f>
        <v>Apparecchi</v>
      </c>
      <c r="N48" s="1433">
        <f>MINERGIE!S59</f>
        <v>0</v>
      </c>
      <c r="O48" s="1432" t="s">
        <v>525</v>
      </c>
      <c r="P48" s="1679" t="s">
        <v>2813</v>
      </c>
      <c r="Q48" s="1433">
        <f>MINERGIE!Z46*N38</f>
        <v>0</v>
      </c>
      <c r="R48" s="1432">
        <v>0</v>
      </c>
      <c r="S48" s="1432">
        <v>0</v>
      </c>
      <c r="T48" s="1432"/>
      <c r="U48" s="853"/>
      <c r="V48" s="853"/>
      <c r="W48" s="1682"/>
    </row>
    <row r="49" spans="1:23" s="5" customFormat="1" ht="20.100000000000001" customHeight="1">
      <c r="A49" s="1721"/>
      <c r="B49" s="1200"/>
      <c r="C49" s="148"/>
      <c r="D49" s="148"/>
      <c r="E49" s="148"/>
      <c r="F49" s="148"/>
      <c r="G49" s="148"/>
      <c r="H49" s="148"/>
      <c r="I49" s="148"/>
      <c r="J49" s="148"/>
      <c r="K49" s="1550" t="str">
        <f>Uebersetzung!D479&amp;" "&amp;Uebersetzung!D482</f>
        <v>IM VC</v>
      </c>
      <c r="L49" s="853"/>
      <c r="M49" s="1432" t="str">
        <f>Uebersetzung!D440</f>
        <v>Impiantistica dell'edificio</v>
      </c>
      <c r="N49" s="1433">
        <f>MINERGIE!S68</f>
        <v>0</v>
      </c>
      <c r="O49" s="1432" t="s">
        <v>525</v>
      </c>
      <c r="P49" s="1432"/>
      <c r="Q49" s="1433">
        <v>0</v>
      </c>
      <c r="R49" s="1432"/>
      <c r="S49" s="1432"/>
      <c r="T49" s="1432"/>
      <c r="U49" s="853"/>
      <c r="V49" s="853"/>
      <c r="W49" s="1682"/>
    </row>
    <row r="50" spans="1:23" s="5" customFormat="1" ht="20.100000000000001" customHeight="1">
      <c r="A50" s="1699" t="s">
        <v>3105</v>
      </c>
      <c r="B50" s="1200"/>
      <c r="C50" s="148"/>
      <c r="D50" s="148"/>
      <c r="E50" s="148"/>
      <c r="F50" s="148"/>
      <c r="G50" s="148"/>
      <c r="H50" s="148"/>
      <c r="I50" s="148"/>
      <c r="J50" s="148"/>
      <c r="K50" s="1551">
        <f>N45</f>
        <v>0</v>
      </c>
      <c r="L50" s="853"/>
      <c r="M50" s="1432" t="s">
        <v>692</v>
      </c>
      <c r="N50" s="1433">
        <f>SUM(N43:N49)</f>
        <v>0</v>
      </c>
      <c r="O50" s="1432" t="s">
        <v>525</v>
      </c>
      <c r="P50" s="1432"/>
      <c r="Q50" s="1433">
        <v>0</v>
      </c>
      <c r="R50" s="1432">
        <v>0</v>
      </c>
      <c r="S50" s="1432">
        <v>0</v>
      </c>
      <c r="T50" s="1432"/>
      <c r="U50" s="853"/>
      <c r="V50" s="853"/>
      <c r="W50" s="1682"/>
    </row>
    <row r="51" spans="1:23" s="5" customFormat="1" ht="20.100000000000001" customHeight="1">
      <c r="A51" s="1699"/>
      <c r="B51" s="1200"/>
      <c r="C51" s="148"/>
      <c r="D51" s="148"/>
      <c r="E51" s="148"/>
      <c r="F51" s="148"/>
      <c r="G51" s="148"/>
      <c r="H51" s="148"/>
      <c r="I51" s="148"/>
      <c r="J51" s="148"/>
      <c r="K51" s="1689" t="str">
        <f>Uebersetzung!D479&amp;" "&amp;Uebersetzung!D483</f>
        <v>IM el,resid</v>
      </c>
      <c r="L51" s="853"/>
      <c r="M51" s="1432" t="str">
        <f>Uebersetzung!D441</f>
        <v>Fabbisogno d'energia finale</v>
      </c>
      <c r="N51" s="1433"/>
      <c r="O51" s="1432"/>
      <c r="P51" s="1680"/>
      <c r="Q51" s="853"/>
      <c r="R51" s="1432">
        <v>0</v>
      </c>
      <c r="S51" s="1432">
        <v>0</v>
      </c>
      <c r="T51" s="1432"/>
      <c r="U51" s="853"/>
      <c r="V51" s="853"/>
      <c r="W51" s="1682"/>
    </row>
    <row r="52" spans="1:23" s="5" customFormat="1" ht="20.100000000000001" customHeight="1">
      <c r="A52" s="1699" t="s">
        <v>3106</v>
      </c>
      <c r="B52" s="1200"/>
      <c r="C52" s="937"/>
      <c r="D52" s="148"/>
      <c r="E52" s="148"/>
      <c r="F52" s="148"/>
      <c r="G52" s="148"/>
      <c r="H52" s="148"/>
      <c r="I52" s="148"/>
      <c r="J52" s="148"/>
      <c r="K52" s="1551">
        <f>N46</f>
        <v>0</v>
      </c>
      <c r="L52" s="853"/>
      <c r="M52" s="1432" t="str">
        <f>Uebersetzung!D442</f>
        <v>Indice Minergie</v>
      </c>
      <c r="N52" s="1433">
        <f>H30</f>
        <v>0</v>
      </c>
      <c r="O52" s="1432" t="s">
        <v>525</v>
      </c>
      <c r="P52" s="1680"/>
      <c r="Q52" s="853"/>
      <c r="R52" s="1432">
        <v>0</v>
      </c>
      <c r="S52" s="1432">
        <v>0</v>
      </c>
      <c r="T52" s="1432"/>
      <c r="U52" s="853"/>
      <c r="V52" s="853"/>
      <c r="W52" s="1682"/>
    </row>
    <row r="53" spans="1:23" s="5" customFormat="1" ht="20.100000000000001" customHeight="1">
      <c r="A53" s="1700"/>
      <c r="B53" s="1200"/>
      <c r="C53" s="937"/>
      <c r="D53" s="937"/>
      <c r="E53" s="937"/>
      <c r="F53" s="937"/>
      <c r="G53" s="937"/>
      <c r="H53" s="937"/>
      <c r="I53" s="937"/>
      <c r="J53" s="937"/>
      <c r="K53" s="1550" t="str">
        <f>Uebersetzung!D479&amp;" "&amp;Uebersetzung!D484</f>
        <v>IM Ill</v>
      </c>
      <c r="L53" s="940"/>
      <c r="M53" s="1432" t="str">
        <f>Uebersetzung!D444</f>
        <v>Autoconsumo PV</v>
      </c>
      <c r="N53" s="1433">
        <f>MINERGIE!S71</f>
        <v>0</v>
      </c>
      <c r="O53" s="1432" t="s">
        <v>525</v>
      </c>
      <c r="P53" s="853"/>
      <c r="Q53" s="853"/>
      <c r="R53" s="1432">
        <v>0</v>
      </c>
      <c r="S53" s="1432">
        <v>0</v>
      </c>
      <c r="T53" s="1432"/>
      <c r="U53" s="853"/>
      <c r="V53" s="853"/>
      <c r="W53" s="1682"/>
    </row>
    <row r="54" spans="1:23" s="5" customFormat="1" ht="20.100000000000001" customHeight="1">
      <c r="A54" s="1697" t="s">
        <v>3107</v>
      </c>
      <c r="B54" s="1391"/>
      <c r="C54" s="937"/>
      <c r="D54" s="937"/>
      <c r="E54" s="937"/>
      <c r="F54" s="937"/>
      <c r="G54" s="937"/>
      <c r="H54" s="937"/>
      <c r="I54" s="937"/>
      <c r="J54" s="937"/>
      <c r="K54" s="1551">
        <f>N47</f>
        <v>0</v>
      </c>
      <c r="L54" s="940"/>
      <c r="M54" s="1432" t="str">
        <f>Uebersetzung!D445</f>
        <v>Quota di PV immessa in rete</v>
      </c>
      <c r="N54" s="1681">
        <f>MINERGIE!S72</f>
        <v>0</v>
      </c>
      <c r="O54" s="1432" t="s">
        <v>525</v>
      </c>
      <c r="P54" s="1680"/>
      <c r="Q54" s="853"/>
      <c r="R54" s="1432">
        <v>0</v>
      </c>
      <c r="S54" s="1432">
        <v>0</v>
      </c>
      <c r="T54" s="1432"/>
      <c r="U54" s="853"/>
      <c r="V54" s="853"/>
      <c r="W54" s="1682"/>
    </row>
    <row r="55" spans="1:23" s="5" customFormat="1" ht="20.100000000000001" customHeight="1">
      <c r="A55" s="1696"/>
      <c r="B55" s="1391"/>
      <c r="C55" s="1393"/>
      <c r="D55" s="1209"/>
      <c r="E55" s="148"/>
      <c r="F55" s="148"/>
      <c r="G55" s="148"/>
      <c r="H55" s="148"/>
      <c r="I55" s="148"/>
      <c r="J55" s="148"/>
      <c r="K55" s="1550" t="str">
        <f>Uebersetzung!D479&amp;" "&amp;Uebersetzung!D485</f>
        <v>IM app</v>
      </c>
      <c r="L55" s="852"/>
      <c r="M55" s="1650" t="s">
        <v>692</v>
      </c>
      <c r="N55" s="1652">
        <f>SUM(N52:N54)</f>
        <v>0</v>
      </c>
      <c r="O55" s="1432" t="s">
        <v>525</v>
      </c>
      <c r="P55" s="1432"/>
      <c r="Q55" s="1433" t="e">
        <f>SUM(Q37:Q53)</f>
        <v>#DIV/0!</v>
      </c>
      <c r="R55" s="1433">
        <f>SUM(R30:R54)</f>
        <v>0</v>
      </c>
      <c r="S55" s="1433">
        <f>SUM(S37:S40)</f>
        <v>0</v>
      </c>
      <c r="T55" s="1433">
        <f>S55</f>
        <v>0</v>
      </c>
      <c r="U55" s="853"/>
      <c r="V55" s="853"/>
      <c r="W55" s="1682"/>
    </row>
    <row r="56" spans="1:23" s="5" customFormat="1" ht="20.100000000000001" customHeight="1">
      <c r="A56" s="1696" t="s">
        <v>3108</v>
      </c>
      <c r="B56" s="1391"/>
      <c r="C56" s="1392"/>
      <c r="D56" s="1209"/>
      <c r="E56" s="148"/>
      <c r="F56" s="148"/>
      <c r="G56" s="148"/>
      <c r="H56" s="148"/>
      <c r="I56" s="148"/>
      <c r="J56" s="148"/>
      <c r="K56" s="1551">
        <f>N48</f>
        <v>0</v>
      </c>
      <c r="L56" s="853"/>
      <c r="M56" s="1432" t="str">
        <f>Uebersetzung!D473</f>
        <v>PV non computabile</v>
      </c>
      <c r="N56" s="1433">
        <f>N54/4*6</f>
        <v>0</v>
      </c>
      <c r="O56" s="1432" t="s">
        <v>525</v>
      </c>
      <c r="P56" s="1432"/>
      <c r="Q56" s="1433">
        <v>1</v>
      </c>
      <c r="R56" s="1432">
        <v>3</v>
      </c>
      <c r="S56" s="1432">
        <v>1</v>
      </c>
      <c r="T56" s="1432">
        <v>3</v>
      </c>
      <c r="U56" s="853"/>
      <c r="V56" s="853"/>
      <c r="W56" s="1682"/>
    </row>
    <row r="57" spans="1:23" s="5" customFormat="1" ht="17.25" customHeight="1">
      <c r="A57" s="1697"/>
      <c r="B57" s="1391"/>
      <c r="C57" s="1394"/>
      <c r="D57" s="1395"/>
      <c r="E57" s="148"/>
      <c r="F57" s="148"/>
      <c r="G57" s="148"/>
      <c r="H57" s="148"/>
      <c r="I57" s="148"/>
      <c r="J57" s="148"/>
      <c r="K57" s="1550" t="str">
        <f>Uebersetzung!D479&amp;" "&amp;Uebersetzung!D486</f>
        <v>IM Imp</v>
      </c>
      <c r="L57" s="853"/>
      <c r="M57" s="1432"/>
      <c r="N57" s="1432"/>
      <c r="O57" s="1432"/>
      <c r="P57" s="1432"/>
      <c r="Q57" s="1432"/>
      <c r="R57" s="1432"/>
      <c r="S57" s="1432"/>
      <c r="T57" s="1432"/>
      <c r="U57" s="853"/>
      <c r="V57" s="853"/>
      <c r="W57" s="1682"/>
    </row>
    <row r="58" spans="1:23" s="5" customFormat="1" ht="17.25" customHeight="1">
      <c r="A58" s="1697" t="s">
        <v>3109</v>
      </c>
      <c r="B58" s="1391"/>
      <c r="C58" s="1394"/>
      <c r="D58" s="1209"/>
      <c r="E58" s="148"/>
      <c r="F58" s="148"/>
      <c r="G58" s="148"/>
      <c r="H58" s="148"/>
      <c r="I58" s="148"/>
      <c r="J58" s="148"/>
      <c r="K58" s="1551">
        <f>N49</f>
        <v>0</v>
      </c>
      <c r="L58" s="853"/>
      <c r="M58" s="1432" t="str">
        <f>Uebersetzung!D447</f>
        <v>Potenziale d'ottimizzazione</v>
      </c>
      <c r="N58" s="1433">
        <f>H30-F30</f>
        <v>0</v>
      </c>
      <c r="O58" s="1432" t="s">
        <v>525</v>
      </c>
      <c r="P58" s="1432"/>
      <c r="Q58" s="1433"/>
      <c r="R58" s="1432"/>
      <c r="S58" s="1432"/>
      <c r="T58" s="1432"/>
      <c r="U58" s="853"/>
      <c r="V58" s="853"/>
      <c r="W58" s="1682"/>
    </row>
    <row r="59" spans="1:23" s="5" customFormat="1" ht="17.25" customHeight="1">
      <c r="A59" s="1697"/>
      <c r="B59" s="1391"/>
      <c r="C59" s="1394"/>
      <c r="D59" s="1209"/>
      <c r="E59" s="148"/>
      <c r="F59" s="148"/>
      <c r="G59" s="148"/>
      <c r="H59" s="148"/>
      <c r="I59" s="148"/>
      <c r="J59" s="148"/>
      <c r="K59" s="1550" t="str">
        <f>"E "&amp;Uebersetzung!D487</f>
        <v>E cp</v>
      </c>
      <c r="L59" s="853"/>
      <c r="M59" s="1432"/>
      <c r="N59" s="1432"/>
      <c r="O59" s="1432"/>
      <c r="P59" s="1432"/>
      <c r="Q59" s="1433"/>
      <c r="R59" s="1432"/>
      <c r="S59" s="1432">
        <v>1</v>
      </c>
      <c r="T59" s="1432">
        <v>3</v>
      </c>
      <c r="U59" s="853"/>
      <c r="V59" s="853"/>
      <c r="W59" s="1682"/>
    </row>
    <row r="60" spans="1:23" s="5" customFormat="1" ht="17.25" customHeight="1">
      <c r="A60" s="1697" t="s">
        <v>3110</v>
      </c>
      <c r="B60" s="1391"/>
      <c r="C60" s="1394" t="b">
        <v>0</v>
      </c>
      <c r="D60" s="1209"/>
      <c r="E60" s="148"/>
      <c r="F60" s="148"/>
      <c r="G60" s="148"/>
      <c r="H60" s="148"/>
      <c r="I60" s="148"/>
      <c r="J60" s="148"/>
      <c r="K60" s="1551">
        <f>N53</f>
        <v>0</v>
      </c>
      <c r="L60" s="853"/>
      <c r="M60" s="1432" t="str">
        <f>M52</f>
        <v>Indice Minergie</v>
      </c>
      <c r="N60" s="1428">
        <f>H30</f>
        <v>0</v>
      </c>
      <c r="O60" s="1432" t="s">
        <v>525</v>
      </c>
      <c r="P60" s="1432"/>
      <c r="Q60" s="853"/>
      <c r="R60" s="853"/>
      <c r="S60" s="1433">
        <f>N60</f>
        <v>0</v>
      </c>
      <c r="T60" s="1433">
        <f>S60</f>
        <v>0</v>
      </c>
      <c r="U60" s="853"/>
      <c r="V60" s="853"/>
      <c r="W60" s="1682"/>
    </row>
    <row r="61" spans="1:23" s="5" customFormat="1" ht="17.25" customHeight="1">
      <c r="A61" s="1697"/>
      <c r="B61" s="1391"/>
      <c r="C61" s="1394" t="b">
        <v>0</v>
      </c>
      <c r="D61" s="1209"/>
      <c r="E61" s="148"/>
      <c r="F61" s="148"/>
      <c r="G61" s="148"/>
      <c r="H61" s="148"/>
      <c r="I61" s="148"/>
      <c r="J61" s="148"/>
      <c r="K61" s="1550" t="str">
        <f>"E "&amp;Uebersetzung!D488</f>
        <v>E rete</v>
      </c>
      <c r="L61" s="853"/>
      <c r="M61" s="1432" t="str">
        <f>Uebersetzung!D450</f>
        <v>Fabbisogno massimo permesso</v>
      </c>
      <c r="N61" s="1433">
        <f>F30</f>
        <v>0</v>
      </c>
      <c r="O61" s="1432" t="s">
        <v>525</v>
      </c>
      <c r="P61" s="1432"/>
      <c r="Q61" s="853"/>
      <c r="R61" s="853"/>
      <c r="S61" s="1433">
        <f>N61</f>
        <v>0</v>
      </c>
      <c r="T61" s="1433">
        <f>S61</f>
        <v>0</v>
      </c>
      <c r="U61" s="853"/>
      <c r="V61" s="853"/>
      <c r="W61" s="1682"/>
    </row>
    <row r="62" spans="1:23" s="5" customFormat="1" ht="17.25" customHeight="1">
      <c r="A62" s="1697" t="s">
        <v>3111</v>
      </c>
      <c r="B62" s="1391"/>
      <c r="C62" s="1394" t="b">
        <v>1</v>
      </c>
      <c r="D62" s="1209"/>
      <c r="E62" s="148"/>
      <c r="F62" s="148"/>
      <c r="G62" s="148"/>
      <c r="H62" s="148"/>
      <c r="I62" s="148"/>
      <c r="J62" s="148"/>
      <c r="K62" s="1551">
        <f>N54</f>
        <v>0</v>
      </c>
      <c r="L62" s="1428"/>
      <c r="M62" s="1432" t="str">
        <f>Uebersetzung!D449</f>
        <v>Fabbisogno</v>
      </c>
      <c r="N62" s="1432"/>
      <c r="O62" s="1432"/>
      <c r="P62" s="1432"/>
      <c r="Q62" s="1433"/>
      <c r="R62" s="1432"/>
      <c r="S62" s="1432"/>
      <c r="T62" s="1432"/>
      <c r="U62" s="853"/>
      <c r="V62" s="853"/>
      <c r="W62" s="1682"/>
    </row>
    <row r="63" spans="1:23" s="5" customFormat="1" ht="17.25" customHeight="1">
      <c r="A63" s="1697" t="s">
        <v>3112</v>
      </c>
      <c r="B63" s="227"/>
      <c r="C63" s="1396"/>
      <c r="D63" s="1397"/>
      <c r="E63" s="156"/>
      <c r="F63" s="156"/>
      <c r="G63" s="156"/>
      <c r="H63" s="156"/>
      <c r="I63" s="156"/>
      <c r="J63" s="156"/>
      <c r="K63" s="1644" t="str">
        <f>Uebersetzung!D479&amp;" = "&amp;ROUND(N52,1)</f>
        <v>IM = 0</v>
      </c>
      <c r="L63" s="853"/>
      <c r="M63" s="1432" t="str">
        <f>Uebersetzung!D471</f>
        <v xml:space="preserve">   Produzione PV
 </v>
      </c>
      <c r="N63" s="1432"/>
      <c r="O63" s="1432"/>
      <c r="P63" s="1432"/>
      <c r="Q63" s="1432"/>
      <c r="R63" s="1432"/>
      <c r="S63" s="1432"/>
      <c r="T63" s="1432"/>
      <c r="U63" s="853"/>
      <c r="V63" s="853"/>
      <c r="W63" s="1682"/>
    </row>
    <row r="64" spans="1:23" s="5" customFormat="1" ht="17.25" hidden="1" customHeight="1">
      <c r="A64" s="1697" t="s">
        <v>116</v>
      </c>
      <c r="B64" s="1408" t="str">
        <f>IF(auswahl8&gt;0,INDEX(#REF!,9),"")</f>
        <v/>
      </c>
      <c r="C64" s="1409"/>
      <c r="D64" s="1092" t="str">
        <f>IF(auswahl8&gt;0,INDEX(#REF!,9),"")</f>
        <v/>
      </c>
      <c r="E64" s="1093"/>
      <c r="F64" s="1094"/>
      <c r="G64" s="1095" t="s">
        <v>310</v>
      </c>
      <c r="H64" s="1095" t="s">
        <v>311</v>
      </c>
      <c r="I64" s="1096">
        <f>IF(OR(minergiep,minergiea),IF(Neubau=2,"0.6 1/h",IF(Neubau=3,"1.5 1/h","0.6 (bzw. 1.5)")),)</f>
        <v>0</v>
      </c>
      <c r="J64" s="1410"/>
      <c r="K64" s="1411"/>
      <c r="L64" s="852"/>
      <c r="M64" s="1650" t="b">
        <v>0</v>
      </c>
      <c r="N64" s="1432"/>
      <c r="O64" s="1432"/>
      <c r="P64" s="1432"/>
      <c r="Q64" s="1432"/>
      <c r="R64" s="1432"/>
      <c r="S64" s="1432"/>
      <c r="T64" s="1432"/>
      <c r="U64" s="853"/>
      <c r="V64" s="853"/>
      <c r="W64" s="1682"/>
    </row>
    <row r="65" spans="1:23" s="530" customFormat="1">
      <c r="A65" s="1699"/>
      <c r="B65" s="1412">
        <f ca="1">NOW()</f>
        <v>43132.781938657405</v>
      </c>
      <c r="C65" s="5"/>
      <c r="D65" s="5"/>
      <c r="E65" s="5"/>
      <c r="F65" s="5"/>
      <c r="G65" s="5"/>
      <c r="H65" s="5"/>
      <c r="I65" s="5"/>
      <c r="J65" s="5"/>
      <c r="K65" s="824" t="str">
        <f>Dati!K47</f>
        <v xml:space="preserve"> /  /  /  /  /  / </v>
      </c>
      <c r="L65" s="1429"/>
      <c r="M65" s="1432" t="str">
        <f>Uebersetzung!D472</f>
        <v xml:space="preserve">           Valore oggetto
 </v>
      </c>
      <c r="N65" s="1654"/>
      <c r="O65" s="1654"/>
      <c r="P65" s="1654"/>
      <c r="Q65" s="1654"/>
      <c r="R65" s="1654"/>
      <c r="S65" s="1654"/>
      <c r="T65" s="1654"/>
      <c r="U65" s="1430"/>
      <c r="V65" s="1430"/>
      <c r="W65" s="1684"/>
    </row>
    <row r="66" spans="1:23" s="530" customFormat="1">
      <c r="A66" s="1699"/>
      <c r="F66" s="1358"/>
      <c r="G66" s="1358"/>
      <c r="H66" s="1358"/>
      <c r="I66" s="1787"/>
      <c r="L66" s="1429"/>
      <c r="M66" s="1655"/>
      <c r="N66" s="1654"/>
      <c r="O66" s="1654"/>
      <c r="P66" s="1654"/>
      <c r="Q66" s="1654"/>
      <c r="R66" s="1654"/>
      <c r="S66" s="1654"/>
      <c r="T66" s="1654"/>
      <c r="U66" s="1430"/>
      <c r="V66" s="1430"/>
      <c r="W66" s="1684"/>
    </row>
    <row r="67" spans="1:23">
      <c r="K67" s="1785"/>
      <c r="M67" s="1656" t="str">
        <f>Uebersetzung!D477</f>
        <v xml:space="preserve">                                            E rvcac,li +
                            Fabbisogno elettrico standard
  </v>
      </c>
    </row>
  </sheetData>
  <sheetProtection password="C616" sheet="1" objects="1" scenarios="1"/>
  <mergeCells count="31">
    <mergeCell ref="F38:G38"/>
    <mergeCell ref="H38:I38"/>
    <mergeCell ref="F40:G40"/>
    <mergeCell ref="H40:I40"/>
    <mergeCell ref="G2:K2"/>
    <mergeCell ref="G3:K3"/>
    <mergeCell ref="D18:F18"/>
    <mergeCell ref="H18:I18"/>
    <mergeCell ref="C22:K22"/>
    <mergeCell ref="C21:F21"/>
    <mergeCell ref="F29:G29"/>
    <mergeCell ref="H29:I29"/>
    <mergeCell ref="F30:G30"/>
    <mergeCell ref="H30:I30"/>
    <mergeCell ref="F31:G31"/>
    <mergeCell ref="B45:D47"/>
    <mergeCell ref="H45:I46"/>
    <mergeCell ref="E45:G46"/>
    <mergeCell ref="H42:I42"/>
    <mergeCell ref="H31:I31"/>
    <mergeCell ref="B40:D40"/>
    <mergeCell ref="B43:D43"/>
    <mergeCell ref="F36:G36"/>
    <mergeCell ref="H36:I36"/>
    <mergeCell ref="F37:G37"/>
    <mergeCell ref="H37:I37"/>
    <mergeCell ref="F39:G39"/>
    <mergeCell ref="F43:G43"/>
    <mergeCell ref="H43:I43"/>
    <mergeCell ref="F42:G42"/>
    <mergeCell ref="H39:I39"/>
  </mergeCells>
  <conditionalFormatting sqref="J64">
    <cfRule type="expression" dxfId="23" priority="27" stopIfTrue="1">
      <formula>minergiep=TRUE</formula>
    </cfRule>
  </conditionalFormatting>
  <conditionalFormatting sqref="G64:H64">
    <cfRule type="expression" dxfId="22" priority="28" stopIfTrue="1">
      <formula>$B$64&lt;&gt;""</formula>
    </cfRule>
  </conditionalFormatting>
  <conditionalFormatting sqref="F30:K31">
    <cfRule type="expression" dxfId="21" priority="25">
      <formula>MUKEN=TRUE</formula>
    </cfRule>
  </conditionalFormatting>
  <conditionalFormatting sqref="B43 H43 J43 E43:F43">
    <cfRule type="expression" dxfId="20" priority="23">
      <formula>minergiea=FALSE</formula>
    </cfRule>
  </conditionalFormatting>
  <conditionalFormatting sqref="B42:K42">
    <cfRule type="expression" dxfId="19" priority="20">
      <formula>minergiea=FALSE</formula>
    </cfRule>
    <cfRule type="expression" dxfId="18" priority="22">
      <formula>minergiea</formula>
    </cfRule>
  </conditionalFormatting>
  <conditionalFormatting sqref="K30">
    <cfRule type="expression" dxfId="17" priority="18">
      <formula>$L$30=2</formula>
    </cfRule>
    <cfRule type="expression" dxfId="16" priority="19">
      <formula>$L$30=1</formula>
    </cfRule>
  </conditionalFormatting>
  <conditionalFormatting sqref="K37">
    <cfRule type="expression" dxfId="15" priority="9">
      <formula>$L$37=2</formula>
    </cfRule>
    <cfRule type="expression" dxfId="14" priority="17">
      <formula>$L$37=1</formula>
    </cfRule>
  </conditionalFormatting>
  <conditionalFormatting sqref="K38">
    <cfRule type="expression" dxfId="13" priority="8">
      <formula>$L$38=2</formula>
    </cfRule>
    <cfRule type="expression" dxfId="12" priority="16">
      <formula>$L$38=1</formula>
    </cfRule>
  </conditionalFormatting>
  <conditionalFormatting sqref="K40">
    <cfRule type="expression" dxfId="11" priority="7">
      <formula>$L$40=2</formula>
    </cfRule>
    <cfRule type="expression" dxfId="10" priority="15">
      <formula>$L$40=1</formula>
    </cfRule>
  </conditionalFormatting>
  <conditionalFormatting sqref="K39">
    <cfRule type="expression" dxfId="9" priority="6">
      <formula>$L$39=2</formula>
    </cfRule>
    <cfRule type="expression" dxfId="8" priority="14">
      <formula>$L$39=1</formula>
    </cfRule>
  </conditionalFormatting>
  <conditionalFormatting sqref="K41">
    <cfRule type="expression" dxfId="7" priority="5">
      <formula>$L$41=2</formula>
    </cfRule>
    <cfRule type="expression" dxfId="6" priority="13">
      <formula>$L$41=1</formula>
    </cfRule>
  </conditionalFormatting>
  <conditionalFormatting sqref="K42">
    <cfRule type="expression" dxfId="5" priority="10">
      <formula>$L$42=2</formula>
    </cfRule>
    <cfRule type="expression" dxfId="4" priority="12">
      <formula>$L$42=1</formula>
    </cfRule>
  </conditionalFormatting>
  <conditionalFormatting sqref="K43">
    <cfRule type="expression" dxfId="3" priority="2">
      <formula>minergiea=FALSE</formula>
    </cfRule>
    <cfRule type="expression" dxfId="2" priority="3">
      <formula>$L$43=2</formula>
    </cfRule>
    <cfRule type="expression" dxfId="1" priority="4">
      <formula>$L$43=1</formula>
    </cfRule>
  </conditionalFormatting>
  <conditionalFormatting sqref="A43">
    <cfRule type="expression" dxfId="0" priority="1">
      <formula>minergiea=FALSE</formula>
    </cfRule>
  </conditionalFormatting>
  <pageMargins left="0.55118110236220474" right="0.39370078740157483" top="0.31496062992125984" bottom="0.31496062992125984" header="0.31496062992125984" footer="0.31496062992125984"/>
  <pageSetup paperSize="9" scale="8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CQ197"/>
  <sheetViews>
    <sheetView zoomScaleNormal="100" workbookViewId="0"/>
  </sheetViews>
  <sheetFormatPr baseColWidth="10" defaultColWidth="11.44140625" defaultRowHeight="13.2"/>
  <cols>
    <col min="1" max="1" width="19.33203125" style="27" customWidth="1"/>
    <col min="2" max="2" width="14.33203125" style="27" customWidth="1"/>
    <col min="3" max="7" width="11.44140625" style="27" customWidth="1"/>
    <col min="8" max="8" width="6.33203125" style="27" customWidth="1"/>
    <col min="9" max="9" width="11.44140625" style="27" customWidth="1"/>
    <col min="10" max="10" width="17.109375" style="27" customWidth="1"/>
    <col min="11" max="12" width="10.6640625" style="27" customWidth="1"/>
    <col min="13" max="13" width="17.44140625" style="27" customWidth="1"/>
    <col min="14" max="14" width="10.6640625" style="27" customWidth="1"/>
    <col min="15" max="15" width="13.33203125" style="27" customWidth="1"/>
    <col min="16" max="16" width="13" style="27" customWidth="1"/>
    <col min="17" max="17" width="11.6640625" style="27" customWidth="1"/>
    <col min="18" max="18" width="11.6640625" style="161" customWidth="1"/>
    <col min="19" max="19" width="10.44140625" style="161" customWidth="1"/>
    <col min="20" max="20" width="40.109375" style="161" customWidth="1"/>
    <col min="21" max="21" width="30.33203125" style="161" customWidth="1"/>
    <col min="22" max="22" width="36.6640625" style="161" customWidth="1"/>
    <col min="23" max="23" width="52.88671875" style="27" customWidth="1"/>
    <col min="24" max="26" width="10.6640625" style="27" customWidth="1"/>
    <col min="27" max="27" width="12.6640625" style="27" customWidth="1"/>
    <col min="28" max="29" width="14.88671875" style="27" customWidth="1"/>
    <col min="30" max="30" width="12.6640625" style="27" customWidth="1"/>
    <col min="31" max="31" width="27.6640625" style="27" customWidth="1"/>
    <col min="32" max="32" width="34.44140625" style="27" customWidth="1"/>
    <col min="33" max="33" width="15.109375" style="27" customWidth="1"/>
    <col min="34" max="35" width="10" style="27" customWidth="1"/>
    <col min="36" max="36" width="12.44140625" style="27" customWidth="1"/>
    <col min="37" max="41" width="4.6640625" style="27" customWidth="1"/>
    <col min="42" max="42" width="6.6640625" style="27" customWidth="1"/>
    <col min="43" max="43" width="4.6640625" style="27" customWidth="1"/>
    <col min="44" max="44" width="5.44140625" style="27" customWidth="1"/>
    <col min="45" max="45" width="6.6640625" style="27" customWidth="1"/>
    <col min="46" max="46" width="6.33203125" style="27" customWidth="1"/>
    <col min="47" max="47" width="8.6640625" style="27" customWidth="1"/>
    <col min="48" max="51" width="11.44140625" style="27" customWidth="1"/>
    <col min="52" max="52" width="11.6640625" style="27" customWidth="1"/>
    <col min="53" max="53" width="38.88671875" style="27" customWidth="1"/>
    <col min="54" max="54" width="4" style="27" customWidth="1"/>
    <col min="55" max="55" width="25" style="27" customWidth="1"/>
    <col min="56" max="56" width="19.6640625" style="27" customWidth="1"/>
    <col min="57" max="57" width="3" style="27" customWidth="1"/>
    <col min="58" max="60" width="11.44140625" style="27" customWidth="1"/>
    <col min="61" max="61" width="13.109375" style="27" customWidth="1"/>
    <col min="62" max="62" width="16.6640625" style="27" customWidth="1"/>
    <col min="63" max="63" width="4.6640625" style="27" customWidth="1"/>
    <col min="64" max="65" width="11.44140625" style="27" customWidth="1"/>
    <col min="66" max="66" width="11.88671875" style="27" bestFit="1" customWidth="1"/>
    <col min="67" max="67" width="11" style="27" customWidth="1"/>
    <col min="68" max="68" width="9.6640625" style="27" customWidth="1"/>
    <col min="69" max="16384" width="11.44140625" style="27"/>
  </cols>
  <sheetData>
    <row r="1" spans="1:57" ht="15.6">
      <c r="P1" s="27" t="s">
        <v>217</v>
      </c>
      <c r="Q1" s="27" t="b">
        <f>OR(AND(Zonen=1,Kategorie1=13),AND(Zonen=2,Kategorie1=13,Kategorie2=13),AND(Zonen=3,Kategorie1=13,Kategorie2=13,Kategorie3=13),AND(Zonen=4,Kategorie1=13,Kategorie2=13,Kategorie3=13,Kategorie4=13))</f>
        <v>0</v>
      </c>
      <c r="R1" s="161" t="s">
        <v>715</v>
      </c>
      <c r="S1" s="161" t="b">
        <f>OR(Kategorie1=4,Kategorie2=4,Kategorie3=4,Kategorie4=4)</f>
        <v>0</v>
      </c>
      <c r="Z1" s="109" t="str">
        <f>Dati!K1</f>
        <v>Formulario EN101b, v2.02, da utilizzare fino al 31.12.2018</v>
      </c>
      <c r="AD1" s="42"/>
      <c r="BC1" s="276" t="s">
        <v>20</v>
      </c>
    </row>
    <row r="2" spans="1:57" ht="15.6">
      <c r="A2" s="276" t="s">
        <v>683</v>
      </c>
      <c r="I2" s="276" t="s">
        <v>685</v>
      </c>
      <c r="M2" s="371" t="s">
        <v>192</v>
      </c>
      <c r="N2" s="372">
        <f>IF(EBF&gt;0,(_qhs1*_EBF1+_qhs2*_EBF2+_qhs3*_EBF3+_qhs4*_EBF4)/EBF,0)</f>
        <v>0</v>
      </c>
      <c r="O2" s="327" t="s">
        <v>191</v>
      </c>
      <c r="R2" s="161" t="s">
        <v>713</v>
      </c>
      <c r="S2" s="161" t="b">
        <f>OR(Kategorie1=5,Kategorie2=5,Kategorie3=5,Kategorie4=5)</f>
        <v>0</v>
      </c>
      <c r="U2" s="778" t="s">
        <v>1231</v>
      </c>
      <c r="AE2" s="276" t="s">
        <v>684</v>
      </c>
    </row>
    <row r="3" spans="1:57">
      <c r="B3" s="161"/>
      <c r="I3" s="42"/>
      <c r="J3" s="42"/>
      <c r="K3" s="42"/>
      <c r="L3" s="42"/>
      <c r="M3" s="374" t="s">
        <v>193</v>
      </c>
      <c r="N3" s="375">
        <f>IF(AND(Zonen&lt;&gt;1,Zonen&lt;&gt;2,Zonen&lt;&gt;3,Zonen&lt;&gt;4),0,1)</f>
        <v>0</v>
      </c>
      <c r="O3" s="42" t="s">
        <v>194</v>
      </c>
      <c r="P3" s="42"/>
      <c r="Q3" s="42"/>
      <c r="R3" s="85" t="s">
        <v>714</v>
      </c>
      <c r="S3" s="161" t="b">
        <f>OR(Kategorie1=6,Kategorie2=6,Kategorie3=6,Kategorie4=6)</f>
        <v>0</v>
      </c>
      <c r="U3" s="1044">
        <f>IF(MUKEN,0.15,0.15)</f>
        <v>0.15</v>
      </c>
      <c r="BB3" s="312"/>
      <c r="BC3" s="63" t="s">
        <v>21</v>
      </c>
      <c r="BD3" s="64" t="s">
        <v>264</v>
      </c>
    </row>
    <row r="4" spans="1:57" ht="19.649999999999999" customHeight="1">
      <c r="A4" s="54" t="s">
        <v>720</v>
      </c>
      <c r="B4" s="514">
        <f>IF(Dati!$I$14="",1,VLOOKUP(Dati!$I$14,Standardwerte!$A$7:$G$47,7,FALSE))</f>
        <v>1</v>
      </c>
      <c r="C4" s="77" t="str">
        <f>IF(Klima&gt;0,INDEX(A7:A47,Klima,1),)</f>
        <v xml:space="preserve"> </v>
      </c>
      <c r="D4" s="78" t="str">
        <f>IF(Klima&gt;0,INDEX(E7:E47,Klima,1),)</f>
        <v xml:space="preserve"> </v>
      </c>
      <c r="E4" s="79" t="s">
        <v>251</v>
      </c>
      <c r="F4" s="561" t="str">
        <f>IF(Klima&gt;0,INDEX(F7:F47,Klima,1),)</f>
        <v xml:space="preserve"> </v>
      </c>
      <c r="I4" s="401" t="s">
        <v>633</v>
      </c>
      <c r="J4" s="263" t="s">
        <v>636</v>
      </c>
      <c r="K4" s="173" t="str">
        <f>IF(Kategorie1&lt;2,"",INDEX(I9:I21,Kategorie1,1))</f>
        <v/>
      </c>
      <c r="L4" s="263" t="s">
        <v>637</v>
      </c>
      <c r="M4" s="264" t="str">
        <f>IF(Kategorie2&lt;2,"",INDEX(I9:I21,Kategorie2,1))</f>
        <v/>
      </c>
      <c r="N4" s="263" t="s">
        <v>638</v>
      </c>
      <c r="O4" s="264" t="str">
        <f>IF(Kategorie3&lt;2,"",INDEX(I9:I21,Kategorie3,1))</f>
        <v/>
      </c>
      <c r="P4" s="263" t="s">
        <v>639</v>
      </c>
      <c r="Q4" s="264" t="str">
        <f>IF(Kategorie4&lt;2,"",INDEX(I9:I21,Kategorie4,1))</f>
        <v/>
      </c>
      <c r="R4" s="299" t="s">
        <v>178</v>
      </c>
      <c r="S4" s="299" t="b">
        <f>IF(OR(Kategorie2&gt;1,Kategorie3&gt;1,Kategorie4&gt;1),IF(OR(Kategorie1=13,Kategorie2=13,Kategorie3=13,Kategorie4=13),IF(OR(AND(Kategorie1&gt;1,Kategorie1&lt;13),AND(Kategorie2&gt;1,Kategorie2&lt;13),AND(Kategorie3&gt;1,Kategorie3&lt;13),AND(Kategorie4&gt;1,Kategorie4&lt;13)),TRUE,FALSE),FALSE),FALSE)</f>
        <v>0</v>
      </c>
      <c r="AE4" s="348" t="s">
        <v>653</v>
      </c>
      <c r="AF4" s="142" t="s">
        <v>698</v>
      </c>
      <c r="AG4" s="143">
        <v>1</v>
      </c>
      <c r="AH4" s="143">
        <v>2</v>
      </c>
      <c r="AI4" s="143">
        <v>3</v>
      </c>
      <c r="AJ4" s="143">
        <v>4</v>
      </c>
      <c r="AK4" s="143">
        <v>5</v>
      </c>
      <c r="AL4" s="143">
        <v>6</v>
      </c>
      <c r="AM4" s="143">
        <v>7</v>
      </c>
      <c r="AN4" s="143">
        <v>8</v>
      </c>
      <c r="AO4" s="143">
        <v>9</v>
      </c>
      <c r="AP4" s="143">
        <v>10</v>
      </c>
      <c r="AQ4" s="143">
        <v>11</v>
      </c>
      <c r="AR4" s="143">
        <v>12</v>
      </c>
      <c r="AS4" s="346">
        <v>13</v>
      </c>
      <c r="AT4" s="312"/>
      <c r="AU4" s="312"/>
      <c r="AV4" s="348" t="s">
        <v>699</v>
      </c>
      <c r="AW4" s="144" t="s">
        <v>699</v>
      </c>
      <c r="AX4" s="144" t="s">
        <v>699</v>
      </c>
      <c r="AY4" s="144" t="s">
        <v>699</v>
      </c>
      <c r="AZ4" s="144" t="s">
        <v>699</v>
      </c>
      <c r="BA4" s="108" t="s">
        <v>480</v>
      </c>
      <c r="BB4" s="313">
        <v>1</v>
      </c>
      <c r="BC4" s="282"/>
      <c r="BD4" s="303"/>
      <c r="BE4" s="313">
        <v>1</v>
      </c>
    </row>
    <row r="5" spans="1:57">
      <c r="A5" s="81" t="s">
        <v>232</v>
      </c>
      <c r="B5" s="82" t="s">
        <v>247</v>
      </c>
      <c r="C5" s="82" t="s">
        <v>248</v>
      </c>
      <c r="D5" s="83" t="s">
        <v>478</v>
      </c>
      <c r="E5" s="82" t="s">
        <v>249</v>
      </c>
      <c r="F5" s="84" t="s">
        <v>233</v>
      </c>
      <c r="I5" s="400"/>
      <c r="J5" s="320" t="s">
        <v>168</v>
      </c>
      <c r="K5" s="323">
        <f>IF(AND(Kategorie1=13,BadMisch),0,Dati!F19)</f>
        <v>0</v>
      </c>
      <c r="L5" s="320" t="s">
        <v>169</v>
      </c>
      <c r="M5" s="323">
        <f>IF(Zonen&gt;1,IF(AND(Kategorie2=13,BadMisch),0,Dati!G19),0)</f>
        <v>0</v>
      </c>
      <c r="N5" s="320" t="s">
        <v>170</v>
      </c>
      <c r="O5" s="323">
        <f>IF(Zonen&gt;2,IF(AND(Kategorie3=13,BadMisch),0,Dati!H19),0)</f>
        <v>0</v>
      </c>
      <c r="P5" s="320" t="s">
        <v>171</v>
      </c>
      <c r="Q5" s="323">
        <f>IF(Zonen&gt;3,IF(AND(Kategorie4=13,BadMisch),0,Dati!I19),0)</f>
        <v>0</v>
      </c>
      <c r="R5" s="324" t="s">
        <v>553</v>
      </c>
      <c r="S5" s="324" t="b">
        <f>IF(Warmwasser,IF(OR(IF(Kategorie1&gt;0,INDEX(S9:S21,Kategorie1,1)=FALSE,FALSE),IF(Kategorie2&gt;0,INDEX(S9:S21,Kategorie2,1)=FALSE,FALSE),IF(Kategorie3&gt;0,INDEX(S9:S21,Kategorie3,1)=FALSE,FALSE),IF(Kategorie4&gt;0,INDEX(S9:S21,Kategorie4,1)=FALSE,FALSE)),FALSE,TRUE),FALSE)</f>
        <v>0</v>
      </c>
      <c r="AE5" s="1450" t="str">
        <f>IF(auswahl2=1,INDEX(Standardwerte!$AF$5:$AF$13,3),"")</f>
        <v/>
      </c>
      <c r="AF5" s="1452"/>
      <c r="AG5" s="146"/>
      <c r="AH5" s="146" t="str">
        <f>INDEX($I$9:$I$21,AH4,1)</f>
        <v>Ab. plurif.</v>
      </c>
      <c r="AI5" s="146" t="str">
        <f t="shared" ref="AI5:AS5" si="0">INDEX($I$9:$I$21,AI4,1)</f>
        <v>Ab. monof.</v>
      </c>
      <c r="AJ5" s="146" t="str">
        <f t="shared" si="0"/>
        <v>Amministraz.</v>
      </c>
      <c r="AK5" s="146" t="str">
        <f t="shared" si="0"/>
        <v>Scuole</v>
      </c>
      <c r="AL5" s="146" t="str">
        <f t="shared" si="0"/>
        <v>Negozi</v>
      </c>
      <c r="AM5" s="146" t="str">
        <f t="shared" si="0"/>
        <v>Ristoranti</v>
      </c>
      <c r="AN5" s="146" t="str">
        <f t="shared" si="0"/>
        <v>Locali pubblici</v>
      </c>
      <c r="AO5" s="146" t="str">
        <f t="shared" si="0"/>
        <v>Ospedali</v>
      </c>
      <c r="AP5" s="146" t="str">
        <f t="shared" si="0"/>
        <v>Industrie</v>
      </c>
      <c r="AQ5" s="146" t="str">
        <f t="shared" si="0"/>
        <v>Magazzini</v>
      </c>
      <c r="AR5" s="146" t="str">
        <f t="shared" si="0"/>
        <v>Impianti sport.</v>
      </c>
      <c r="AS5" s="347" t="str">
        <f t="shared" si="0"/>
        <v>Piscine</v>
      </c>
      <c r="AT5" s="350" t="s">
        <v>651</v>
      </c>
      <c r="AU5" s="350" t="s">
        <v>652</v>
      </c>
      <c r="AV5" s="349" t="s">
        <v>556</v>
      </c>
      <c r="AW5" s="145" t="s">
        <v>557</v>
      </c>
      <c r="AX5" s="145" t="s">
        <v>234</v>
      </c>
      <c r="AY5" s="145" t="s">
        <v>235</v>
      </c>
      <c r="AZ5" s="145" t="s">
        <v>212</v>
      </c>
      <c r="BA5" s="548"/>
      <c r="BB5" s="89">
        <v>2</v>
      </c>
      <c r="BC5" s="557" t="str">
        <f t="shared" ref="BC5:BC32" si="1">A98</f>
        <v>Argovia</v>
      </c>
      <c r="BD5" s="311" t="b">
        <v>1</v>
      </c>
      <c r="BE5" s="89">
        <v>2</v>
      </c>
    </row>
    <row r="6" spans="1:57" ht="15" customHeight="1">
      <c r="A6" s="86"/>
      <c r="B6" s="82"/>
      <c r="C6" s="82" t="s">
        <v>250</v>
      </c>
      <c r="D6" s="83" t="s">
        <v>213</v>
      </c>
      <c r="E6" s="82" t="s">
        <v>251</v>
      </c>
      <c r="F6" s="87" t="s">
        <v>206</v>
      </c>
      <c r="G6" s="598"/>
      <c r="I6" s="352"/>
      <c r="J6" s="321" t="s">
        <v>172</v>
      </c>
      <c r="K6" s="322">
        <f>IF(AND(Kategorie1=13,BadMisch),0,Dati!F91)</f>
        <v>0</v>
      </c>
      <c r="L6" s="321" t="s">
        <v>173</v>
      </c>
      <c r="M6" s="322">
        <f>IF(Zonen&gt;1,IF(AND(Kategorie2=13,BadMisch),0,Dati!G91),0)</f>
        <v>0</v>
      </c>
      <c r="N6" s="321" t="s">
        <v>174</v>
      </c>
      <c r="O6" s="322">
        <f>IF(Zonen&gt;2,IF(AND(Kategorie3=13,BadMisch),0,Dati!H91),0)</f>
        <v>0</v>
      </c>
      <c r="P6" s="321" t="s">
        <v>175</v>
      </c>
      <c r="Q6" s="322">
        <f>IF(Zonen&gt;3,IF(AND(Kategorie4=13,BadMisch),0,Dati!I91),0)</f>
        <v>0</v>
      </c>
      <c r="R6" s="300" t="b">
        <f>OR(WWBonus1,WWBonus2,WWBonus3,WWBonus4)</f>
        <v>0</v>
      </c>
      <c r="S6" s="300"/>
      <c r="AE6" s="114">
        <v>1</v>
      </c>
      <c r="AF6" s="1050" t="str">
        <f>Uebersetzung!D389</f>
        <v>Ermeticità involucro</v>
      </c>
      <c r="AG6" s="1451"/>
      <c r="AH6" s="153">
        <v>1</v>
      </c>
      <c r="AI6" s="154">
        <v>1</v>
      </c>
      <c r="AJ6" s="154">
        <v>1</v>
      </c>
      <c r="AK6" s="154">
        <v>1</v>
      </c>
      <c r="AL6" s="154">
        <v>1</v>
      </c>
      <c r="AM6" s="154">
        <v>1</v>
      </c>
      <c r="AN6" s="154">
        <v>1</v>
      </c>
      <c r="AO6" s="154">
        <v>1</v>
      </c>
      <c r="AP6" s="154">
        <v>1</v>
      </c>
      <c r="AQ6" s="154">
        <v>1</v>
      </c>
      <c r="AR6" s="154">
        <v>1</v>
      </c>
      <c r="AS6" s="154">
        <v>1</v>
      </c>
      <c r="AT6" s="351">
        <v>1</v>
      </c>
      <c r="AU6" s="351">
        <v>1</v>
      </c>
      <c r="AV6" s="140">
        <f>IF(Kategorie1&gt;0,IF(Neubau1=2,$AT6,$AU6)*INDEX($AG6:$AS6,1,Kategorie1),)</f>
        <v>0</v>
      </c>
      <c r="AW6" s="140">
        <f>IF(Kategorie2&gt;0,IF(Neubau2=2,$AT6,$AU6)*INDEX($AG6:$AS6,1,Kategorie2),)</f>
        <v>0</v>
      </c>
      <c r="AX6" s="140">
        <f>IF(Kategorie3&gt;0,IF(Neubau3=2,$AT6,$AU6)*INDEX($AG6:$AS6,1,Kategorie3),)</f>
        <v>0</v>
      </c>
      <c r="AY6" s="140">
        <f>IF(Kategorie4&gt;0,IF(Neubau4=2,$AT6,$AU6)*INDEX($AG6:$AS6,1,Kategorie4),)</f>
        <v>0</v>
      </c>
      <c r="AZ6" s="140">
        <f>SUM(AV6:AY6)</f>
        <v>0</v>
      </c>
      <c r="BA6" s="549" t="str">
        <f>IF(OR(minergiea,minergiep),Uebersetzung!D529,Uebersetzung!D406)</f>
        <v>Concetto dell'ermeticità  è stato allegato?</v>
      </c>
      <c r="BB6" s="124">
        <v>3</v>
      </c>
      <c r="BC6" s="558" t="str">
        <f t="shared" si="1"/>
        <v>Appenzello interno</v>
      </c>
      <c r="BD6" s="180" t="b">
        <v>1</v>
      </c>
      <c r="BE6" s="124">
        <v>3</v>
      </c>
    </row>
    <row r="7" spans="1:57" ht="15">
      <c r="A7" s="88" t="s">
        <v>199</v>
      </c>
      <c r="B7" s="51" t="s">
        <v>199</v>
      </c>
      <c r="C7" s="51" t="s">
        <v>199</v>
      </c>
      <c r="D7" s="51"/>
      <c r="E7" s="89" t="s">
        <v>199</v>
      </c>
      <c r="F7" s="89" t="s">
        <v>199</v>
      </c>
      <c r="G7" s="598">
        <v>1</v>
      </c>
      <c r="I7" s="37" t="s">
        <v>241</v>
      </c>
      <c r="J7" s="38" t="s">
        <v>80</v>
      </c>
      <c r="K7" s="39" t="s">
        <v>81</v>
      </c>
      <c r="L7" s="38" t="s">
        <v>46</v>
      </c>
      <c r="M7" s="38" t="s">
        <v>642</v>
      </c>
      <c r="N7" s="38" t="s">
        <v>643</v>
      </c>
      <c r="O7" s="45" t="s">
        <v>334</v>
      </c>
      <c r="P7" s="261" t="s">
        <v>695</v>
      </c>
      <c r="Q7" s="261" t="s">
        <v>696</v>
      </c>
      <c r="R7" s="262" t="s">
        <v>362</v>
      </c>
      <c r="S7" s="908" t="s">
        <v>313</v>
      </c>
      <c r="T7" s="40"/>
      <c r="U7" s="778" t="s">
        <v>808</v>
      </c>
      <c r="V7" s="778" t="s">
        <v>822</v>
      </c>
      <c r="W7" s="161"/>
      <c r="X7" s="161"/>
      <c r="AE7" s="1414">
        <v>1</v>
      </c>
      <c r="AF7" s="555" t="str">
        <f>Uebersetzung!D390</f>
        <v>Ermeticità involucro, risanamento</v>
      </c>
      <c r="AG7" s="1451"/>
      <c r="AH7" s="153">
        <v>1</v>
      </c>
      <c r="AI7" s="154">
        <v>1</v>
      </c>
      <c r="AJ7" s="154">
        <v>1</v>
      </c>
      <c r="AK7" s="154">
        <v>1</v>
      </c>
      <c r="AL7" s="154">
        <v>1</v>
      </c>
      <c r="AM7" s="259">
        <v>1</v>
      </c>
      <c r="AN7" s="259">
        <v>1</v>
      </c>
      <c r="AO7" s="154">
        <v>1</v>
      </c>
      <c r="AP7" s="154">
        <v>1</v>
      </c>
      <c r="AQ7" s="154">
        <v>1</v>
      </c>
      <c r="AR7" s="154">
        <v>1</v>
      </c>
      <c r="AS7" s="154">
        <v>1</v>
      </c>
      <c r="AT7" s="154">
        <v>0</v>
      </c>
      <c r="AU7" s="154">
        <v>1</v>
      </c>
      <c r="AV7" s="140">
        <f>IF(Kategorie1&gt;0,IF(Neubau1=3,AU7,AT7)*INDEX($AG7:$AS7,1,Kategorie1),)</f>
        <v>0</v>
      </c>
      <c r="AW7" s="140">
        <f>IF(Kategorie2&gt;0,IF(Neubau2=3,AU7,AT7)*INDEX($AG7:$AS7,1,Kategorie2),)</f>
        <v>0</v>
      </c>
      <c r="AX7" s="140">
        <f>IF(Kategorie3&gt;0,IF(Neubau3=3,AU7,AT7)*INDEX($AG7:$AS7,1,Kategorie3),)</f>
        <v>0</v>
      </c>
      <c r="AY7" s="140">
        <f>IF(Kategorie4&gt;0,IF(Neubau4=3,AU7,AT7)*INDEX($AG7:$AS7,1,Kategorie4),)</f>
        <v>0</v>
      </c>
      <c r="AZ7" s="140">
        <f t="shared" ref="AZ7:AZ13" si="2">SUM(AV7:AY7)</f>
        <v>0</v>
      </c>
      <c r="BA7" s="549" t="s">
        <v>558</v>
      </c>
      <c r="BB7" s="124">
        <v>4</v>
      </c>
      <c r="BC7" s="558" t="str">
        <f t="shared" si="1"/>
        <v>Appenzello esterno</v>
      </c>
      <c r="BD7" s="180" t="b">
        <v>1</v>
      </c>
      <c r="BE7" s="124">
        <v>4</v>
      </c>
    </row>
    <row r="8" spans="1:57">
      <c r="A8" s="555" t="str">
        <f t="shared" ref="A8:A13" si="3">IF(Kanton=29,A55,G128)</f>
        <v/>
      </c>
      <c r="B8" s="38" t="str">
        <f>IF(Kanton=29,B55,IF($B$96&gt;0,INDEX(B$54:B$94,$B$96,1),""))</f>
        <v/>
      </c>
      <c r="C8" s="38" t="str">
        <f>IF(Kanton=29,C55,IF($B$96&gt;0,INDEX(C$54:C$94,$B$96,1),""))</f>
        <v/>
      </c>
      <c r="D8" s="38" t="str">
        <f>IF(Kanton=29,D55,IF($B$96&gt;0,INDEX(D$54:D$94,$B$96,1),""))</f>
        <v/>
      </c>
      <c r="E8" s="38" t="str">
        <f>IF(Kanton=29,E55,IF($B$96&gt;0,INDEX(E$54:E$94,$B$96,1),""))</f>
        <v/>
      </c>
      <c r="F8" s="38" t="str">
        <f>IF(Kanton=29,F55,IF($B$96&gt;0,INDEX(F$54:F$94,$B$96,1),""))</f>
        <v/>
      </c>
      <c r="G8" s="598">
        <v>2</v>
      </c>
      <c r="I8" s="37"/>
      <c r="J8" s="38" t="s">
        <v>336</v>
      </c>
      <c r="K8" s="38" t="s">
        <v>336</v>
      </c>
      <c r="L8" s="38" t="s">
        <v>336</v>
      </c>
      <c r="M8" s="38" t="s">
        <v>337</v>
      </c>
      <c r="N8" s="38" t="s">
        <v>338</v>
      </c>
      <c r="O8" s="45" t="s">
        <v>724</v>
      </c>
      <c r="P8" s="45" t="s">
        <v>694</v>
      </c>
      <c r="Q8" s="45" t="s">
        <v>694</v>
      </c>
      <c r="R8" s="45" t="s">
        <v>466</v>
      </c>
      <c r="S8" s="45" t="s">
        <v>468</v>
      </c>
      <c r="T8" s="45"/>
      <c r="U8" s="779" t="s">
        <v>807</v>
      </c>
      <c r="V8" s="779" t="s">
        <v>583</v>
      </c>
      <c r="W8" s="161"/>
      <c r="X8" s="161"/>
      <c r="AE8" s="1414">
        <v>1</v>
      </c>
      <c r="AF8" s="555" t="str">
        <f>Uebersetzung!D392</f>
        <v>Acqua calda sanitaria</v>
      </c>
      <c r="AG8" s="1451"/>
      <c r="AH8" s="153"/>
      <c r="AI8" s="154"/>
      <c r="AJ8" s="154"/>
      <c r="AK8" s="154"/>
      <c r="AL8" s="154"/>
      <c r="AM8" s="259">
        <v>1</v>
      </c>
      <c r="AN8" s="154"/>
      <c r="AO8" s="154"/>
      <c r="AP8" s="154"/>
      <c r="AQ8" s="154"/>
      <c r="AR8" s="154">
        <v>1</v>
      </c>
      <c r="AS8" s="154">
        <v>1</v>
      </c>
      <c r="AT8" s="154">
        <v>1</v>
      </c>
      <c r="AU8" s="154">
        <v>1</v>
      </c>
      <c r="AV8" s="140">
        <f>IF(Kategorie1&gt;0,IF(OR(minergiea,minergiep),IF($AE8,IF(OR(Neubau1=2,Neubau1=1),$AT8,$AU8)*INDEX($AG8:$AS8,1,Kategorie1),0),IF(OR(Neubau1=2,Neubau1=1),$AT8,$AU8)*INDEX($AG8:$AS8,1,Kategorie1)),)</f>
        <v>0</v>
      </c>
      <c r="AW8" s="140">
        <f>IF(Kategorie2&gt;0,IF(OR(minergiea,minergiep),IF($AE8,IF(OR(Neubau2=2,Neubau2=1),$AT8,$AU8)*INDEX($AG8:$AS8,1,Kategorie2),0),IF(OR(Neubau2=2,Neubau2=1),$AT8,$AU8)*INDEX($AG8:$AS8,1,Kategorie2)),)</f>
        <v>0</v>
      </c>
      <c r="AX8" s="140">
        <f>IF(Kategorie3&gt;0,IF(OR(minergiea,minergiep),IF($AE8,IF(OR(Neubau3=2,Neubau3=1),$AT8,$AU8)*INDEX($AG8:$AS8,1,Kategorie3),0),IF(OR(Neubau3=2,Neubau3=1),$AT8,$AU8)*INDEX($AG8:$AS8,1,Kategorie3)),)</f>
        <v>0</v>
      </c>
      <c r="AY8" s="140">
        <f>IF(Kategorie4&gt;0,IF(OR(minergiea,minergiep),IF($AE8,IF(OR(Neubau4=2,Neubau4=1),$AT8,$AU8)*INDEX($AG8:$AS8,1,Kategorie4),0),IF(OR(Neubau4=2,Neubau4=1),$AT8,$AU8)*INDEX($AG8:$AS8,1,Kategorie4)),)</f>
        <v>0</v>
      </c>
      <c r="AZ8" s="140">
        <f t="shared" si="2"/>
        <v>0</v>
      </c>
      <c r="BA8" s="549" t="str">
        <f>Uebersetzung!D399</f>
        <v>20% coperto con energie rinnovabili?</v>
      </c>
      <c r="BB8" s="124">
        <v>5</v>
      </c>
      <c r="BC8" s="558" t="str">
        <f t="shared" si="1"/>
        <v>Berna</v>
      </c>
      <c r="BD8" s="180" t="b">
        <v>1</v>
      </c>
      <c r="BE8" s="124">
        <v>5</v>
      </c>
    </row>
    <row r="9" spans="1:57">
      <c r="A9" s="555" t="str">
        <f t="shared" si="3"/>
        <v/>
      </c>
      <c r="B9" s="38" t="str">
        <f>IF(Kanton=29,B56,IF($C$96&gt;0,INDEX(B$54:B$94,$C$96,1),""))</f>
        <v/>
      </c>
      <c r="C9" s="38" t="str">
        <f>IF(Kanton=29,C56,IF($C$96&gt;0,INDEX(C$54:C$94,$C$96,1),""))</f>
        <v/>
      </c>
      <c r="D9" s="38" t="str">
        <f>IF(Kanton=29,D56,IF($C$96&gt;0,INDEX(D$54:D$94,$C$96,1),""))</f>
        <v/>
      </c>
      <c r="E9" s="38" t="str">
        <f>IF(Kanton=29,E56,IF($C$96&gt;0,INDEX(E$54:E$94,$C$96,1),""))</f>
        <v/>
      </c>
      <c r="F9" s="38" t="str">
        <f>IF(Kanton=29,F56,IF($C$96&gt;0,INDEX(F$54:F$94,$C$96,1),""))</f>
        <v/>
      </c>
      <c r="G9" s="598">
        <v>3</v>
      </c>
      <c r="H9" s="46">
        <v>1</v>
      </c>
      <c r="I9" s="47" t="s">
        <v>199</v>
      </c>
      <c r="J9" s="47"/>
      <c r="K9" s="47"/>
      <c r="L9" s="47"/>
      <c r="M9" s="48"/>
      <c r="N9" s="48">
        <v>1</v>
      </c>
      <c r="O9" s="49"/>
      <c r="P9" s="49"/>
      <c r="Q9" s="49"/>
      <c r="R9" s="49" t="b">
        <v>0</v>
      </c>
      <c r="S9" s="49" t="b">
        <v>1</v>
      </c>
      <c r="T9" s="560">
        <v>1</v>
      </c>
      <c r="U9" s="780"/>
      <c r="V9" s="780"/>
      <c r="W9" s="161"/>
      <c r="X9" s="161"/>
      <c r="AE9" s="1414">
        <v>1</v>
      </c>
      <c r="AF9" s="555" t="str">
        <f>IF(AZ15,Uebersetzung!D397,"")</f>
        <v/>
      </c>
      <c r="AG9" s="1451"/>
      <c r="AH9" s="153">
        <f t="shared" ref="AH9:AR9" si="4">IF($AZ$15,1,0)</f>
        <v>0</v>
      </c>
      <c r="AI9" s="153">
        <f t="shared" si="4"/>
        <v>0</v>
      </c>
      <c r="AJ9" s="153">
        <f t="shared" si="4"/>
        <v>0</v>
      </c>
      <c r="AK9" s="153">
        <f t="shared" si="4"/>
        <v>0</v>
      </c>
      <c r="AL9" s="153">
        <f t="shared" si="4"/>
        <v>0</v>
      </c>
      <c r="AM9" s="153">
        <f t="shared" si="4"/>
        <v>0</v>
      </c>
      <c r="AN9" s="153">
        <f t="shared" si="4"/>
        <v>0</v>
      </c>
      <c r="AO9" s="153">
        <f t="shared" si="4"/>
        <v>0</v>
      </c>
      <c r="AP9" s="153">
        <f t="shared" si="4"/>
        <v>0</v>
      </c>
      <c r="AQ9" s="153">
        <f t="shared" si="4"/>
        <v>0</v>
      </c>
      <c r="AR9" s="153">
        <f t="shared" si="4"/>
        <v>0</v>
      </c>
      <c r="AS9" s="154"/>
      <c r="AT9" s="153">
        <f>IF($AZ$15,1,0)</f>
        <v>0</v>
      </c>
      <c r="AU9" s="154">
        <v>0</v>
      </c>
      <c r="AV9" s="140">
        <f>IF(Kategorie1&gt;0,IF($AE9=1,IF(OR(Neubau1=2,Neubau1=1),$AT9,$AU9)*INDEX($AG9:$AS9,1,Kategorie1),IF(OR(Neubau1=2,Neubau1=1),$AT9,$AU9)*INDEX($AG9:$AS9,1,Kategorie1)),)</f>
        <v>0</v>
      </c>
      <c r="AW9" s="140">
        <f>IF(Kategorie2&gt;0,IF($AE9=1,IF(OR(Neubau2=2,Neubau2=1),$AT9,$AU9)*INDEX($AG9:$AS9,1,Kategorie2),IF(OR(Neubau2=2,Neubau2=1),$AT9,$AU9)*INDEX($AG9:$AS9,1,Kategorie2)),)</f>
        <v>0</v>
      </c>
      <c r="AX9" s="140">
        <f>IF(Kategorie3&gt;0,IF($AE9=1,IF(OR(Neubau3=2,Neubau3=1),$AT9,$AU9)*INDEX($AG9:$AS9,1,Kategorie3),IF(OR(Neubau3=2,Neubau3=1),$AT9,$AU9)*INDEX($AG9:$AS9,1,Kategorie3)),)</f>
        <v>0</v>
      </c>
      <c r="AY9" s="140">
        <f>IF(Kategorie4&gt;0,IF($AE9=1,IF(OR(Neubau4=2,Neubau4=1),$AT9,$AU9)*INDEX($AG9:$AS9,1,Kategorie4),IF(OR(Neubau4=2,Neubau4=1),$AT9,$AU9)*INDEX($AG9:$AS9,1,Kategorie4)),)</f>
        <v>0</v>
      </c>
      <c r="AZ9" s="140">
        <f t="shared" si="2"/>
        <v>0</v>
      </c>
      <c r="BA9" s="549" t="str">
        <f>IF(AZ15,Uebersetzung!D405,"")</f>
        <v/>
      </c>
      <c r="BB9" s="124">
        <v>6</v>
      </c>
      <c r="BC9" s="558" t="str">
        <f t="shared" si="1"/>
        <v>Basilea Campagna</v>
      </c>
      <c r="BD9" s="180" t="b">
        <v>1</v>
      </c>
      <c r="BE9" s="124">
        <v>6</v>
      </c>
    </row>
    <row r="10" spans="1:57">
      <c r="A10" s="555" t="str">
        <f t="shared" si="3"/>
        <v/>
      </c>
      <c r="B10" s="38" t="str">
        <f>IF(Kanton=29,B57,IF($D$96&gt;0,INDEX(B$54:B$94,$D$96,1),""))</f>
        <v/>
      </c>
      <c r="C10" s="38" t="str">
        <f>IF(Kanton=29,C57,IF($D$96&gt;0,INDEX(C$54:C$94,$D$96,1),""))</f>
        <v/>
      </c>
      <c r="D10" s="38" t="str">
        <f>IF(Kanton=29,D57,IF($D$96&gt;0,INDEX(D$54:D$94,$D$96,1),""))</f>
        <v/>
      </c>
      <c r="E10" s="38" t="str">
        <f>IF(Kanton=29,E57,IF($D$96&gt;0,INDEX(E$54:E$94,$D$96,1),""))</f>
        <v/>
      </c>
      <c r="F10" s="38" t="str">
        <f>IF(Kanton=29,F57,IF($D$96&gt;0,INDEX(F$54:F$94,$D$96,1),""))</f>
        <v/>
      </c>
      <c r="G10" s="598">
        <v>4</v>
      </c>
      <c r="H10" s="46">
        <v>2</v>
      </c>
      <c r="I10" s="376" t="str">
        <f>IF(minergiea,BE37,IF(minergiep,BD37,BC37))</f>
        <v>Ab. plurif.</v>
      </c>
      <c r="J10" s="38">
        <f>14*3.6</f>
        <v>50.4</v>
      </c>
      <c r="K10" s="50">
        <f>16*3.6</f>
        <v>57.6</v>
      </c>
      <c r="L10" s="38">
        <v>75</v>
      </c>
      <c r="M10" s="51">
        <v>40</v>
      </c>
      <c r="N10" s="51">
        <v>2</v>
      </c>
      <c r="O10" s="52">
        <v>0.7</v>
      </c>
      <c r="P10" s="1047">
        <v>85</v>
      </c>
      <c r="Q10" s="1047">
        <v>120</v>
      </c>
      <c r="R10" s="40" t="b">
        <v>0</v>
      </c>
      <c r="S10" s="45" t="b">
        <v>1</v>
      </c>
      <c r="T10" s="665">
        <v>2</v>
      </c>
      <c r="U10" s="40">
        <v>2000</v>
      </c>
      <c r="V10" s="864">
        <v>50</v>
      </c>
      <c r="W10" s="161"/>
      <c r="X10" s="161"/>
      <c r="AE10" s="1414">
        <v>1</v>
      </c>
      <c r="AF10" s="555" t="str">
        <f>Uebersetzung!D394</f>
        <v>Calore residuo</v>
      </c>
      <c r="AG10" s="1451"/>
      <c r="AH10" s="153">
        <v>1</v>
      </c>
      <c r="AI10" s="154">
        <v>1</v>
      </c>
      <c r="AJ10" s="154">
        <v>1</v>
      </c>
      <c r="AK10" s="154">
        <v>1</v>
      </c>
      <c r="AL10" s="154">
        <v>1</v>
      </c>
      <c r="AM10" s="154">
        <v>1</v>
      </c>
      <c r="AN10" s="154">
        <v>1</v>
      </c>
      <c r="AO10" s="154">
        <v>1</v>
      </c>
      <c r="AP10" s="154">
        <v>1</v>
      </c>
      <c r="AQ10" s="154">
        <v>1</v>
      </c>
      <c r="AR10" s="154">
        <v>1</v>
      </c>
      <c r="AS10" s="154"/>
      <c r="AT10" s="154">
        <v>1</v>
      </c>
      <c r="AU10" s="154">
        <v>1</v>
      </c>
      <c r="AV10" s="140">
        <f>IF(Kategorie1&gt;0,IF(OR(minergiea,minergiep),IF($AE10=1,IF(OR(Neubau1=2,Neubau1=1),$AT10,$AU10)*INDEX($AG10:$AS10,1,Kategorie1),0),IF(OR(Neubau1=2,Neubau1=1),$AT10,$AU10)*INDEX($AG10:$AS10,1,Kategorie1)),)</f>
        <v>0</v>
      </c>
      <c r="AW10" s="140">
        <f>IF(Kategorie2&gt;0,IF(OR(minergiea,minergiep),IF($AE10=1,IF(OR(Neubau2=2,Neubau2=1),$AT10,$AU10)*INDEX($AG10:$AS10,1,Kategorie2),0),IF(OR(Neubau2=2,Neubau2=1),$AT10,$AU10)*INDEX($AG10:$AS10,1,Kategorie2)),)</f>
        <v>0</v>
      </c>
      <c r="AX10" s="140">
        <f>IF(Kategorie3&gt;0,IF(OR(minergiea,minergiep),IF($AE10=1,IF(OR(Neubau3=2,Neubau3=1),$AT10,$AU10)*INDEX($AG10:$AS10,1,Kategorie3),0),IF(OR(Neubau3=2,Neubau3=1),$AT10,$AU10)*INDEX($AG10:$AS10,1,Kategorie3)),)</f>
        <v>0</v>
      </c>
      <c r="AY10" s="140">
        <f>IF(Kategorie4&gt;0,IF(OR(minergiea,minergiep),IF($AE10=1,IF(OR(Neubau4=2,Neubau4=1),$AT10,$AU10)*INDEX($AG10:$AS10,1,Kategorie4),0),IF(OR(Neubau4=2,Neubau4=1),$AT10,$AU10)*INDEX($AG10:$AS10,1,Kategorie4)),)</f>
        <v>0</v>
      </c>
      <c r="AZ10" s="140">
        <f t="shared" si="2"/>
        <v>0</v>
      </c>
      <c r="BA10" s="549" t="str">
        <f>Uebersetzung!D398</f>
        <v>In presenza di calore residuo?</v>
      </c>
      <c r="BB10" s="124">
        <v>7</v>
      </c>
      <c r="BC10" s="558" t="str">
        <f t="shared" si="1"/>
        <v>Basilea Città</v>
      </c>
      <c r="BD10" s="180" t="b">
        <v>1</v>
      </c>
      <c r="BE10" s="124">
        <v>7</v>
      </c>
    </row>
    <row r="11" spans="1:57">
      <c r="A11" s="555" t="str">
        <f t="shared" si="3"/>
        <v/>
      </c>
      <c r="B11" s="38" t="str">
        <f>IF(Kanton=29,B58,IF($E$96&gt;0,INDEX(B$54:B$94,$E$96,1),""))</f>
        <v/>
      </c>
      <c r="C11" s="38" t="str">
        <f>IF(Kanton=29,C58,IF($E$96&gt;0,INDEX(C$54:C$94,$E$96,1),""))</f>
        <v/>
      </c>
      <c r="D11" s="38" t="str">
        <f>IF(Kanton=29,D58,IF($E$96&gt;0,INDEX(D$54:D$94,$E$96,1),""))</f>
        <v/>
      </c>
      <c r="E11" s="38" t="str">
        <f>IF(Kanton=29,E58,IF($E$96&gt;0,INDEX(E$54:E$94,$E$96,1),""))</f>
        <v/>
      </c>
      <c r="F11" s="38" t="str">
        <f>IF(Kanton=29,F58,IF($E$96&gt;0,INDEX(F$54:F$94,$E$96,1),""))</f>
        <v/>
      </c>
      <c r="G11" s="598">
        <v>5</v>
      </c>
      <c r="H11" s="46">
        <v>3</v>
      </c>
      <c r="I11" s="37" t="str">
        <f t="shared" ref="I11:I21" si="5">IF(minergiea,BE38,IF(minergiep,BD38,BC38))</f>
        <v>Ab. monof.</v>
      </c>
      <c r="J11" s="38">
        <f>16*3.6</f>
        <v>57.6</v>
      </c>
      <c r="K11" s="50">
        <f>16*3.6</f>
        <v>57.6</v>
      </c>
      <c r="L11" s="38">
        <v>50</v>
      </c>
      <c r="M11" s="38">
        <v>60</v>
      </c>
      <c r="N11" s="38">
        <v>2</v>
      </c>
      <c r="O11" s="52">
        <v>0.7</v>
      </c>
      <c r="P11" s="1047">
        <v>80</v>
      </c>
      <c r="Q11" s="1047">
        <v>115</v>
      </c>
      <c r="R11" s="45" t="b">
        <v>0</v>
      </c>
      <c r="S11" s="45" t="b">
        <v>1</v>
      </c>
      <c r="T11" s="665">
        <v>3</v>
      </c>
      <c r="U11" s="45">
        <v>2000</v>
      </c>
      <c r="V11" s="865">
        <v>50</v>
      </c>
      <c r="W11" s="161"/>
      <c r="X11" s="161"/>
      <c r="AE11" s="1414">
        <v>1</v>
      </c>
      <c r="AF11" s="555" t="str">
        <f>IF(MINERGIE!I67=MINERGIE!N12,Uebersetzung!D395,"")</f>
        <v/>
      </c>
      <c r="AG11" s="1451"/>
      <c r="AH11" s="153">
        <v>1</v>
      </c>
      <c r="AI11" s="154">
        <v>1</v>
      </c>
      <c r="AJ11" s="154">
        <v>1</v>
      </c>
      <c r="AK11" s="154">
        <v>1</v>
      </c>
      <c r="AL11" s="154">
        <v>1</v>
      </c>
      <c r="AM11" s="154">
        <v>1</v>
      </c>
      <c r="AN11" s="154">
        <v>1</v>
      </c>
      <c r="AO11" s="154">
        <v>1</v>
      </c>
      <c r="AP11" s="154">
        <v>1</v>
      </c>
      <c r="AQ11" s="154">
        <v>1</v>
      </c>
      <c r="AR11" s="154">
        <v>1</v>
      </c>
      <c r="AS11" s="154"/>
      <c r="AT11" s="154">
        <v>1</v>
      </c>
      <c r="AU11" s="154">
        <v>1</v>
      </c>
      <c r="AV11" s="140">
        <f>IF(Kategorie1&gt;0,IF(OR(minergiea,minergiep),$AE11,IF(OR(Neubau1=2,Neubau1=1),$AT11,$AU11)*INDEX($AG11:$AS11,1,Kategorie1)),)</f>
        <v>0</v>
      </c>
      <c r="AW11" s="140">
        <f>IF(Kategorie2&gt;0,IF(OR(minergiea,minergiep),$AE11,IF(OR(Neubau2=2,Neubau2=1),$AT11,$AU11)*INDEX($AG11:$AS11,1,Kategorie2)),)</f>
        <v>0</v>
      </c>
      <c r="AX11" s="140">
        <f>IF(Kategorie3&gt;0,IF(OR(minergiea,minergiep),$AE11,IF(OR(Neubau3=2,Neubau3=1),$AT11,$AU11)*INDEX($AG11:$AS11,1,Kategorie3)),)</f>
        <v>0</v>
      </c>
      <c r="AY11" s="140">
        <f>IF(Kategorie4&gt;0,IF(OR(minergiea,minergiep),$AE11,IF(OR(Neubau4=2,Neubau4=1),$AT11,$AU11)*INDEX($AG11:$AS11,1,Kategorie4)),)</f>
        <v>0</v>
      </c>
      <c r="AZ11" s="140">
        <f t="shared" si="2"/>
        <v>0</v>
      </c>
      <c r="BA11" s="549" t="str">
        <f>IF(MINERGIE!I67=MINERGIE!N12,Uebersetzung!D402,"")</f>
        <v/>
      </c>
      <c r="BB11" s="124">
        <v>8</v>
      </c>
      <c r="BC11" s="558" t="str">
        <f t="shared" si="1"/>
        <v>Friborgo</v>
      </c>
      <c r="BD11" s="180" t="b">
        <v>1</v>
      </c>
      <c r="BE11" s="124">
        <v>8</v>
      </c>
    </row>
    <row r="12" spans="1:57">
      <c r="A12" s="555" t="str">
        <f t="shared" si="3"/>
        <v/>
      </c>
      <c r="B12" s="38" t="str">
        <f>IF(Kanton=29,B59,IF($F$96&gt;0,INDEX(B$54:B$94,$F$96,1),""))</f>
        <v/>
      </c>
      <c r="C12" s="38" t="str">
        <f>IF(Kanton=29,C59,IF($F$96&gt;0,INDEX(C$54:C$94,$F$96,1),""))</f>
        <v/>
      </c>
      <c r="D12" s="38" t="str">
        <f>IF(Kanton=29,D59,IF($F$96&gt;0,INDEX(D$54:D$94,$F$96,1),""))</f>
        <v/>
      </c>
      <c r="E12" s="38" t="str">
        <f>IF(Kanton=29,E59,IF($F$96&gt;0,INDEX(E$54:E$94,$F$96,1),""))</f>
        <v/>
      </c>
      <c r="F12" s="38" t="str">
        <f>IF(Kanton=29,F59,IF($F$96&gt;0,INDEX(F$54:F$94,$F$96,1),""))</f>
        <v/>
      </c>
      <c r="G12" s="598">
        <v>6</v>
      </c>
      <c r="H12" s="46">
        <v>4</v>
      </c>
      <c r="I12" s="37" t="str">
        <f t="shared" si="5"/>
        <v>Amministraz.</v>
      </c>
      <c r="J12" s="38">
        <f>16*3.6</f>
        <v>57.6</v>
      </c>
      <c r="K12" s="50">
        <f>21*3.6</f>
        <v>75.600000000000009</v>
      </c>
      <c r="L12" s="38">
        <v>25</v>
      </c>
      <c r="M12" s="38">
        <v>20</v>
      </c>
      <c r="N12" s="38">
        <v>3</v>
      </c>
      <c r="O12" s="52">
        <v>0.7</v>
      </c>
      <c r="P12" s="1047">
        <v>180</v>
      </c>
      <c r="Q12" s="1047">
        <v>215</v>
      </c>
      <c r="R12" s="45" t="b">
        <v>0</v>
      </c>
      <c r="S12" s="45" t="b">
        <v>1</v>
      </c>
      <c r="T12" s="665">
        <v>4</v>
      </c>
      <c r="U12" s="45">
        <v>1000</v>
      </c>
      <c r="V12" s="865">
        <v>20</v>
      </c>
      <c r="W12" s="161"/>
      <c r="X12" s="161"/>
      <c r="AE12" s="1414">
        <v>0</v>
      </c>
      <c r="AF12" s="555" t="str">
        <f>Uebersetzung!D396</f>
        <v>Ottimizzazione d'esercizio per piscine coperte</v>
      </c>
      <c r="AG12" s="1451"/>
      <c r="AH12" s="153"/>
      <c r="AI12" s="154"/>
      <c r="AJ12" s="154"/>
      <c r="AK12" s="154"/>
      <c r="AL12" s="154"/>
      <c r="AM12" s="154"/>
      <c r="AN12" s="154"/>
      <c r="AO12" s="154"/>
      <c r="AP12" s="154"/>
      <c r="AQ12" s="154"/>
      <c r="AR12" s="154"/>
      <c r="AS12" s="154">
        <v>1</v>
      </c>
      <c r="AT12" s="154">
        <v>1</v>
      </c>
      <c r="AU12" s="154">
        <v>1</v>
      </c>
      <c r="AV12" s="140">
        <f>IF(Kategorie1&gt;0,IF(OR(minergiea,minergiep),$AE12,IF(OR(Neubau1=2,Neubau1=1),$AT12,$AU12)*INDEX($AG12:$AS12,1,Kategorie1)),)</f>
        <v>0</v>
      </c>
      <c r="AW12" s="140">
        <f>IF(Kategorie2&gt;0,IF(OR(minergiea,minergiep),$AE12,IF(OR(Neubau2=2,Neubau2=1),$AT12,$AU12)*INDEX($AG12:$AS12,1,Kategorie2)),)</f>
        <v>0</v>
      </c>
      <c r="AX12" s="140">
        <f>IF(Kategorie3&gt;0,IF(OR(minergiea,minergiep),$AE12,IF(OR(Neubau3=2,Neubau3=1),$AT12,$AU12)*INDEX($AG12:$AS12,1,Kategorie3)),)</f>
        <v>0</v>
      </c>
      <c r="AY12" s="140">
        <f>IF(Kategorie4&gt;0,IF(OR(minergiea,minergiep),$AE12,IF(OR(Neubau4=2,Neubau4=1),$AT12,$AU12)*INDEX($AG12:$AS12,1,Kategorie4)),)</f>
        <v>0</v>
      </c>
      <c r="AZ12" s="140">
        <f t="shared" si="2"/>
        <v>0</v>
      </c>
      <c r="BA12" s="549" t="str">
        <f>Uebersetzung!D403</f>
        <v>Recupero di calore con PdC sulla ventilazione, recupero di calore dall'acqua della vasca</v>
      </c>
      <c r="BB12" s="124">
        <v>9</v>
      </c>
      <c r="BC12" s="558" t="str">
        <f t="shared" si="1"/>
        <v>Ginevra</v>
      </c>
      <c r="BD12" s="180" t="b">
        <v>1</v>
      </c>
      <c r="BE12" s="124">
        <v>9</v>
      </c>
    </row>
    <row r="13" spans="1:57">
      <c r="A13" s="555" t="str">
        <f t="shared" si="3"/>
        <v/>
      </c>
      <c r="B13" s="38" t="str">
        <f>IF(Kanton=29,B60,IF($G$96&gt;0,INDEX(B$54:B$94,$G$96,1),""))</f>
        <v/>
      </c>
      <c r="C13" s="38" t="str">
        <f>IF(Kanton=29,C60,IF($G$96&gt;0,INDEX(C$54:C$94,$G$96,1),""))</f>
        <v/>
      </c>
      <c r="D13" s="38" t="str">
        <f>IF(Kanton=29,D60,IF($G$96&gt;0,INDEX(D$54:D$94,$G$96,1),""))</f>
        <v/>
      </c>
      <c r="E13" s="38" t="str">
        <f>IF(Kanton=29,E60,IF($G$96&gt;0,INDEX(E$54:E$94,$G$96,1),""))</f>
        <v/>
      </c>
      <c r="F13" s="38" t="str">
        <f>IF(Kanton=29,F60,IF($G$96&gt;0,INDEX(F$54:F$94,$G$96,1),""))</f>
        <v/>
      </c>
      <c r="G13" s="598">
        <v>7</v>
      </c>
      <c r="H13" s="46">
        <v>5</v>
      </c>
      <c r="I13" s="37" t="str">
        <f t="shared" si="5"/>
        <v>Scuole</v>
      </c>
      <c r="J13" s="38">
        <f>18*3.6</f>
        <v>64.8</v>
      </c>
      <c r="K13" s="50">
        <f>18*3.6</f>
        <v>64.8</v>
      </c>
      <c r="L13" s="38">
        <v>25</v>
      </c>
      <c r="M13" s="38">
        <v>10</v>
      </c>
      <c r="N13" s="38">
        <v>4</v>
      </c>
      <c r="O13" s="52">
        <v>0.7</v>
      </c>
      <c r="P13" s="1047">
        <v>95</v>
      </c>
      <c r="Q13" s="1047">
        <v>125</v>
      </c>
      <c r="R13" s="45" t="b">
        <v>0</v>
      </c>
      <c r="S13" s="45" t="b">
        <v>1</v>
      </c>
      <c r="T13" s="665">
        <v>5</v>
      </c>
      <c r="U13" s="45">
        <v>1000</v>
      </c>
      <c r="V13" s="865">
        <v>10</v>
      </c>
      <c r="W13" s="161"/>
      <c r="X13" s="161"/>
      <c r="AE13" s="1414">
        <v>1</v>
      </c>
      <c r="AF13" s="555" t="str">
        <f>IF(AND(minergiea=FALSE,AND(EBF&gt;2000,MINERGIE!Z59&gt;0,MINERGIE!Z58&lt;2000)),Uebersetzung!D416,"")</f>
        <v/>
      </c>
      <c r="AG13" s="1451"/>
      <c r="AH13" s="153">
        <v>1</v>
      </c>
      <c r="AI13" s="154">
        <v>1</v>
      </c>
      <c r="AJ13" s="154">
        <v>1</v>
      </c>
      <c r="AK13" s="154">
        <v>1</v>
      </c>
      <c r="AL13" s="154">
        <v>1</v>
      </c>
      <c r="AM13" s="154">
        <v>1</v>
      </c>
      <c r="AN13" s="154">
        <v>1</v>
      </c>
      <c r="AO13" s="154">
        <v>1</v>
      </c>
      <c r="AP13" s="154">
        <v>1</v>
      </c>
      <c r="AQ13" s="154">
        <v>1</v>
      </c>
      <c r="AR13" s="154">
        <v>1</v>
      </c>
      <c r="AS13" s="154">
        <v>1</v>
      </c>
      <c r="AT13" s="154">
        <v>0</v>
      </c>
      <c r="AU13" s="154">
        <v>1</v>
      </c>
      <c r="AV13" s="140">
        <f>IF(Kategorie1&gt;0,IF(OR(minergiea,minergiep),$AE13,IF(OR(Neubau1=2,Neubau1=1),$AT13,$AU13)*INDEX($AG13:$AS13,1,Kategorie1)),)</f>
        <v>0</v>
      </c>
      <c r="AW13" s="140">
        <f>IF(Kategorie2&gt;0,IF(OR(minergiea,minergiep),$AE13,IF(OR(Neubau2=2,Neubau2=1),$AT13,$AU13)*INDEX($AG13:$AS13,1,Kategorie2)),)</f>
        <v>0</v>
      </c>
      <c r="AX13" s="140">
        <f>IF(Kategorie3&gt;0,IF(OR(minergiea,minergiep),$AE13,IF(OR(Neubau3=2,Neubau3=1),$AT13,$AU13)*INDEX($AG13:$AS13,1,Kategorie3)),)</f>
        <v>0</v>
      </c>
      <c r="AY13" s="140">
        <f>IF(Kategorie4&gt;0,IF(OR(minergiea,minergiep),$AE13,IF(OR(Neubau4=2,Neubau4=1),$AT13,$AU13)*INDEX($AG13:$AS13,1,Kategorie4)),)</f>
        <v>0</v>
      </c>
      <c r="AZ13" s="140">
        <f t="shared" si="2"/>
        <v>0</v>
      </c>
      <c r="BA13" s="1454" t="str">
        <f>IF(AND(minergiea=FALSE,AND(EBF&gt;2000,MINERGIE!Z59&gt;0,MINERGIE!Z58&lt;2000)),Uebersetzung!D415,"")</f>
        <v/>
      </c>
      <c r="BB13" s="124">
        <v>10</v>
      </c>
      <c r="BC13" s="558" t="str">
        <f t="shared" si="1"/>
        <v>Glarona</v>
      </c>
      <c r="BD13" s="180" t="b">
        <v>1</v>
      </c>
      <c r="BE13" s="124">
        <v>10</v>
      </c>
    </row>
    <row r="14" spans="1:57">
      <c r="A14" s="555" t="str">
        <f t="shared" ref="A14:F23" si="6">IF(Kanton=29,A61,"")</f>
        <v/>
      </c>
      <c r="B14" s="38" t="str">
        <f t="shared" si="6"/>
        <v/>
      </c>
      <c r="C14" s="38" t="str">
        <f t="shared" si="6"/>
        <v/>
      </c>
      <c r="D14" s="38" t="str">
        <f t="shared" si="6"/>
        <v/>
      </c>
      <c r="E14" s="38" t="str">
        <f t="shared" si="6"/>
        <v/>
      </c>
      <c r="F14" s="38" t="str">
        <f t="shared" si="6"/>
        <v/>
      </c>
      <c r="G14" s="598">
        <v>8</v>
      </c>
      <c r="H14" s="46">
        <v>6</v>
      </c>
      <c r="I14" s="37" t="str">
        <f t="shared" si="5"/>
        <v>Negozi</v>
      </c>
      <c r="J14" s="38">
        <f>13*3.6</f>
        <v>46.800000000000004</v>
      </c>
      <c r="K14" s="50">
        <f>16*3.6</f>
        <v>57.6</v>
      </c>
      <c r="L14" s="38">
        <v>25</v>
      </c>
      <c r="M14" s="38">
        <v>10</v>
      </c>
      <c r="N14" s="38">
        <v>3</v>
      </c>
      <c r="O14" s="52">
        <v>0.7</v>
      </c>
      <c r="P14" s="1047">
        <v>210</v>
      </c>
      <c r="Q14" s="1047">
        <v>250</v>
      </c>
      <c r="R14" s="45" t="b">
        <v>0</v>
      </c>
      <c r="S14" s="45" t="b">
        <v>1</v>
      </c>
      <c r="T14" s="665">
        <v>6</v>
      </c>
      <c r="U14" s="45">
        <v>0</v>
      </c>
      <c r="V14" s="862">
        <v>0</v>
      </c>
      <c r="W14" s="161"/>
      <c r="X14" s="161"/>
      <c r="AE14" s="1415">
        <v>1</v>
      </c>
      <c r="AF14" s="47" t="str">
        <f>IF(MINERGIE!Z62,Uebersetzung!D416,"")</f>
        <v/>
      </c>
      <c r="AG14" s="1451"/>
      <c r="AH14" s="153">
        <v>1</v>
      </c>
      <c r="AI14" s="154">
        <v>1</v>
      </c>
      <c r="AJ14" s="154">
        <v>1</v>
      </c>
      <c r="AK14" s="154">
        <v>1</v>
      </c>
      <c r="AL14" s="154">
        <v>1</v>
      </c>
      <c r="AM14" s="154">
        <v>1</v>
      </c>
      <c r="AN14" s="154">
        <v>1</v>
      </c>
      <c r="AO14" s="154">
        <v>1</v>
      </c>
      <c r="AP14" s="154">
        <v>1</v>
      </c>
      <c r="AQ14" s="154">
        <v>1</v>
      </c>
      <c r="AR14" s="154">
        <v>1</v>
      </c>
      <c r="AS14" s="154">
        <v>1</v>
      </c>
      <c r="AT14" s="154">
        <v>1</v>
      </c>
      <c r="AU14" s="154">
        <v>1</v>
      </c>
      <c r="AV14" s="140">
        <f>IF(Kategorie1&gt;0,IF(OR(minergiea,minergiep),$AE14,IF(OR(Neubau1=2,Neubau1=1),$AT14,$AU14)*INDEX($AG14:$AS14,1,Kategorie1)),)</f>
        <v>0</v>
      </c>
      <c r="AW14" s="140">
        <f>IF(Kategorie2&gt;0,IF(OR(minergiea,minergiep),$AE14,IF(OR(Neubau2=2,Neubau2=1),$AT14,$AU14)*INDEX($AG14:$AS14,1,Kategorie2)),)</f>
        <v>0</v>
      </c>
      <c r="AX14" s="140">
        <f>IF(Kategorie3&gt;0,IF(OR(minergiea,minergiep),$AE14,IF(OR(Neubau3=2,Neubau3=1),$AT14,$AU14)*INDEX($AG14:$AS14,1,Kategorie3)),)</f>
        <v>0</v>
      </c>
      <c r="AY14" s="140">
        <f>IF(Kategorie4&gt;0,IF(OR(minergiea,minergiep),$AE14,IF(OR(Neubau4=2,Neubau4=1),$AT14,$AU14)*INDEX($AG14:$AS14,1,Kategorie4)),)</f>
        <v>0</v>
      </c>
      <c r="AZ14" s="140">
        <f t="shared" ref="AZ14" si="7">SUM(AV14:AY14)</f>
        <v>0</v>
      </c>
      <c r="BA14" s="1454" t="str">
        <f>IF(MINERGIE!Z62,Uebersetzung!D417,"")</f>
        <v/>
      </c>
      <c r="BB14" s="124">
        <v>11</v>
      </c>
      <c r="BC14" s="558" t="str">
        <f t="shared" si="1"/>
        <v>Grigioni</v>
      </c>
      <c r="BD14" s="180" t="b">
        <v>1</v>
      </c>
      <c r="BE14" s="124">
        <v>11</v>
      </c>
    </row>
    <row r="15" spans="1:57">
      <c r="A15" s="555" t="str">
        <f t="shared" si="6"/>
        <v/>
      </c>
      <c r="B15" s="38" t="str">
        <f t="shared" si="6"/>
        <v/>
      </c>
      <c r="C15" s="38" t="str">
        <f t="shared" si="6"/>
        <v/>
      </c>
      <c r="D15" s="38" t="str">
        <f t="shared" si="6"/>
        <v/>
      </c>
      <c r="E15" s="38" t="str">
        <f t="shared" si="6"/>
        <v/>
      </c>
      <c r="F15" s="38" t="str">
        <f t="shared" si="6"/>
        <v/>
      </c>
      <c r="G15" s="598">
        <v>9</v>
      </c>
      <c r="H15" s="46">
        <v>7</v>
      </c>
      <c r="I15" s="37" t="str">
        <f t="shared" si="5"/>
        <v>Ristoranti</v>
      </c>
      <c r="J15" s="38">
        <f>24*3.6</f>
        <v>86.4</v>
      </c>
      <c r="K15" s="50">
        <f>19*3.6</f>
        <v>68.400000000000006</v>
      </c>
      <c r="L15" s="38">
        <v>0</v>
      </c>
      <c r="M15" s="38">
        <v>5</v>
      </c>
      <c r="N15" s="38">
        <v>3</v>
      </c>
      <c r="O15" s="52">
        <v>1.2</v>
      </c>
      <c r="P15" s="1047">
        <v>135</v>
      </c>
      <c r="Q15" s="1047">
        <v>160</v>
      </c>
      <c r="R15" s="45" t="b">
        <v>0</v>
      </c>
      <c r="S15" s="45" t="b">
        <v>0</v>
      </c>
      <c r="T15" s="665">
        <v>7</v>
      </c>
      <c r="U15" s="45">
        <v>0</v>
      </c>
      <c r="V15" s="862">
        <v>0</v>
      </c>
      <c r="W15" s="161"/>
      <c r="X15" s="161"/>
      <c r="AE15" s="352" t="s">
        <v>700</v>
      </c>
      <c r="AF15" s="1453"/>
      <c r="AG15" s="36"/>
      <c r="AZ15" s="1597" t="b">
        <v>0</v>
      </c>
      <c r="BA15" s="1598" t="s">
        <v>2732</v>
      </c>
      <c r="BB15" s="124">
        <v>12</v>
      </c>
      <c r="BC15" s="558" t="str">
        <f t="shared" si="1"/>
        <v>Giura</v>
      </c>
      <c r="BD15" s="180" t="b">
        <v>1</v>
      </c>
      <c r="BE15" s="124">
        <v>12</v>
      </c>
    </row>
    <row r="16" spans="1:57">
      <c r="A16" s="555" t="str">
        <f t="shared" si="6"/>
        <v/>
      </c>
      <c r="B16" s="38" t="str">
        <f t="shared" si="6"/>
        <v/>
      </c>
      <c r="C16" s="38" t="str">
        <f t="shared" si="6"/>
        <v/>
      </c>
      <c r="D16" s="38" t="str">
        <f t="shared" si="6"/>
        <v/>
      </c>
      <c r="E16" s="38" t="str">
        <f t="shared" si="6"/>
        <v/>
      </c>
      <c r="F16" s="38" t="str">
        <f t="shared" si="6"/>
        <v/>
      </c>
      <c r="G16" s="598">
        <v>10</v>
      </c>
      <c r="H16" s="46">
        <v>8</v>
      </c>
      <c r="I16" s="37" t="str">
        <f t="shared" si="5"/>
        <v>Locali pubblici</v>
      </c>
      <c r="J16" s="38">
        <f>24*3.6</f>
        <v>86.4</v>
      </c>
      <c r="K16" s="50">
        <f>19*3.6</f>
        <v>68.400000000000006</v>
      </c>
      <c r="L16" s="38">
        <v>50</v>
      </c>
      <c r="M16" s="38">
        <v>5</v>
      </c>
      <c r="N16" s="38">
        <v>3</v>
      </c>
      <c r="O16" s="58">
        <v>1</v>
      </c>
      <c r="P16" s="1047">
        <v>95</v>
      </c>
      <c r="Q16" s="1047">
        <v>120</v>
      </c>
      <c r="R16" s="45" t="b">
        <v>0</v>
      </c>
      <c r="S16" s="45" t="b">
        <v>1</v>
      </c>
      <c r="T16" s="665">
        <v>8</v>
      </c>
      <c r="U16" s="45">
        <v>0</v>
      </c>
      <c r="V16" s="862">
        <v>0</v>
      </c>
      <c r="W16" s="161"/>
      <c r="X16" s="161"/>
      <c r="AE16" s="1447" t="s">
        <v>654</v>
      </c>
      <c r="AF16" s="353">
        <f>Kategorie1</f>
        <v>1</v>
      </c>
      <c r="AG16" s="43"/>
      <c r="BB16" s="124">
        <v>13</v>
      </c>
      <c r="BC16" s="558" t="str">
        <f t="shared" si="1"/>
        <v>Lucerna</v>
      </c>
      <c r="BD16" s="180" t="b">
        <v>1</v>
      </c>
      <c r="BE16" s="124">
        <v>13</v>
      </c>
    </row>
    <row r="17" spans="1:75">
      <c r="A17" s="555" t="str">
        <f t="shared" si="6"/>
        <v/>
      </c>
      <c r="B17" s="38" t="str">
        <f t="shared" si="6"/>
        <v/>
      </c>
      <c r="C17" s="38" t="str">
        <f t="shared" si="6"/>
        <v/>
      </c>
      <c r="D17" s="38" t="str">
        <f t="shared" si="6"/>
        <v/>
      </c>
      <c r="E17" s="38" t="str">
        <f t="shared" si="6"/>
        <v/>
      </c>
      <c r="F17" s="38" t="str">
        <f t="shared" si="6"/>
        <v/>
      </c>
      <c r="G17" s="598">
        <v>11</v>
      </c>
      <c r="H17" s="46">
        <v>9</v>
      </c>
      <c r="I17" s="37" t="str">
        <f t="shared" si="5"/>
        <v>Ospedali</v>
      </c>
      <c r="J17" s="38">
        <f>20*3.6</f>
        <v>72</v>
      </c>
      <c r="K17" s="50">
        <f>20*3.6</f>
        <v>72</v>
      </c>
      <c r="L17" s="38">
        <v>100</v>
      </c>
      <c r="M17" s="38">
        <v>30</v>
      </c>
      <c r="N17" s="38">
        <v>3</v>
      </c>
      <c r="O17" s="58">
        <v>1</v>
      </c>
      <c r="P17" s="1047">
        <v>170</v>
      </c>
      <c r="Q17" s="1047">
        <v>200</v>
      </c>
      <c r="R17" s="45" t="b">
        <v>0</v>
      </c>
      <c r="S17" s="45" t="b">
        <v>1</v>
      </c>
      <c r="T17" s="665">
        <v>9</v>
      </c>
      <c r="U17" s="45">
        <v>0</v>
      </c>
      <c r="V17" s="862">
        <v>0</v>
      </c>
      <c r="W17" s="161"/>
      <c r="X17" s="161"/>
      <c r="AE17" s="1448" t="s">
        <v>655</v>
      </c>
      <c r="AF17" s="354">
        <f>Kategorie2</f>
        <v>1</v>
      </c>
      <c r="AG17" s="43"/>
      <c r="BB17" s="124">
        <v>14</v>
      </c>
      <c r="BC17" s="558" t="str">
        <f t="shared" si="1"/>
        <v>Neuchâtel</v>
      </c>
      <c r="BD17" s="180" t="b">
        <v>1</v>
      </c>
      <c r="BE17" s="124">
        <v>14</v>
      </c>
    </row>
    <row r="18" spans="1:75">
      <c r="A18" s="555" t="str">
        <f t="shared" si="6"/>
        <v/>
      </c>
      <c r="B18" s="38" t="str">
        <f t="shared" si="6"/>
        <v/>
      </c>
      <c r="C18" s="38" t="str">
        <f t="shared" si="6"/>
        <v/>
      </c>
      <c r="D18" s="38" t="str">
        <f t="shared" si="6"/>
        <v/>
      </c>
      <c r="E18" s="38" t="str">
        <f t="shared" si="6"/>
        <v/>
      </c>
      <c r="F18" s="38" t="str">
        <f t="shared" si="6"/>
        <v/>
      </c>
      <c r="G18" s="598">
        <v>12</v>
      </c>
      <c r="H18" s="46">
        <v>10</v>
      </c>
      <c r="I18" s="37" t="str">
        <f t="shared" si="5"/>
        <v>Industrie</v>
      </c>
      <c r="J18" s="38">
        <f>15*3.6</f>
        <v>54</v>
      </c>
      <c r="K18" s="50">
        <f>18*3.6</f>
        <v>64.8</v>
      </c>
      <c r="L18" s="38">
        <v>25</v>
      </c>
      <c r="M18" s="38">
        <v>20</v>
      </c>
      <c r="N18" s="38">
        <v>3</v>
      </c>
      <c r="O18" s="52">
        <v>0.7</v>
      </c>
      <c r="P18" s="1047">
        <v>135</v>
      </c>
      <c r="Q18" s="1047">
        <v>170</v>
      </c>
      <c r="R18" s="45" t="b">
        <v>0</v>
      </c>
      <c r="S18" s="45" t="b">
        <v>1</v>
      </c>
      <c r="T18" s="665">
        <v>10</v>
      </c>
      <c r="U18" s="45">
        <v>0</v>
      </c>
      <c r="V18" s="862">
        <v>0</v>
      </c>
      <c r="W18" s="161"/>
      <c r="X18" s="161"/>
      <c r="AE18" s="1448" t="s">
        <v>656</v>
      </c>
      <c r="AF18" s="354">
        <f>Kategorie3</f>
        <v>1</v>
      </c>
      <c r="AG18" s="43"/>
      <c r="BB18" s="124">
        <v>15</v>
      </c>
      <c r="BC18" s="558" t="str">
        <f t="shared" si="1"/>
        <v>Nidvaldo</v>
      </c>
      <c r="BD18" s="180" t="b">
        <v>1</v>
      </c>
      <c r="BE18" s="124">
        <v>15</v>
      </c>
    </row>
    <row r="19" spans="1:75">
      <c r="A19" s="555" t="str">
        <f t="shared" si="6"/>
        <v/>
      </c>
      <c r="B19" s="38" t="str">
        <f t="shared" si="6"/>
        <v/>
      </c>
      <c r="C19" s="38" t="str">
        <f t="shared" si="6"/>
        <v/>
      </c>
      <c r="D19" s="38" t="str">
        <f t="shared" si="6"/>
        <v/>
      </c>
      <c r="E19" s="38" t="str">
        <f t="shared" si="6"/>
        <v/>
      </c>
      <c r="F19" s="38" t="str">
        <f t="shared" si="6"/>
        <v/>
      </c>
      <c r="G19" s="598">
        <v>13</v>
      </c>
      <c r="H19" s="46">
        <v>11</v>
      </c>
      <c r="I19" s="37" t="str">
        <f t="shared" si="5"/>
        <v>Magazzini</v>
      </c>
      <c r="J19" s="38">
        <f>15*3.6</f>
        <v>54</v>
      </c>
      <c r="K19" s="50">
        <f>18*3.6</f>
        <v>64.8</v>
      </c>
      <c r="L19" s="38">
        <v>5</v>
      </c>
      <c r="M19" s="38">
        <v>100</v>
      </c>
      <c r="N19" s="38">
        <v>3</v>
      </c>
      <c r="O19" s="52">
        <v>0.3</v>
      </c>
      <c r="P19" s="1047">
        <v>45</v>
      </c>
      <c r="Q19" s="1047">
        <v>70</v>
      </c>
      <c r="R19" s="45" t="b">
        <v>0</v>
      </c>
      <c r="S19" s="45" t="b">
        <v>1</v>
      </c>
      <c r="T19" s="665">
        <v>11</v>
      </c>
      <c r="U19" s="45">
        <v>0</v>
      </c>
      <c r="V19" s="862">
        <v>0</v>
      </c>
      <c r="W19" s="161"/>
      <c r="X19" s="161"/>
      <c r="AE19" s="1449" t="s">
        <v>657</v>
      </c>
      <c r="AF19" s="355">
        <f>Kategorie4</f>
        <v>1</v>
      </c>
      <c r="BB19" s="124">
        <v>16</v>
      </c>
      <c r="BC19" s="558" t="str">
        <f t="shared" si="1"/>
        <v>Obvaldo</v>
      </c>
      <c r="BD19" s="180" t="b">
        <v>1</v>
      </c>
      <c r="BE19" s="124">
        <v>16</v>
      </c>
    </row>
    <row r="20" spans="1:75" ht="15.6">
      <c r="A20" s="555" t="str">
        <f t="shared" si="6"/>
        <v/>
      </c>
      <c r="B20" s="38" t="str">
        <f t="shared" si="6"/>
        <v/>
      </c>
      <c r="C20" s="38" t="str">
        <f t="shared" si="6"/>
        <v/>
      </c>
      <c r="D20" s="38" t="str">
        <f t="shared" si="6"/>
        <v/>
      </c>
      <c r="E20" s="38" t="str">
        <f t="shared" si="6"/>
        <v/>
      </c>
      <c r="F20" s="38" t="str">
        <f t="shared" si="6"/>
        <v/>
      </c>
      <c r="G20" s="598">
        <v>14</v>
      </c>
      <c r="H20" s="46">
        <v>12</v>
      </c>
      <c r="I20" s="37" t="str">
        <f t="shared" si="5"/>
        <v>Impianti sport.</v>
      </c>
      <c r="J20" s="38">
        <f>19*3.6</f>
        <v>68.400000000000006</v>
      </c>
      <c r="K20" s="50">
        <f>18*3.6</f>
        <v>64.8</v>
      </c>
      <c r="L20" s="38">
        <v>0</v>
      </c>
      <c r="M20" s="38">
        <v>20</v>
      </c>
      <c r="N20" s="38">
        <v>3</v>
      </c>
      <c r="O20" s="52">
        <v>0.7</v>
      </c>
      <c r="P20" s="1047">
        <v>75</v>
      </c>
      <c r="Q20" s="1047">
        <v>100</v>
      </c>
      <c r="R20" s="45" t="b">
        <v>0</v>
      </c>
      <c r="S20" s="45" t="b">
        <v>0</v>
      </c>
      <c r="T20" s="665">
        <v>12</v>
      </c>
      <c r="U20" s="45">
        <v>0</v>
      </c>
      <c r="V20" s="862">
        <v>0</v>
      </c>
      <c r="W20" s="161"/>
      <c r="X20" s="161"/>
      <c r="AN20" s="276"/>
      <c r="BB20" s="124">
        <v>17</v>
      </c>
      <c r="BC20" s="558" t="str">
        <f t="shared" si="1"/>
        <v>San Gallo</v>
      </c>
      <c r="BD20" s="180" t="b">
        <v>1</v>
      </c>
      <c r="BE20" s="124">
        <v>17</v>
      </c>
    </row>
    <row r="21" spans="1:75" ht="15.6">
      <c r="A21" s="555" t="str">
        <f t="shared" si="6"/>
        <v/>
      </c>
      <c r="B21" s="38" t="str">
        <f t="shared" si="6"/>
        <v/>
      </c>
      <c r="C21" s="38" t="str">
        <f t="shared" si="6"/>
        <v/>
      </c>
      <c r="D21" s="38" t="str">
        <f t="shared" si="6"/>
        <v/>
      </c>
      <c r="E21" s="38" t="str">
        <f t="shared" si="6"/>
        <v/>
      </c>
      <c r="F21" s="38" t="str">
        <f t="shared" si="6"/>
        <v/>
      </c>
      <c r="G21" s="598">
        <v>15</v>
      </c>
      <c r="H21" s="46">
        <v>13</v>
      </c>
      <c r="I21" s="47" t="str">
        <f t="shared" si="5"/>
        <v>Piscine</v>
      </c>
      <c r="J21" s="48">
        <f>19*3.6</f>
        <v>68.400000000000006</v>
      </c>
      <c r="K21" s="562">
        <f>25*3.6</f>
        <v>90</v>
      </c>
      <c r="L21" s="48">
        <v>0</v>
      </c>
      <c r="M21" s="48">
        <v>20</v>
      </c>
      <c r="N21" s="48">
        <v>3</v>
      </c>
      <c r="O21" s="68">
        <v>0.7</v>
      </c>
      <c r="P21" s="49">
        <v>0</v>
      </c>
      <c r="Q21" s="858">
        <v>0</v>
      </c>
      <c r="R21" s="49" t="b">
        <v>0</v>
      </c>
      <c r="S21" s="49" t="b">
        <v>0</v>
      </c>
      <c r="T21" s="907">
        <v>13</v>
      </c>
      <c r="U21" s="49">
        <v>0</v>
      </c>
      <c r="V21" s="863">
        <v>0</v>
      </c>
      <c r="W21" s="161"/>
      <c r="X21" s="161"/>
      <c r="AE21" s="276" t="s">
        <v>348</v>
      </c>
      <c r="AV21" s="2221"/>
      <c r="AW21" s="2221"/>
      <c r="AY21" s="2"/>
      <c r="BB21" s="124">
        <v>18</v>
      </c>
      <c r="BC21" s="558" t="str">
        <f t="shared" si="1"/>
        <v>Sciaffusa</v>
      </c>
      <c r="BD21" s="180" t="b">
        <v>1</v>
      </c>
      <c r="BE21" s="124">
        <v>18</v>
      </c>
    </row>
    <row r="22" spans="1:75">
      <c r="A22" s="555" t="str">
        <f t="shared" si="6"/>
        <v/>
      </c>
      <c r="B22" s="38" t="str">
        <f t="shared" si="6"/>
        <v/>
      </c>
      <c r="C22" s="38" t="str">
        <f t="shared" si="6"/>
        <v/>
      </c>
      <c r="D22" s="38" t="str">
        <f t="shared" si="6"/>
        <v/>
      </c>
      <c r="E22" s="38" t="str">
        <f t="shared" si="6"/>
        <v/>
      </c>
      <c r="F22" s="38" t="str">
        <f t="shared" si="6"/>
        <v/>
      </c>
      <c r="G22" s="598">
        <v>16</v>
      </c>
      <c r="R22" s="109" t="s">
        <v>215</v>
      </c>
      <c r="S22" s="161" t="b">
        <f>OR(Kategorie1=10,Kategorie2=10,Kategorie3=10,Kategorie4=10,Kategorie1=11,Kategorie2=11,Kategorie3=11,Kategorie4=11)</f>
        <v>0</v>
      </c>
      <c r="U22" s="880" t="s">
        <v>332</v>
      </c>
      <c r="V22" s="881" t="s">
        <v>333</v>
      </c>
      <c r="W22" s="881" t="s">
        <v>1</v>
      </c>
      <c r="X22" s="882" t="s">
        <v>340</v>
      </c>
      <c r="AE22" s="670" t="s">
        <v>518</v>
      </c>
      <c r="AG22" s="64"/>
      <c r="AH22" s="191" t="s">
        <v>699</v>
      </c>
      <c r="AI22" s="28" t="s">
        <v>710</v>
      </c>
      <c r="AJ22" s="63"/>
      <c r="AK22" s="63"/>
      <c r="AL22" s="64"/>
      <c r="BB22" s="124">
        <v>19</v>
      </c>
      <c r="BC22" s="558" t="str">
        <f t="shared" si="1"/>
        <v>Soletta</v>
      </c>
      <c r="BD22" s="180" t="b">
        <v>1</v>
      </c>
      <c r="BE22" s="124">
        <v>19</v>
      </c>
    </row>
    <row r="23" spans="1:75">
      <c r="A23" s="555" t="str">
        <f t="shared" si="6"/>
        <v/>
      </c>
      <c r="B23" s="38" t="str">
        <f t="shared" si="6"/>
        <v/>
      </c>
      <c r="C23" s="38" t="str">
        <f t="shared" si="6"/>
        <v/>
      </c>
      <c r="D23" s="38" t="str">
        <f t="shared" si="6"/>
        <v/>
      </c>
      <c r="E23" s="38" t="str">
        <f t="shared" si="6"/>
        <v/>
      </c>
      <c r="F23" s="38" t="str">
        <f t="shared" si="6"/>
        <v/>
      </c>
      <c r="G23" s="598">
        <v>17</v>
      </c>
      <c r="I23" s="28" t="s">
        <v>153</v>
      </c>
      <c r="J23" s="75"/>
      <c r="K23" s="175" t="s">
        <v>718</v>
      </c>
      <c r="L23" s="63" t="s">
        <v>719</v>
      </c>
      <c r="M23" s="176"/>
      <c r="N23" s="260">
        <f>IF(Kategorie1&gt;0,INDEX($O$9:$O$21,Kategorie1,1),)</f>
        <v>0</v>
      </c>
      <c r="O23" s="175" t="s">
        <v>207</v>
      </c>
      <c r="P23" s="63" t="s">
        <v>719</v>
      </c>
      <c r="Q23" s="75"/>
      <c r="R23" s="260">
        <f>IF(Kategorie2&gt;0,INDEX($O$9:$O$21,Kategorie2,1),)</f>
        <v>0</v>
      </c>
      <c r="U23" s="2228" t="s">
        <v>824</v>
      </c>
      <c r="V23" s="2229"/>
      <c r="W23" s="2229"/>
      <c r="X23" s="2230"/>
      <c r="AE23" s="89" t="str">
        <f>""</f>
        <v/>
      </c>
      <c r="AF23" s="598">
        <v>1</v>
      </c>
      <c r="AG23" s="520">
        <f>IF(Dati!$F$22="",1,VLOOKUP(Dati!$F$22,$AE$23:$AF$29,2,FALSE))</f>
        <v>1</v>
      </c>
      <c r="AH23" s="667" t="s">
        <v>556</v>
      </c>
      <c r="AI23" s="36" t="str">
        <f>Q40</f>
        <v xml:space="preserve"> </v>
      </c>
      <c r="AJ23" s="35"/>
      <c r="AK23" s="35"/>
      <c r="AL23" s="119"/>
      <c r="AM23" s="27">
        <v>1</v>
      </c>
      <c r="BB23" s="124">
        <v>20</v>
      </c>
      <c r="BC23" s="558" t="str">
        <f t="shared" si="1"/>
        <v>Svitto</v>
      </c>
      <c r="BD23" s="180" t="b">
        <v>1</v>
      </c>
      <c r="BE23" s="124">
        <v>20</v>
      </c>
    </row>
    <row r="24" spans="1:75">
      <c r="A24" s="555" t="str">
        <f t="shared" ref="A24:F33" si="8">IF(Kanton=29,A71,"")</f>
        <v/>
      </c>
      <c r="B24" s="38" t="str">
        <f t="shared" si="8"/>
        <v/>
      </c>
      <c r="C24" s="38" t="str">
        <f t="shared" si="8"/>
        <v/>
      </c>
      <c r="D24" s="38" t="str">
        <f t="shared" si="8"/>
        <v/>
      </c>
      <c r="E24" s="38" t="str">
        <f t="shared" si="8"/>
        <v/>
      </c>
      <c r="F24" s="38" t="str">
        <f t="shared" si="8"/>
        <v/>
      </c>
      <c r="G24" s="598">
        <v>18</v>
      </c>
      <c r="I24" s="114">
        <v>1</v>
      </c>
      <c r="J24" s="280"/>
      <c r="K24" s="285" t="s">
        <v>634</v>
      </c>
      <c r="L24" s="519">
        <f>IF(N24=0,1,N24)</f>
        <v>1</v>
      </c>
      <c r="M24" s="286"/>
      <c r="N24" s="517">
        <f>IF(Dati!F16="",1,VLOOKUP(Dati!F16,Standardwerte!I9:T21,12,FALSE))</f>
        <v>1</v>
      </c>
      <c r="O24" s="285" t="s">
        <v>634</v>
      </c>
      <c r="P24" s="519">
        <f>IF(R24=0,1,R24)</f>
        <v>1</v>
      </c>
      <c r="Q24" s="286" t="str">
        <f>M4</f>
        <v/>
      </c>
      <c r="R24" s="518">
        <f>IF(Dati!G16="",1,VLOOKUP(Dati!G16,Standardwerte!I9:T21,12,FALSE))</f>
        <v>1</v>
      </c>
      <c r="T24" s="266" t="str">
        <f>""</f>
        <v/>
      </c>
      <c r="U24" s="901"/>
      <c r="V24" s="902"/>
      <c r="W24" s="902"/>
      <c r="X24" s="903"/>
      <c r="AE24" s="124" t="s">
        <v>519</v>
      </c>
      <c r="AF24" s="598">
        <v>2</v>
      </c>
      <c r="AG24" s="521">
        <f>IF(Dati!G22="",1,VLOOKUP(Dati!G22,$AE$23:$AF$29,2,FALSE))</f>
        <v>1</v>
      </c>
      <c r="AH24" s="668" t="s">
        <v>557</v>
      </c>
      <c r="AI24" s="43" t="str">
        <f>Q41</f>
        <v>si</v>
      </c>
      <c r="AJ24" s="42"/>
      <c r="AK24" s="42"/>
      <c r="AL24" s="53"/>
      <c r="AM24" s="27">
        <v>2</v>
      </c>
      <c r="BB24" s="124">
        <v>21</v>
      </c>
      <c r="BC24" s="558" t="str">
        <f t="shared" si="1"/>
        <v>Turgovia</v>
      </c>
      <c r="BD24" s="180" t="b">
        <v>1</v>
      </c>
      <c r="BE24" s="124">
        <v>21</v>
      </c>
    </row>
    <row r="25" spans="1:75" ht="14.25" customHeight="1">
      <c r="A25" s="555" t="str">
        <f t="shared" si="8"/>
        <v/>
      </c>
      <c r="B25" s="38" t="str">
        <f t="shared" si="8"/>
        <v/>
      </c>
      <c r="C25" s="38" t="str">
        <f t="shared" si="8"/>
        <v/>
      </c>
      <c r="D25" s="38" t="str">
        <f t="shared" si="8"/>
        <v/>
      </c>
      <c r="E25" s="38" t="str">
        <f t="shared" si="8"/>
        <v/>
      </c>
      <c r="F25" s="38" t="str">
        <f t="shared" si="8"/>
        <v/>
      </c>
      <c r="G25" s="598">
        <v>19</v>
      </c>
      <c r="I25" s="56">
        <v>2</v>
      </c>
      <c r="J25" s="85" t="str">
        <f>AA48</f>
        <v>no</v>
      </c>
      <c r="K25" s="277" t="s">
        <v>479</v>
      </c>
      <c r="L25" s="284" t="str">
        <f>INDEX($O$35:$O$46,Lüftung1,1)</f>
        <v/>
      </c>
      <c r="M25" s="893" t="s">
        <v>825</v>
      </c>
      <c r="N25" s="906">
        <f>IF(Dati!F35="",1,VLOOKUP(Dati!F35,$AB$47:$AC$48,2,FALSE))</f>
        <v>1</v>
      </c>
      <c r="O25" s="277" t="s">
        <v>479</v>
      </c>
      <c r="P25" s="284" t="str">
        <f>INDEX($O$35:$O$46,Lüftung2,1)</f>
        <v/>
      </c>
      <c r="Q25" s="893" t="s">
        <v>825</v>
      </c>
      <c r="R25" s="906">
        <f>IF(Dati!G35="",1,VLOOKUP(Dati!G35,$AB$47:$AC$48,2,FALSE))</f>
        <v>1</v>
      </c>
      <c r="T25" s="893" t="str">
        <f>O36</f>
        <v>No ventil.</v>
      </c>
      <c r="U25" s="894">
        <v>0</v>
      </c>
      <c r="V25" s="900">
        <v>0</v>
      </c>
      <c r="W25" s="900">
        <v>0</v>
      </c>
      <c r="X25" s="904">
        <v>0</v>
      </c>
      <c r="AE25" s="124" t="s">
        <v>520</v>
      </c>
      <c r="AF25" s="598">
        <v>3</v>
      </c>
      <c r="AG25" s="521">
        <f>IF(Dati!$H$22="",1,VLOOKUP(Dati!$H$22,$AE$23:$AF$29,2,FALSE))</f>
        <v>1</v>
      </c>
      <c r="AH25" s="668" t="s">
        <v>234</v>
      </c>
      <c r="AI25" s="43" t="str">
        <f>Q42</f>
        <v>no</v>
      </c>
      <c r="AJ25" s="42"/>
      <c r="AK25" s="42"/>
      <c r="AL25" s="53"/>
      <c r="AM25" s="27">
        <v>3</v>
      </c>
      <c r="BB25" s="124">
        <v>22</v>
      </c>
      <c r="BC25" s="558" t="str">
        <f t="shared" si="1"/>
        <v>Ticino</v>
      </c>
      <c r="BD25" s="180" t="b">
        <v>1</v>
      </c>
      <c r="BE25" s="124">
        <v>22</v>
      </c>
      <c r="BM25" s="276"/>
    </row>
    <row r="26" spans="1:75">
      <c r="A26" s="555" t="str">
        <f t="shared" si="8"/>
        <v/>
      </c>
      <c r="B26" s="38" t="str">
        <f t="shared" si="8"/>
        <v/>
      </c>
      <c r="C26" s="38" t="str">
        <f t="shared" si="8"/>
        <v/>
      </c>
      <c r="D26" s="38" t="str">
        <f t="shared" si="8"/>
        <v/>
      </c>
      <c r="E26" s="38" t="str">
        <f t="shared" si="8"/>
        <v/>
      </c>
      <c r="F26" s="38" t="str">
        <f t="shared" si="8"/>
        <v/>
      </c>
      <c r="G26" s="598">
        <v>20</v>
      </c>
      <c r="I26" s="112">
        <v>3</v>
      </c>
      <c r="J26" s="139" t="str">
        <f>AA47</f>
        <v>si</v>
      </c>
      <c r="K26" s="278" t="s">
        <v>363</v>
      </c>
      <c r="L26" s="279" t="b">
        <f>IF(_WW1=3,INDEX($R$9:$R$21,Kategorie1,1),FALSE)</f>
        <v>0</v>
      </c>
      <c r="M26" s="302" t="s">
        <v>469</v>
      </c>
      <c r="N26" s="287" t="b">
        <f>IF(Kategorie1&gt;0,INDEX($S$9:$S$21,Kategorie1,1),TRUE)</f>
        <v>1</v>
      </c>
      <c r="O26" s="278" t="s">
        <v>363</v>
      </c>
      <c r="P26" s="279" t="b">
        <f>IF(Zonen&gt;1,IF(_WW2=3,INDEX($R$9:$R$21,Kategorie2,1),FALSE),FALSE)</f>
        <v>0</v>
      </c>
      <c r="Q26" s="287" t="s">
        <v>469</v>
      </c>
      <c r="R26" s="301" t="b">
        <f>IF(Kategorie2&gt;0,INDEX($S$9:$S$21,Kategorie2,1),TRUE)</f>
        <v>1</v>
      </c>
      <c r="T26" s="893" t="str">
        <f t="shared" ref="T26:T32" si="9">O37</f>
        <v>Immiss./estraz.</v>
      </c>
      <c r="U26" s="895">
        <f>0.24+0.7</f>
        <v>0.94</v>
      </c>
      <c r="V26" s="896">
        <f>0.24+0.7</f>
        <v>0.94</v>
      </c>
      <c r="W26" s="896">
        <f>0.18+0.7</f>
        <v>0.87999999999999989</v>
      </c>
      <c r="X26" s="905">
        <f>0.18+0.7</f>
        <v>0.87999999999999989</v>
      </c>
      <c r="AE26" s="124" t="s">
        <v>349</v>
      </c>
      <c r="AF26" s="598">
        <v>4</v>
      </c>
      <c r="AG26" s="522">
        <f>IF(Dati!$I$22="",1,VLOOKUP(Dati!$I$22,$AE$23:$AF$29,2,FALSE))</f>
        <v>1</v>
      </c>
      <c r="AH26" s="669" t="s">
        <v>235</v>
      </c>
      <c r="AI26" s="43"/>
      <c r="AJ26" s="42"/>
      <c r="AK26" s="42"/>
      <c r="AL26" s="53"/>
      <c r="BB26" s="124">
        <v>23</v>
      </c>
      <c r="BC26" s="558" t="str">
        <f t="shared" si="1"/>
        <v>Uri</v>
      </c>
      <c r="BD26" s="180" t="b">
        <v>1</v>
      </c>
      <c r="BE26" s="124">
        <v>23</v>
      </c>
      <c r="BL26" s="335" t="s">
        <v>663</v>
      </c>
      <c r="BM26" s="335"/>
      <c r="BN26" s="335"/>
    </row>
    <row r="27" spans="1:75" ht="15.6" customHeight="1">
      <c r="A27" s="555" t="str">
        <f t="shared" si="8"/>
        <v/>
      </c>
      <c r="B27" s="38" t="str">
        <f t="shared" si="8"/>
        <v/>
      </c>
      <c r="C27" s="38" t="str">
        <f t="shared" si="8"/>
        <v/>
      </c>
      <c r="D27" s="38" t="str">
        <f t="shared" si="8"/>
        <v/>
      </c>
      <c r="E27" s="38" t="str">
        <f t="shared" si="8"/>
        <v/>
      </c>
      <c r="F27" s="38" t="str">
        <f t="shared" si="8"/>
        <v/>
      </c>
      <c r="G27" s="598">
        <v>21</v>
      </c>
      <c r="I27" s="110" t="s">
        <v>52</v>
      </c>
      <c r="J27" s="671">
        <f>IF(Dati!$F$30="",1,VLOOKUP(Dati!$F$30,AG39:AO41,9,FALSE))</f>
        <v>1</v>
      </c>
      <c r="K27" s="175" t="s">
        <v>208</v>
      </c>
      <c r="L27" s="63" t="s">
        <v>719</v>
      </c>
      <c r="M27" s="173"/>
      <c r="N27" s="260">
        <f>IF(Kategorie3&gt;0,INDEX($O$9:$O$21,Kategorie3,1),)</f>
        <v>0</v>
      </c>
      <c r="O27" s="281" t="s">
        <v>209</v>
      </c>
      <c r="P27" s="171" t="s">
        <v>719</v>
      </c>
      <c r="Q27" s="282"/>
      <c r="R27" s="283">
        <f>IF(Kategorie4&gt;0,INDEX($O$9:$O$21,Kategorie4,1),)</f>
        <v>0</v>
      </c>
      <c r="T27" s="893" t="str">
        <f t="shared" si="9"/>
        <v>Ventil.+RC</v>
      </c>
      <c r="U27" s="895">
        <f>0.24+0.7</f>
        <v>0.94</v>
      </c>
      <c r="V27" s="896">
        <f>0.24+0.7</f>
        <v>0.94</v>
      </c>
      <c r="W27" s="896">
        <f>0.18+0.7</f>
        <v>0.87999999999999989</v>
      </c>
      <c r="X27" s="905">
        <f>0.18+0.7</f>
        <v>0.87999999999999989</v>
      </c>
      <c r="AE27" s="124" t="s">
        <v>516</v>
      </c>
      <c r="AF27" s="598">
        <v>5</v>
      </c>
      <c r="AI27" s="43"/>
      <c r="AJ27" s="42"/>
      <c r="AK27" s="42"/>
      <c r="AL27" s="53"/>
      <c r="BB27" s="124">
        <v>24</v>
      </c>
      <c r="BC27" s="558" t="str">
        <f t="shared" si="1"/>
        <v>Vaud</v>
      </c>
      <c r="BD27" s="180" t="b">
        <v>1</v>
      </c>
      <c r="BE27" s="124">
        <v>24</v>
      </c>
      <c r="BW27" s="275" t="s">
        <v>369</v>
      </c>
    </row>
    <row r="28" spans="1:75">
      <c r="A28" s="555" t="str">
        <f t="shared" si="8"/>
        <v/>
      </c>
      <c r="B28" s="38" t="str">
        <f t="shared" si="8"/>
        <v/>
      </c>
      <c r="C28" s="38" t="str">
        <f t="shared" si="8"/>
        <v/>
      </c>
      <c r="D28" s="38" t="str">
        <f t="shared" si="8"/>
        <v/>
      </c>
      <c r="E28" s="38" t="str">
        <f t="shared" si="8"/>
        <v/>
      </c>
      <c r="F28" s="38" t="str">
        <f t="shared" si="8"/>
        <v/>
      </c>
      <c r="G28" s="598">
        <v>22</v>
      </c>
      <c r="I28" s="110" t="s">
        <v>444</v>
      </c>
      <c r="J28" s="671">
        <f>IF(Zonen&gt;1,IF(Dati!$G$30="",1,VLOOKUP(Dati!$G$30,AI39:AO41,7,FALSE)),1)</f>
        <v>1</v>
      </c>
      <c r="K28" s="285" t="s">
        <v>634</v>
      </c>
      <c r="L28" s="519">
        <f>IF(N28=0,1,N28)</f>
        <v>1</v>
      </c>
      <c r="M28" s="286" t="str">
        <f>O4</f>
        <v/>
      </c>
      <c r="N28" s="517">
        <f>IF(Dati!H16="",1,VLOOKUP(Dati!H16,Standardwerte!I9:T21,12,FALSE))</f>
        <v>1</v>
      </c>
      <c r="O28" s="285" t="s">
        <v>634</v>
      </c>
      <c r="P28" s="519">
        <f>IF(R28=0,1,R28)</f>
        <v>1</v>
      </c>
      <c r="Q28" s="286" t="str">
        <f>Q4</f>
        <v/>
      </c>
      <c r="R28" s="518">
        <f>IF(Dati!I16="",1,VLOOKUP(Dati!I16,Standardwerte!I9:T21,12,FALSE))</f>
        <v>1</v>
      </c>
      <c r="T28" s="893" t="str">
        <f t="shared" si="9"/>
        <v>Ventil.+PdC</v>
      </c>
      <c r="U28" s="895">
        <f>0.24+0.9</f>
        <v>1.1400000000000001</v>
      </c>
      <c r="V28" s="896">
        <f>0.24+0.9</f>
        <v>1.1400000000000001</v>
      </c>
      <c r="W28" s="896">
        <f>0.18+0.8</f>
        <v>0.98</v>
      </c>
      <c r="X28" s="905">
        <f>0.18+0.7</f>
        <v>0.87999999999999989</v>
      </c>
      <c r="AE28" s="124" t="s">
        <v>350</v>
      </c>
      <c r="AF28" s="598">
        <v>6</v>
      </c>
      <c r="AI28" s="43"/>
      <c r="AJ28" s="42"/>
      <c r="AK28" s="42"/>
      <c r="AL28" s="53"/>
      <c r="BB28" s="124">
        <v>25</v>
      </c>
      <c r="BC28" s="558" t="str">
        <f t="shared" si="1"/>
        <v>Vallese</v>
      </c>
      <c r="BD28" s="180" t="b">
        <v>1</v>
      </c>
      <c r="BE28" s="124">
        <v>25</v>
      </c>
      <c r="BI28" s="2217" t="s">
        <v>180</v>
      </c>
      <c r="BJ28" s="2218"/>
      <c r="BK28" s="563">
        <f>BN28</f>
        <v>2</v>
      </c>
      <c r="BL28" s="131" t="s">
        <v>662</v>
      </c>
      <c r="BM28" s="1313" t="b">
        <f>IF(BN28=3,TRUE,FALSE)</f>
        <v>0</v>
      </c>
      <c r="BN28" s="676">
        <f>Y52</f>
        <v>2</v>
      </c>
      <c r="BV28" s="27" t="s">
        <v>199</v>
      </c>
      <c r="BW28" s="147" t="b">
        <f>OR(abgabe1=6,abgabe2=6,abgabe3=6,abgabe4=6)</f>
        <v>0</v>
      </c>
    </row>
    <row r="29" spans="1:75">
      <c r="A29" s="555" t="str">
        <f t="shared" si="8"/>
        <v/>
      </c>
      <c r="B29" s="38" t="str">
        <f t="shared" si="8"/>
        <v/>
      </c>
      <c r="C29" s="38" t="str">
        <f t="shared" si="8"/>
        <v/>
      </c>
      <c r="D29" s="38" t="str">
        <f t="shared" si="8"/>
        <v/>
      </c>
      <c r="E29" s="38" t="str">
        <f t="shared" si="8"/>
        <v/>
      </c>
      <c r="F29" s="38" t="str">
        <f t="shared" si="8"/>
        <v/>
      </c>
      <c r="G29" s="598">
        <v>23</v>
      </c>
      <c r="I29" s="110" t="s">
        <v>445</v>
      </c>
      <c r="J29" s="671">
        <f>IF(Zonen&gt;2,IF(Dati!$H$30="",1,VLOOKUP(Dati!$H$30,AK39:AO41,5,FALSE)),1)</f>
        <v>1</v>
      </c>
      <c r="K29" s="277" t="s">
        <v>479</v>
      </c>
      <c r="L29" s="284" t="str">
        <f>INDEX($O$35:$O$46,Lüftung3,1)</f>
        <v/>
      </c>
      <c r="M29" s="893" t="s">
        <v>825</v>
      </c>
      <c r="N29" s="906">
        <f>IF(Dati!H35="",1,VLOOKUP(Dati!H35,$AB$47:$AC$48,2,FALSE))</f>
        <v>1</v>
      </c>
      <c r="O29" s="277" t="s">
        <v>479</v>
      </c>
      <c r="P29" s="284" t="str">
        <f>INDEX($O$35:$O$46,Lüftung4,1)</f>
        <v/>
      </c>
      <c r="Q29" s="893" t="s">
        <v>825</v>
      </c>
      <c r="R29" s="906">
        <f>IF(Dati!I35="",1,VLOOKUP(Dati!I35,$AB$47:$AC$48,2,FALSE))</f>
        <v>1</v>
      </c>
      <c r="T29" s="893" t="str">
        <f t="shared" si="9"/>
        <v>Solo estraz.</v>
      </c>
      <c r="U29" s="895">
        <f>0.18+0.4</f>
        <v>0.58000000000000007</v>
      </c>
      <c r="V29" s="896">
        <f>0.18+0.4</f>
        <v>0.58000000000000007</v>
      </c>
      <c r="W29" s="896">
        <f>0.18+0.4</f>
        <v>0.58000000000000007</v>
      </c>
      <c r="X29" s="905">
        <f>0.18+0.4</f>
        <v>0.58000000000000007</v>
      </c>
      <c r="AE29" s="147" t="s">
        <v>517</v>
      </c>
      <c r="AF29" s="598">
        <v>7</v>
      </c>
      <c r="AI29" s="95"/>
      <c r="AJ29" s="60"/>
      <c r="AK29" s="60"/>
      <c r="AL29" s="120"/>
      <c r="BB29" s="124">
        <v>26</v>
      </c>
      <c r="BC29" s="558" t="str">
        <f t="shared" si="1"/>
        <v>Zugo</v>
      </c>
      <c r="BD29" s="180" t="b">
        <v>1</v>
      </c>
      <c r="BE29" s="124">
        <v>26</v>
      </c>
      <c r="BI29" s="408"/>
      <c r="BJ29" s="42"/>
      <c r="BL29" s="594" t="s">
        <v>183</v>
      </c>
      <c r="BM29" s="35"/>
      <c r="BN29" s="119"/>
      <c r="BV29" s="27" t="s">
        <v>199</v>
      </c>
    </row>
    <row r="30" spans="1:75">
      <c r="A30" s="555" t="str">
        <f t="shared" si="8"/>
        <v/>
      </c>
      <c r="B30" s="38" t="str">
        <f t="shared" si="8"/>
        <v/>
      </c>
      <c r="C30" s="38" t="str">
        <f t="shared" si="8"/>
        <v/>
      </c>
      <c r="D30" s="38" t="str">
        <f t="shared" si="8"/>
        <v/>
      </c>
      <c r="E30" s="38" t="str">
        <f t="shared" si="8"/>
        <v/>
      </c>
      <c r="F30" s="38" t="str">
        <f t="shared" si="8"/>
        <v/>
      </c>
      <c r="G30" s="598">
        <v>24</v>
      </c>
      <c r="I30" s="111" t="s">
        <v>446</v>
      </c>
      <c r="J30" s="672">
        <f>IF(Zonen&gt;3,IF(Dati!$I$30="",1,VLOOKUP(Dati!$I$30,AM39:AO41,3,FALSE)),1)</f>
        <v>1</v>
      </c>
      <c r="K30" s="278" t="s">
        <v>363</v>
      </c>
      <c r="L30" s="279" t="b">
        <f>IF(Zonen&gt;2,IF(_WW3=3,INDEX($R$9:$R$21,Kategorie3,1),FALSE),FALSE)</f>
        <v>0</v>
      </c>
      <c r="M30" s="302" t="s">
        <v>469</v>
      </c>
      <c r="N30" s="287" t="b">
        <f>IF(Kategorie3&gt;0,INDEX($S$9:$S$21,Kategorie3,1),TRUE)</f>
        <v>1</v>
      </c>
      <c r="O30" s="278" t="s">
        <v>363</v>
      </c>
      <c r="P30" s="279" t="b">
        <f>IF(Zonen&gt;3,IF(_WW4=3,INDEX($R$9:$R$21,Kategorie4,1),FALSE),FALSE)</f>
        <v>0</v>
      </c>
      <c r="Q30" s="287" t="s">
        <v>469</v>
      </c>
      <c r="R30" s="301" t="b">
        <f>IF(Kategorie4&gt;0,INDEX($S$9:$S$21,Kategorie4,1),TRUE)</f>
        <v>1</v>
      </c>
      <c r="T30" s="893" t="str">
        <f t="shared" si="9"/>
        <v>Estraz.+PdC</v>
      </c>
      <c r="U30" s="895">
        <f>0.18+0.5</f>
        <v>0.67999999999999994</v>
      </c>
      <c r="V30" s="896">
        <f>0.18+0.5</f>
        <v>0.67999999999999994</v>
      </c>
      <c r="W30" s="896">
        <f>0.18+0.5</f>
        <v>0.67999999999999994</v>
      </c>
      <c r="X30" s="905">
        <f>0.18+0.5</f>
        <v>0.67999999999999994</v>
      </c>
      <c r="BB30" s="124">
        <v>27</v>
      </c>
      <c r="BC30" s="558" t="str">
        <f t="shared" si="1"/>
        <v>Zurigo</v>
      </c>
      <c r="BD30" s="180" t="b">
        <v>1</v>
      </c>
      <c r="BE30" s="124">
        <v>27</v>
      </c>
      <c r="BI30" s="408"/>
      <c r="BJ30" s="42"/>
      <c r="BL30" s="595" t="s">
        <v>184</v>
      </c>
      <c r="BM30" s="42"/>
      <c r="BN30" s="53"/>
      <c r="BV30" s="27" t="s">
        <v>199</v>
      </c>
    </row>
    <row r="31" spans="1:75" ht="15.6">
      <c r="A31" s="555" t="str">
        <f t="shared" si="8"/>
        <v/>
      </c>
      <c r="B31" s="38" t="str">
        <f t="shared" si="8"/>
        <v/>
      </c>
      <c r="C31" s="38" t="str">
        <f t="shared" si="8"/>
        <v/>
      </c>
      <c r="D31" s="38" t="str">
        <f t="shared" si="8"/>
        <v/>
      </c>
      <c r="E31" s="38" t="str">
        <f t="shared" si="8"/>
        <v/>
      </c>
      <c r="F31" s="38" t="str">
        <f t="shared" si="8"/>
        <v/>
      </c>
      <c r="G31" s="598">
        <v>25</v>
      </c>
      <c r="T31" s="893" t="str">
        <f t="shared" si="9"/>
        <v>Aeraz. per loc.</v>
      </c>
      <c r="U31" s="895">
        <f>0.7</f>
        <v>0.7</v>
      </c>
      <c r="V31" s="896">
        <f>0.7</f>
        <v>0.7</v>
      </c>
      <c r="W31" s="896">
        <f>0.7</f>
        <v>0.7</v>
      </c>
      <c r="X31" s="905">
        <f>0.7</f>
        <v>0.7</v>
      </c>
      <c r="AE31" s="276" t="s">
        <v>681</v>
      </c>
      <c r="BB31" s="124">
        <v>28</v>
      </c>
      <c r="BC31" s="558" t="str">
        <f t="shared" si="1"/>
        <v xml:space="preserve">Principato del Liechtenstein </v>
      </c>
      <c r="BD31" s="180" t="b">
        <v>1</v>
      </c>
      <c r="BE31" s="124">
        <v>28</v>
      </c>
      <c r="BI31" s="408"/>
      <c r="BJ31" s="42"/>
      <c r="BL31" s="595" t="s">
        <v>185</v>
      </c>
      <c r="BM31" s="42"/>
      <c r="BN31" s="53"/>
      <c r="BV31" s="27" t="s">
        <v>199</v>
      </c>
    </row>
    <row r="32" spans="1:75" ht="15.6">
      <c r="A32" s="555" t="str">
        <f t="shared" si="8"/>
        <v/>
      </c>
      <c r="B32" s="38" t="str">
        <f t="shared" si="8"/>
        <v/>
      </c>
      <c r="C32" s="38" t="str">
        <f t="shared" si="8"/>
        <v/>
      </c>
      <c r="D32" s="38" t="str">
        <f t="shared" si="8"/>
        <v/>
      </c>
      <c r="E32" s="38" t="str">
        <f t="shared" si="8"/>
        <v/>
      </c>
      <c r="F32" s="38" t="str">
        <f t="shared" si="8"/>
        <v/>
      </c>
      <c r="G32" s="598">
        <v>26</v>
      </c>
      <c r="I32" s="276" t="s">
        <v>537</v>
      </c>
      <c r="L32" s="276" t="s">
        <v>682</v>
      </c>
      <c r="T32" s="893" t="str">
        <f t="shared" si="9"/>
        <v>Finestre,autom.</v>
      </c>
      <c r="U32" s="909">
        <f>0.012</f>
        <v>1.2E-2</v>
      </c>
      <c r="V32" s="910">
        <f>0.012</f>
        <v>1.2E-2</v>
      </c>
      <c r="W32" s="910">
        <f>0.032</f>
        <v>3.2000000000000001E-2</v>
      </c>
      <c r="X32" s="911">
        <f>0.032</f>
        <v>3.2000000000000001E-2</v>
      </c>
      <c r="AV32" s="276"/>
      <c r="BB32" s="147">
        <v>29</v>
      </c>
      <c r="BC32" s="559" t="str">
        <f t="shared" si="1"/>
        <v>speciale</v>
      </c>
      <c r="BD32" s="179" t="b">
        <v>1</v>
      </c>
      <c r="BE32" s="147">
        <v>29</v>
      </c>
      <c r="BI32" s="409"/>
      <c r="BJ32" s="42"/>
      <c r="BL32" s="339" t="str">
        <f>IF(BN28&gt;0,INDEX(BL29:BL31,BN28,1),BL29)</f>
        <v>Nachweisformular zum MINERGIE-P-Antrag</v>
      </c>
      <c r="BM32" s="564"/>
      <c r="BN32" s="340"/>
    </row>
    <row r="33" spans="1:74">
      <c r="A33" s="555" t="str">
        <f t="shared" si="8"/>
        <v/>
      </c>
      <c r="B33" s="38" t="str">
        <f t="shared" si="8"/>
        <v/>
      </c>
      <c r="C33" s="38" t="str">
        <f t="shared" si="8"/>
        <v/>
      </c>
      <c r="D33" s="38" t="str">
        <f t="shared" si="8"/>
        <v/>
      </c>
      <c r="E33" s="38" t="str">
        <f t="shared" si="8"/>
        <v/>
      </c>
      <c r="F33" s="38" t="str">
        <f t="shared" si="8"/>
        <v/>
      </c>
      <c r="G33" s="598">
        <v>27</v>
      </c>
      <c r="R33" s="27"/>
      <c r="S33" s="27"/>
      <c r="U33" s="897" t="s">
        <v>332</v>
      </c>
      <c r="V33" s="898" t="s">
        <v>333</v>
      </c>
      <c r="W33" s="898" t="s">
        <v>1</v>
      </c>
      <c r="X33" s="899" t="s">
        <v>340</v>
      </c>
      <c r="Y33" s="881"/>
      <c r="Z33" s="881" t="s">
        <v>333</v>
      </c>
      <c r="AA33" s="883" t="s">
        <v>332</v>
      </c>
      <c r="AB33" s="883" t="s">
        <v>1</v>
      </c>
      <c r="AC33" s="882" t="s">
        <v>340</v>
      </c>
      <c r="AE33" s="63"/>
      <c r="AF33" s="316" t="s">
        <v>201</v>
      </c>
      <c r="AG33" s="2215" t="s">
        <v>162</v>
      </c>
      <c r="AH33" s="2216"/>
      <c r="AI33" s="2215" t="s">
        <v>163</v>
      </c>
      <c r="AJ33" s="2216"/>
      <c r="AK33" s="2215" t="s">
        <v>164</v>
      </c>
      <c r="AL33" s="2216"/>
      <c r="AM33" s="2215" t="s">
        <v>165</v>
      </c>
      <c r="AN33" s="2216"/>
      <c r="BB33" s="552">
        <f>IF(Dati!I13="",1,VLOOKUP(Dati!I13,Standardwerte!BC4:BE32,3,FALSE))</f>
        <v>1</v>
      </c>
      <c r="BC33" s="333">
        <f>IF(Kanton&gt;0,INDEX(BC4:BC32,Kanton,1),"")</f>
        <v>0</v>
      </c>
      <c r="BD33" s="547">
        <f>IF(Kanton&gt;0,INDEX(BD4:BD32,Kanton,1),TRUE)</f>
        <v>0</v>
      </c>
      <c r="BI33" s="42"/>
      <c r="BJ33" s="42"/>
      <c r="BL33" s="131" t="s">
        <v>380</v>
      </c>
      <c r="BM33" s="1313" t="b">
        <f>IF(BN28=4,TRUE,FALSE)</f>
        <v>0</v>
      </c>
      <c r="BN33" s="344"/>
    </row>
    <row r="34" spans="1:74">
      <c r="A34" s="555" t="str">
        <f t="shared" ref="A34:F43" si="10">IF(Kanton=29,A81,"")</f>
        <v/>
      </c>
      <c r="B34" s="38" t="str">
        <f t="shared" si="10"/>
        <v/>
      </c>
      <c r="C34" s="38" t="str">
        <f t="shared" si="10"/>
        <v/>
      </c>
      <c r="D34" s="38" t="str">
        <f t="shared" si="10"/>
        <v/>
      </c>
      <c r="E34" s="38" t="str">
        <f t="shared" si="10"/>
        <v/>
      </c>
      <c r="F34" s="38" t="str">
        <f t="shared" si="10"/>
        <v/>
      </c>
      <c r="G34" s="598">
        <v>28</v>
      </c>
      <c r="I34" s="523" t="s">
        <v>1944</v>
      </c>
      <c r="J34" s="524"/>
      <c r="L34" s="29" t="s">
        <v>361</v>
      </c>
      <c r="M34" s="30"/>
      <c r="N34" s="30"/>
      <c r="O34" s="31"/>
      <c r="P34" s="29" t="s">
        <v>640</v>
      </c>
      <c r="Q34" s="32"/>
      <c r="R34" s="875" t="s">
        <v>819</v>
      </c>
      <c r="S34" s="275" t="s">
        <v>819</v>
      </c>
      <c r="T34" s="871" t="s">
        <v>774</v>
      </c>
      <c r="U34" s="2227" t="s">
        <v>818</v>
      </c>
      <c r="V34" s="2222"/>
      <c r="W34" s="2222"/>
      <c r="X34" s="2223"/>
      <c r="Y34" s="884"/>
      <c r="Z34" s="885"/>
      <c r="AA34" s="2222" t="s">
        <v>821</v>
      </c>
      <c r="AB34" s="2222"/>
      <c r="AC34" s="2223"/>
      <c r="AE34" s="317"/>
      <c r="AF34" s="317"/>
      <c r="AG34" s="310"/>
      <c r="AH34" s="318"/>
      <c r="AI34" s="310"/>
      <c r="AJ34" s="318"/>
      <c r="AK34" s="310"/>
      <c r="AL34" s="318"/>
      <c r="AM34" s="310"/>
      <c r="AN34" s="318"/>
      <c r="BB34" s="368"/>
      <c r="BC34" s="369" t="s">
        <v>685</v>
      </c>
      <c r="BD34" s="370" t="s">
        <v>189</v>
      </c>
      <c r="BE34" s="108" t="s">
        <v>379</v>
      </c>
      <c r="BF34" s="108"/>
    </row>
    <row r="35" spans="1:74">
      <c r="A35" s="555" t="str">
        <f t="shared" si="10"/>
        <v/>
      </c>
      <c r="B35" s="38" t="str">
        <f t="shared" si="10"/>
        <v/>
      </c>
      <c r="C35" s="38" t="str">
        <f t="shared" si="10"/>
        <v/>
      </c>
      <c r="D35" s="38" t="str">
        <f t="shared" si="10"/>
        <v/>
      </c>
      <c r="E35" s="38" t="str">
        <f t="shared" si="10"/>
        <v/>
      </c>
      <c r="F35" s="38" t="str">
        <f t="shared" si="10"/>
        <v/>
      </c>
      <c r="G35" s="598">
        <v>29</v>
      </c>
      <c r="I35" s="525" t="s">
        <v>52</v>
      </c>
      <c r="J35" s="526">
        <f>IF(AND(Klima&gt;1,Kategorie1&gt;0),INDEX($AG$71:$AG$83,Kategorie1,1),)</f>
        <v>0</v>
      </c>
      <c r="K35" s="27">
        <v>1</v>
      </c>
      <c r="L35" s="34" t="s">
        <v>47</v>
      </c>
      <c r="M35" s="35"/>
      <c r="N35" s="119"/>
      <c r="O35" s="35" t="str">
        <f>""</f>
        <v/>
      </c>
      <c r="P35" s="36" t="s">
        <v>641</v>
      </c>
      <c r="Q35" s="787">
        <f>IF(Dati!F$31="",1,VLOOKUP(Dati!F$31,$O$35:$T$43,6,FALSE))</f>
        <v>1</v>
      </c>
      <c r="R35" s="866" t="str">
        <f>IF(AND(Kategorie1&gt;1,Kategorie1&lt;6,Lüftung1&gt;2),MAX(Raum1,ROUNDUP(EBFo1/INDEX($V$9:$V$21,Kategorie1,1),0))*INDEX($Y$35:$AC$43,Lüftung1,Kategorie1),IF(AND(Kategorie1&gt;1,Lüftung1&gt;1),EBFo1*INDEX($O$9:$O$21,Kategorie1,1),""))</f>
        <v/>
      </c>
      <c r="S35" s="876" t="str">
        <f>IF(EBFo1&gt;0,MAX(IF(WRGtyp1&lt;3,INDEX($O$9:$O$21,Kategorie1,1),0),IF(AND(Lüftung1&gt;2,Kategorie1&lt;6),INDEX($U$35:$X$43,Lüftung1,Kategorie1-1)*VSup1/(INDEX($Z$35:$AC$43,Lüftung1,Kategorie1-1))/EBFo1*(1-INDEX($Q$54:$Q$59,WRGtyp1,1))+vo,INDEX($O$9:$O$21,Kategorie1,1))),"")</f>
        <v/>
      </c>
      <c r="T35" s="114">
        <v>1</v>
      </c>
      <c r="U35" s="848"/>
      <c r="V35" s="85"/>
      <c r="W35" s="85"/>
      <c r="X35" s="849"/>
      <c r="Y35" s="85"/>
      <c r="Z35" s="42"/>
      <c r="AA35" s="42"/>
      <c r="AB35" s="42"/>
      <c r="AC35" s="849"/>
      <c r="AE35" s="42"/>
      <c r="AF35" s="314" t="s">
        <v>680</v>
      </c>
      <c r="AG35" s="2202" t="b">
        <f>AND(Kategorie1&lt;=5,EBFo1&lt;=INDEX($U$9:$U$21,Kategorie1,1))</f>
        <v>1</v>
      </c>
      <c r="AH35" s="2203"/>
      <c r="AI35" s="2202" t="b">
        <f>AND(Kategorie2&lt;=5,EBFo2&lt;=INDEX($U$9:$U$21,Kategorie2,1))</f>
        <v>1</v>
      </c>
      <c r="AJ35" s="2203"/>
      <c r="AK35" s="2202" t="b">
        <f>AND(Kategorie3&lt;=5,EBFo3&lt;=INDEX($U$9:$U$21,Kategorie3,1))</f>
        <v>1</v>
      </c>
      <c r="AL35" s="2203"/>
      <c r="AM35" s="2202" t="b">
        <f>AND(Kategorie4&lt;=5,EBFo4&lt;=INDEX($U$9:$U$21,Kategorie4,1))</f>
        <v>1</v>
      </c>
      <c r="AN35" s="2203"/>
      <c r="BB35" s="36">
        <v>0</v>
      </c>
      <c r="BC35" s="119" t="s">
        <v>199</v>
      </c>
      <c r="BD35" s="36" t="s">
        <v>199</v>
      </c>
      <c r="BE35" s="36"/>
      <c r="BF35" s="119"/>
    </row>
    <row r="36" spans="1:74">
      <c r="A36" s="555" t="str">
        <f t="shared" si="10"/>
        <v/>
      </c>
      <c r="B36" s="38" t="str">
        <f t="shared" si="10"/>
        <v/>
      </c>
      <c r="C36" s="38" t="str">
        <f t="shared" si="10"/>
        <v/>
      </c>
      <c r="D36" s="38" t="str">
        <f t="shared" si="10"/>
        <v/>
      </c>
      <c r="E36" s="38" t="str">
        <f t="shared" si="10"/>
        <v/>
      </c>
      <c r="F36" s="38" t="str">
        <f t="shared" si="10"/>
        <v/>
      </c>
      <c r="G36" s="598">
        <v>30</v>
      </c>
      <c r="I36" s="525" t="s">
        <v>444</v>
      </c>
      <c r="J36" s="526">
        <f>IF(AND(Klima&gt;1,Kategorie2&gt;0),INDEX($AG$71:$AG$83,Kategorie2,1),)</f>
        <v>0</v>
      </c>
      <c r="K36" s="27">
        <v>2</v>
      </c>
      <c r="L36" s="595" t="s">
        <v>812</v>
      </c>
      <c r="M36" s="42"/>
      <c r="N36" s="53"/>
      <c r="O36" s="859" t="str">
        <f>Uebersetzung!D94</f>
        <v>No ventil.</v>
      </c>
      <c r="P36" s="43" t="s">
        <v>335</v>
      </c>
      <c r="Q36" s="787">
        <f>IF(Dati!G$31="",1,VLOOKUP(Dati!G$31,$O$35:$T$43,6,FALSE))</f>
        <v>1</v>
      </c>
      <c r="R36" s="866" t="str">
        <f>IF(AND(Kategorie2&gt;1,Kategorie2&lt;6,Lüftung2&gt;2),MAX(Raum2,ROUNDUP(EBFo2/INDEX($V$9:$V$21,Kategorie2,1),0))*INDEX($Y$35:$AC$43,Lüftung2,Kategorie2),IF(AND(Kategorie2&gt;1,Lüftung2&gt;1),EBFo2*INDEX($O$9:$O$21,Kategorie2,1),""))</f>
        <v/>
      </c>
      <c r="S36" s="877" t="str">
        <f>IF(EBFo2&gt;0,MAX(IF(WRGtyp2&lt;3,INDEX($O$9:$O$21,Kategorie2,1),0),IF(AND(Lüftung2&gt;2,Kategorie2&lt;6,WRGtyp2&gt;2),INDEX($U$35:$X$43,Lüftung2,Kategorie2-1)*VSup2/(INDEX($Z$35:$AC$43,Lüftung2,Kategorie2-1))/EBFo2*(1-INDEX($Q$54:$Q$59,WRGtyp2,1))+vo,INDEX($O$9:$O$21,Kategorie2,1))),"")</f>
        <v/>
      </c>
      <c r="T36" s="848">
        <v>2</v>
      </c>
      <c r="U36" s="789"/>
      <c r="V36" s="872"/>
      <c r="W36" s="872"/>
      <c r="X36" s="793"/>
      <c r="Y36" s="85"/>
      <c r="Z36" s="85"/>
      <c r="AA36" s="85"/>
      <c r="AB36" s="85"/>
      <c r="AC36" s="849"/>
      <c r="AE36" s="42"/>
      <c r="AF36" s="314" t="s">
        <v>442</v>
      </c>
      <c r="AG36" s="2202" t="b">
        <f>Kategorie1&gt;1</f>
        <v>0</v>
      </c>
      <c r="AH36" s="2203"/>
      <c r="AI36" s="2202" t="b">
        <f>Kategorie2&gt;1</f>
        <v>0</v>
      </c>
      <c r="AJ36" s="2203"/>
      <c r="AK36" s="2202" t="b">
        <f>Kategorie3&gt;1</f>
        <v>0</v>
      </c>
      <c r="AL36" s="2203"/>
      <c r="AM36" s="2202" t="b">
        <f>Kategorie4&gt;1</f>
        <v>0</v>
      </c>
      <c r="AN36" s="2203"/>
      <c r="BB36" s="43">
        <v>1</v>
      </c>
      <c r="BC36" s="53" t="s">
        <v>199</v>
      </c>
      <c r="BD36" s="43" t="s">
        <v>199</v>
      </c>
      <c r="BE36" s="43"/>
      <c r="BF36" s="53"/>
    </row>
    <row r="37" spans="1:74">
      <c r="A37" s="555" t="str">
        <f t="shared" si="10"/>
        <v/>
      </c>
      <c r="B37" s="38" t="str">
        <f t="shared" si="10"/>
        <v/>
      </c>
      <c r="C37" s="38" t="str">
        <f t="shared" si="10"/>
        <v/>
      </c>
      <c r="D37" s="38" t="str">
        <f t="shared" si="10"/>
        <v/>
      </c>
      <c r="E37" s="38" t="str">
        <f t="shared" si="10"/>
        <v/>
      </c>
      <c r="F37" s="38" t="str">
        <f t="shared" si="10"/>
        <v/>
      </c>
      <c r="G37" s="598">
        <v>31</v>
      </c>
      <c r="I37" s="525" t="s">
        <v>445</v>
      </c>
      <c r="J37" s="526">
        <f>IF(AND(Klima&gt;1,Kategorie3&gt;0),INDEX($AG$71:$AG$83,Kategorie3,1),)</f>
        <v>0</v>
      </c>
      <c r="K37" s="27">
        <v>3</v>
      </c>
      <c r="L37" s="595" t="s">
        <v>813</v>
      </c>
      <c r="M37" s="42"/>
      <c r="N37" s="53"/>
      <c r="O37" s="859" t="str">
        <f>Uebersetzung!D95</f>
        <v>Immiss./estraz.</v>
      </c>
      <c r="P37" s="43" t="s">
        <v>725</v>
      </c>
      <c r="Q37" s="787">
        <f>IF(Dati!H$31="",1,VLOOKUP(Dati!H$31,$O$35:$T$43,6,FALSE))</f>
        <v>1</v>
      </c>
      <c r="R37" s="866" t="str">
        <f>IF(AND(Kategorie3&gt;1,Kategorie3&lt;6,Lüftung3&gt;2),MAX(Raum3,ROUNDUP(EBFo3/INDEX($V$9:$V$21,Kategorie3,1),0))*INDEX($Y$35:$AC$43,Lüftung3,Kategorie3),IF(AND(Kategorie3&gt;1,Lüftung3&gt;1),EBFo3*INDEX($O$9:$O$21,Kategorie3,1),""))</f>
        <v/>
      </c>
      <c r="S37" s="877" t="str">
        <f>IF(EBFo3&gt;0,MAX(IF(WRGtyp3&lt;3,INDEX($O$9:$O$21,Kategorie3,1),0),IF(AND(Lüftung3&gt;2,Kategorie3&lt;6,WRGtyp3&gt;2),INDEX($U$35:$X$43,Lüftung3,Kategorie3-1)*VSup3/(INDEX($Z$35:$AC$43,Lüftung3,Kategorie3-1))/EBFo3*(1-INDEX($Q$54:$Q$59,WRGtyp3,1))+vo,INDEX($O$9:$O$21,Kategorie3,1))),"")</f>
        <v/>
      </c>
      <c r="T37" s="848">
        <v>3</v>
      </c>
      <c r="U37" s="789">
        <f>(20*4368+30*3640+45*728)/8760</f>
        <v>26.17808219178082</v>
      </c>
      <c r="V37" s="872">
        <f>(20*4368+30*3640+45*728)/8760</f>
        <v>26.17808219178082</v>
      </c>
      <c r="W37" s="872">
        <f>(20*750+30*2000)/8760</f>
        <v>8.5616438356164384</v>
      </c>
      <c r="X37" s="793">
        <f>(17*1200+25*800)/8760</f>
        <v>4.6118721461187215</v>
      </c>
      <c r="Y37" s="85"/>
      <c r="Z37" s="85">
        <v>30</v>
      </c>
      <c r="AA37" s="85">
        <v>30</v>
      </c>
      <c r="AB37" s="85">
        <v>30</v>
      </c>
      <c r="AC37" s="849">
        <v>25</v>
      </c>
      <c r="AE37" s="42"/>
      <c r="AF37" s="314" t="s">
        <v>440</v>
      </c>
      <c r="AG37" s="2202" t="b">
        <f>Kategorie1&lt;=5</f>
        <v>1</v>
      </c>
      <c r="AH37" s="2203"/>
      <c r="AI37" s="2202" t="b">
        <f>Kategorie2&lt;=5</f>
        <v>1</v>
      </c>
      <c r="AJ37" s="2203"/>
      <c r="AK37" s="2202" t="b">
        <f>Kategorie3&lt;=5</f>
        <v>1</v>
      </c>
      <c r="AL37" s="2203"/>
      <c r="AM37" s="2202" t="b">
        <f>Kategorie4&lt;=5</f>
        <v>1</v>
      </c>
      <c r="AN37" s="2203"/>
      <c r="BB37" s="43">
        <v>2</v>
      </c>
      <c r="BC37" s="53" t="str">
        <f>Uebersetzung!D82</f>
        <v>Ab. plurif.</v>
      </c>
      <c r="BD37" s="43" t="str">
        <f>BC37</f>
        <v>Ab. plurif.</v>
      </c>
      <c r="BE37" s="43" t="str">
        <f>BD37</f>
        <v>Ab. plurif.</v>
      </c>
      <c r="BF37" s="53"/>
    </row>
    <row r="38" spans="1:74">
      <c r="A38" s="555" t="str">
        <f t="shared" si="10"/>
        <v/>
      </c>
      <c r="B38" s="38" t="str">
        <f t="shared" si="10"/>
        <v/>
      </c>
      <c r="C38" s="38" t="str">
        <f t="shared" si="10"/>
        <v/>
      </c>
      <c r="D38" s="38" t="str">
        <f t="shared" si="10"/>
        <v/>
      </c>
      <c r="E38" s="38" t="str">
        <f t="shared" si="10"/>
        <v/>
      </c>
      <c r="F38" s="38" t="str">
        <f t="shared" si="10"/>
        <v/>
      </c>
      <c r="G38" s="598">
        <v>32</v>
      </c>
      <c r="I38" s="527" t="s">
        <v>446</v>
      </c>
      <c r="J38" s="528">
        <f>IF(AND(Klima&gt;1,Kategorie4&gt;0),INDEX($AG$71:$AG$83,Kategorie4,1),)</f>
        <v>0</v>
      </c>
      <c r="K38" s="27">
        <v>4</v>
      </c>
      <c r="L38" s="41" t="s">
        <v>359</v>
      </c>
      <c r="M38" s="42"/>
      <c r="N38" s="53"/>
      <c r="O38" s="859" t="str">
        <f>Uebersetzung!D96</f>
        <v>Ventil.+RC</v>
      </c>
      <c r="P38" s="43" t="s">
        <v>197</v>
      </c>
      <c r="Q38" s="675">
        <f>IF(Dati!I$31="",1,VLOOKUP(Dati!I$31,$O$35:$T$43,6,FALSE))</f>
        <v>1</v>
      </c>
      <c r="R38" s="866" t="str">
        <f>IF(AND(Kategorie4&gt;1,Kategorie4&lt;6,Lüftung4&gt;2),MAX(Raum4,ROUNDUP(EBFo4/INDEX($V$9:$V$21,Kategorie4,1),0))*INDEX($Y$35:$AC$43,Lüftung4,Kategorie4),IF(AND(Kategorie4&gt;1,Lüftung4&gt;1),EBFo4*INDEX($O$9:$O$21,Kategorie4,1),""))</f>
        <v/>
      </c>
      <c r="S38" s="879" t="str">
        <f>IF(EBFo4&gt;0,MAX(IF(WRGtyp4&lt;3,INDEX($O$9:$O$21,Kategorie4,1),0),IF(AND(Lüftung4&gt;2,Kategorie4&lt;6,WRGtyp4&gt;2),INDEX($U$35:$X$43,Lüftung4,Kategorie4-1)*VSup4/(INDEX($Z$35:$AC$43,Lüftung4,Kategorie4-1))/EBFo4*(1-INDEX($Q$54:$Q$59,WRGtyp4,1))+vo,INDEX($O$9:$O$21,Kategorie4,1))),"")</f>
        <v/>
      </c>
      <c r="T38" s="848">
        <v>4</v>
      </c>
      <c r="U38" s="789">
        <f>(20*4368+30*3640+45*728)/8760</f>
        <v>26.17808219178082</v>
      </c>
      <c r="V38" s="872">
        <f>(20*4368+30*3640+45*728)/8760</f>
        <v>26.17808219178082</v>
      </c>
      <c r="W38" s="872">
        <f>(20*750+30*2000)/8760</f>
        <v>8.5616438356164384</v>
      </c>
      <c r="X38" s="793">
        <f>(17*1200+25*800)/8760</f>
        <v>4.6118721461187215</v>
      </c>
      <c r="Y38" s="85"/>
      <c r="Z38" s="85">
        <v>30</v>
      </c>
      <c r="AA38" s="85">
        <v>30</v>
      </c>
      <c r="AB38" s="85">
        <v>30</v>
      </c>
      <c r="AC38" s="849">
        <v>25</v>
      </c>
      <c r="AE38" s="60"/>
      <c r="AF38" s="315" t="s">
        <v>443</v>
      </c>
      <c r="AG38" s="2205" t="b">
        <f>AND(AG36,AG35)</f>
        <v>0</v>
      </c>
      <c r="AH38" s="2206"/>
      <c r="AI38" s="2202" t="b">
        <f>AND(AI36,AI35,Zonen&gt;1)</f>
        <v>0</v>
      </c>
      <c r="AJ38" s="2203"/>
      <c r="AK38" s="2202" t="b">
        <f>AND(AK36,AK35,Zonen&gt;2)</f>
        <v>0</v>
      </c>
      <c r="AL38" s="2203"/>
      <c r="AM38" s="2202" t="b">
        <f>AND(AM36,AM35,Zonen&gt;3)</f>
        <v>0</v>
      </c>
      <c r="AN38" s="2203"/>
      <c r="BB38" s="43">
        <v>3</v>
      </c>
      <c r="BC38" s="53" t="str">
        <f>Uebersetzung!D83</f>
        <v>Ab. monof.</v>
      </c>
      <c r="BD38" s="43" t="str">
        <f>BC38</f>
        <v>Ab. monof.</v>
      </c>
      <c r="BE38" s="43" t="str">
        <f>BD38</f>
        <v>Ab. monof.</v>
      </c>
      <c r="BF38" s="53"/>
    </row>
    <row r="39" spans="1:74">
      <c r="A39" s="555" t="str">
        <f t="shared" si="10"/>
        <v/>
      </c>
      <c r="B39" s="38" t="str">
        <f t="shared" si="10"/>
        <v/>
      </c>
      <c r="C39" s="38" t="str">
        <f t="shared" si="10"/>
        <v/>
      </c>
      <c r="D39" s="38" t="str">
        <f t="shared" si="10"/>
        <v/>
      </c>
      <c r="E39" s="38" t="str">
        <f t="shared" si="10"/>
        <v/>
      </c>
      <c r="F39" s="38" t="str">
        <f t="shared" si="10"/>
        <v/>
      </c>
      <c r="G39" s="598">
        <v>33</v>
      </c>
      <c r="I39" s="529"/>
      <c r="J39" s="530"/>
      <c r="K39" s="27">
        <v>5</v>
      </c>
      <c r="L39" s="41" t="s">
        <v>196</v>
      </c>
      <c r="M39" s="42"/>
      <c r="N39" s="53"/>
      <c r="O39" s="859" t="str">
        <f>Uebersetzung!D97</f>
        <v>Ventil.+PdC</v>
      </c>
      <c r="P39" s="28" t="s">
        <v>119</v>
      </c>
      <c r="Q39" s="861">
        <f>IF(AND(Zonen=4,Neubau4=2,Neubau3=2,Neubau2=2,Neubau1=2),2,IF(AND(Zonen=3,Neubau3=2,Neubau2=2,Neubau1=2),2,IF(AND(Zonen=2,Neubau2=2,Neubau1=2),2,IF(AND(Zonen=1,Neubau1=2),2,R39))))</f>
        <v>1</v>
      </c>
      <c r="R39" s="508">
        <f>IF(AND(Zonen=4,Neubau4=3,Neubau3=3,Neubau2=3,Neubau1=3),3,IF(AND(Zonen=3,Neubau3=3,Neubau2=3,Neubau1=3),3,IF(AND(Zonen=2,Neubau2=3,Neubau1=3),3,IF(AND(Zonen=1,Neubau1=3),3,1))))</f>
        <v>1</v>
      </c>
      <c r="S39" s="27"/>
      <c r="T39" s="848">
        <v>5</v>
      </c>
      <c r="U39" s="1541">
        <f t="shared" ref="U39:V41" si="11">(27*4368+40*3640+60*728)/8760</f>
        <v>35.070319634703196</v>
      </c>
      <c r="V39" s="1542">
        <f t="shared" si="11"/>
        <v>35.070319634703196</v>
      </c>
      <c r="W39" s="1542">
        <f>(27*750+40*2000)/8760</f>
        <v>11.44406392694064</v>
      </c>
      <c r="X39" s="1543">
        <f>(22*1200+33*800)/8760</f>
        <v>6.0273972602739727</v>
      </c>
      <c r="Y39" s="85"/>
      <c r="Z39" s="1544">
        <v>40</v>
      </c>
      <c r="AA39" s="1544">
        <v>40</v>
      </c>
      <c r="AB39" s="1544">
        <v>40</v>
      </c>
      <c r="AC39" s="1545">
        <v>33</v>
      </c>
      <c r="AE39" s="191"/>
      <c r="AF39" s="489" t="s">
        <v>441</v>
      </c>
      <c r="AG39" s="1036"/>
      <c r="AH39" s="1035"/>
      <c r="AI39" s="1036"/>
      <c r="AJ39" s="1034"/>
      <c r="AK39" s="1036"/>
      <c r="AL39" s="1034"/>
      <c r="AM39" s="1036"/>
      <c r="AN39" s="1034"/>
      <c r="AO39" s="27">
        <v>1</v>
      </c>
      <c r="BB39" s="43">
        <v>4</v>
      </c>
      <c r="BC39" s="53" t="str">
        <f>Uebersetzung!D84</f>
        <v>Amministraz.</v>
      </c>
      <c r="BD39" s="43" t="str">
        <f>BC39</f>
        <v>Amministraz.</v>
      </c>
      <c r="BE39" s="43" t="str">
        <f t="shared" ref="BE39:BE47" si="12">BD39</f>
        <v>Amministraz.</v>
      </c>
      <c r="BF39" s="53"/>
    </row>
    <row r="40" spans="1:74" ht="15.6">
      <c r="A40" s="555" t="str">
        <f t="shared" si="10"/>
        <v/>
      </c>
      <c r="B40" s="38" t="str">
        <f t="shared" si="10"/>
        <v/>
      </c>
      <c r="C40" s="38" t="str">
        <f t="shared" si="10"/>
        <v/>
      </c>
      <c r="D40" s="38" t="str">
        <f t="shared" si="10"/>
        <v/>
      </c>
      <c r="E40" s="38" t="str">
        <f t="shared" si="10"/>
        <v/>
      </c>
      <c r="F40" s="38" t="str">
        <f t="shared" si="10"/>
        <v/>
      </c>
      <c r="G40" s="598">
        <v>34</v>
      </c>
      <c r="I40" s="531" t="s">
        <v>1945</v>
      </c>
      <c r="J40" s="524"/>
      <c r="K40" s="27">
        <v>6</v>
      </c>
      <c r="L40" s="41" t="s">
        <v>463</v>
      </c>
      <c r="M40" s="42"/>
      <c r="N40" s="53"/>
      <c r="O40" s="859" t="str">
        <f>Uebersetzung!D98</f>
        <v>Solo estraz.</v>
      </c>
      <c r="P40" s="36"/>
      <c r="Q40" s="119" t="s">
        <v>199</v>
      </c>
      <c r="R40" s="115"/>
      <c r="S40" s="27"/>
      <c r="T40" s="848">
        <v>6</v>
      </c>
      <c r="U40" s="1541">
        <f t="shared" si="11"/>
        <v>35.070319634703196</v>
      </c>
      <c r="V40" s="1542">
        <f t="shared" si="11"/>
        <v>35.070319634703196</v>
      </c>
      <c r="W40" s="1542">
        <f>(27*750+40*2000)/8760</f>
        <v>11.44406392694064</v>
      </c>
      <c r="X40" s="1543">
        <f>(22*1200+33*800)/8760</f>
        <v>6.0273972602739727</v>
      </c>
      <c r="Y40" s="85"/>
      <c r="Z40" s="1544">
        <v>40</v>
      </c>
      <c r="AA40" s="1544">
        <v>40</v>
      </c>
      <c r="AB40" s="1544">
        <v>40</v>
      </c>
      <c r="AC40" s="1545">
        <v>33</v>
      </c>
      <c r="AE40" s="42"/>
      <c r="AF40" s="923" t="str">
        <f>Uebersetzung!D72</f>
        <v>Dato mancante</v>
      </c>
      <c r="AG40" s="1032" t="str">
        <f>AA48</f>
        <v>no</v>
      </c>
      <c r="AH40" s="1031"/>
      <c r="AI40" s="1032" t="str">
        <f>AA48</f>
        <v>no</v>
      </c>
      <c r="AJ40" s="1031"/>
      <c r="AK40" s="1032" t="str">
        <f>AA48</f>
        <v>no</v>
      </c>
      <c r="AL40" s="1031"/>
      <c r="AM40" s="1032" t="str">
        <f>AA48</f>
        <v>no</v>
      </c>
      <c r="AN40" s="1031"/>
      <c r="AO40" s="27">
        <v>2</v>
      </c>
      <c r="BB40" s="43">
        <v>5</v>
      </c>
      <c r="BC40" s="53" t="str">
        <f>Uebersetzung!D85</f>
        <v>Scuole</v>
      </c>
      <c r="BD40" s="43" t="str">
        <f>BC40</f>
        <v>Scuole</v>
      </c>
      <c r="BE40" s="43" t="str">
        <f t="shared" si="12"/>
        <v>Scuole</v>
      </c>
      <c r="BF40" s="53"/>
      <c r="BL40" s="28"/>
      <c r="BM40" s="63"/>
      <c r="BN40" s="63"/>
      <c r="BO40" s="336" t="s">
        <v>664</v>
      </c>
      <c r="BP40" s="334" t="s">
        <v>114</v>
      </c>
      <c r="BQ40" s="2219" t="s">
        <v>1726</v>
      </c>
      <c r="BR40" s="2220"/>
      <c r="BS40" s="336" t="s">
        <v>660</v>
      </c>
      <c r="BT40" s="334" t="s">
        <v>661</v>
      </c>
      <c r="BU40" s="334" t="s">
        <v>126</v>
      </c>
      <c r="BV40" s="357" t="s">
        <v>128</v>
      </c>
    </row>
    <row r="41" spans="1:74" ht="15.6">
      <c r="A41" s="555" t="str">
        <f t="shared" si="10"/>
        <v/>
      </c>
      <c r="B41" s="38" t="str">
        <f t="shared" si="10"/>
        <v/>
      </c>
      <c r="C41" s="38" t="str">
        <f t="shared" si="10"/>
        <v/>
      </c>
      <c r="D41" s="38" t="str">
        <f t="shared" si="10"/>
        <v/>
      </c>
      <c r="E41" s="38" t="str">
        <f t="shared" si="10"/>
        <v/>
      </c>
      <c r="F41" s="38" t="str">
        <f t="shared" si="10"/>
        <v/>
      </c>
      <c r="G41" s="598">
        <v>35</v>
      </c>
      <c r="I41" s="525" t="s">
        <v>52</v>
      </c>
      <c r="J41" s="526">
        <f>IF(AND(Klima&gt;1,Kategorie1&gt;0),INDEX($AH$71:$AH$83,Kategorie1,1),)</f>
        <v>0</v>
      </c>
      <c r="K41" s="27">
        <v>7</v>
      </c>
      <c r="L41" s="41" t="s">
        <v>483</v>
      </c>
      <c r="M41" s="42"/>
      <c r="N41" s="53"/>
      <c r="O41" s="859" t="str">
        <f>Uebersetzung!D99</f>
        <v>Estraz.+PdC</v>
      </c>
      <c r="P41" s="56"/>
      <c r="Q41" s="44" t="str">
        <f>AA47</f>
        <v>si</v>
      </c>
      <c r="R41" s="44" t="str">
        <f>AA47</f>
        <v>si</v>
      </c>
      <c r="S41" s="27"/>
      <c r="T41" s="848">
        <v>7</v>
      </c>
      <c r="U41" s="1541">
        <f t="shared" si="11"/>
        <v>35.070319634703196</v>
      </c>
      <c r="V41" s="1542">
        <f t="shared" si="11"/>
        <v>35.070319634703196</v>
      </c>
      <c r="W41" s="1542">
        <f>(27*750+40*2000)/8760</f>
        <v>11.44406392694064</v>
      </c>
      <c r="X41" s="1543">
        <f>(22*1200+33*800)/8760</f>
        <v>6.0273972602739727</v>
      </c>
      <c r="Y41" s="85"/>
      <c r="Z41" s="1544">
        <v>40</v>
      </c>
      <c r="AA41" s="1544">
        <v>40</v>
      </c>
      <c r="AB41" s="1544">
        <v>40</v>
      </c>
      <c r="AC41" s="1545">
        <v>33</v>
      </c>
      <c r="AE41" s="42"/>
      <c r="AF41" s="923" t="str">
        <f>Uebersetzung!D73</f>
        <v>Dato errato</v>
      </c>
      <c r="AG41" s="1037" t="str">
        <f>IF(Standardwerte!AG38,IF(Standardwerte!AG37,AA47,AA48),AA48)</f>
        <v>no</v>
      </c>
      <c r="AH41" s="1033"/>
      <c r="AI41" s="49" t="str">
        <f>IF(Standardwerte!AI38,IF(Standardwerte!AI37,AA47,AA48),AA48)</f>
        <v>no</v>
      </c>
      <c r="AJ41" s="1030"/>
      <c r="AK41" s="1037" t="str">
        <f>IF(Standardwerte!AK38,IF(Standardwerte!AK37,AA47,AA48),AA48)</f>
        <v>no</v>
      </c>
      <c r="AL41" s="1031"/>
      <c r="AM41" s="1037" t="str">
        <f>IF(Standardwerte!AM38,IF(Standardwerte!AM37,AA47,AA48),AA48)</f>
        <v>no</v>
      </c>
      <c r="AN41" s="1031"/>
      <c r="AO41" s="27">
        <v>3</v>
      </c>
      <c r="BB41" s="43">
        <v>6</v>
      </c>
      <c r="BC41" s="53" t="str">
        <f>Uebersetzung!D86</f>
        <v>Negozi</v>
      </c>
      <c r="BD41" s="43" t="str">
        <f>BC41</f>
        <v>Negozi</v>
      </c>
      <c r="BE41" s="43" t="str">
        <f t="shared" si="12"/>
        <v>Negozi</v>
      </c>
      <c r="BF41" s="53"/>
      <c r="BL41" s="337"/>
      <c r="BM41" s="66"/>
      <c r="BN41" s="66"/>
      <c r="BO41" s="338" t="s">
        <v>665</v>
      </c>
      <c r="BP41" s="343" t="s">
        <v>115</v>
      </c>
      <c r="BQ41" s="343" t="s">
        <v>651</v>
      </c>
      <c r="BR41" s="343" t="s">
        <v>1727</v>
      </c>
      <c r="BS41" s="338" t="s">
        <v>659</v>
      </c>
      <c r="BT41" s="343" t="s">
        <v>125</v>
      </c>
      <c r="BU41" s="343" t="s">
        <v>127</v>
      </c>
      <c r="BV41" s="358" t="s">
        <v>129</v>
      </c>
    </row>
    <row r="42" spans="1:74">
      <c r="A42" s="555" t="str">
        <f t="shared" si="10"/>
        <v/>
      </c>
      <c r="B42" s="38" t="str">
        <f t="shared" si="10"/>
        <v/>
      </c>
      <c r="C42" s="38" t="str">
        <f t="shared" si="10"/>
        <v/>
      </c>
      <c r="D42" s="38" t="str">
        <f t="shared" si="10"/>
        <v/>
      </c>
      <c r="E42" s="38" t="str">
        <f t="shared" si="10"/>
        <v/>
      </c>
      <c r="F42" s="38" t="str">
        <f t="shared" si="10"/>
        <v/>
      </c>
      <c r="G42" s="598">
        <v>36</v>
      </c>
      <c r="I42" s="525" t="s">
        <v>444</v>
      </c>
      <c r="J42" s="526">
        <f>IF(AND(Klima&gt;1,Kategorie2&gt;0),INDEX($AH$71:$AH$83,Kategorie2,1),)</f>
        <v>0</v>
      </c>
      <c r="K42" s="27">
        <v>8</v>
      </c>
      <c r="L42" s="41" t="s">
        <v>198</v>
      </c>
      <c r="M42" s="42"/>
      <c r="N42" s="53"/>
      <c r="O42" s="859" t="str">
        <f>Uebersetzung!D100</f>
        <v>Aeraz. per loc.</v>
      </c>
      <c r="P42" s="112" t="s">
        <v>199</v>
      </c>
      <c r="Q42" s="113" t="str">
        <f>AA48</f>
        <v>no</v>
      </c>
      <c r="R42" s="113" t="str">
        <f>AA48</f>
        <v>no</v>
      </c>
      <c r="S42" s="27"/>
      <c r="T42" s="848">
        <v>8</v>
      </c>
      <c r="U42" s="789">
        <f>(20*4368+30*3640+45*728)/8760</f>
        <v>26.17808219178082</v>
      </c>
      <c r="V42" s="872">
        <f>(20*4368+30*3640+45*728)/8760</f>
        <v>26.17808219178082</v>
      </c>
      <c r="W42" s="872">
        <f>(20*750+30*2000)/8760</f>
        <v>8.5616438356164384</v>
      </c>
      <c r="X42" s="793">
        <f>(17*1200+25*800)/8760</f>
        <v>4.6118721461187215</v>
      </c>
      <c r="Y42" s="85"/>
      <c r="Z42" s="85">
        <v>30</v>
      </c>
      <c r="AA42" s="85">
        <v>30</v>
      </c>
      <c r="AB42" s="85">
        <v>30</v>
      </c>
      <c r="AC42" s="849">
        <v>25</v>
      </c>
      <c r="AE42" s="42"/>
      <c r="AF42" s="923" t="str">
        <f>Uebersetzung!D308</f>
        <v>Copertura &lt;&gt; 100%</v>
      </c>
      <c r="AG42" s="2204"/>
      <c r="AH42" s="2204"/>
      <c r="AI42" s="2198"/>
      <c r="AJ42" s="2199"/>
      <c r="AK42" s="2198"/>
      <c r="AL42" s="2199"/>
      <c r="AM42" s="2198"/>
      <c r="AN42" s="2199"/>
      <c r="AO42" s="27">
        <v>4</v>
      </c>
      <c r="BB42" s="43">
        <v>7</v>
      </c>
      <c r="BC42" s="53" t="str">
        <f>Uebersetzung!D87</f>
        <v>Ristoranti</v>
      </c>
      <c r="BD42" s="43" t="str">
        <f t="shared" ref="BD42:BD47" si="13">BC42</f>
        <v>Ristoranti</v>
      </c>
      <c r="BE42" s="43" t="str">
        <f t="shared" si="12"/>
        <v>Ristoranti</v>
      </c>
      <c r="BF42" s="53"/>
      <c r="BL42" s="43"/>
      <c r="BM42" s="42" t="s">
        <v>199</v>
      </c>
      <c r="BN42" s="42"/>
      <c r="BO42" s="124" t="b">
        <v>1</v>
      </c>
      <c r="BP42" s="40"/>
      <c r="BQ42" s="40"/>
      <c r="BS42" s="40"/>
      <c r="BT42" s="250"/>
      <c r="BU42" s="40"/>
      <c r="BV42" s="115"/>
    </row>
    <row r="43" spans="1:74">
      <c r="A43" s="555" t="str">
        <f t="shared" si="10"/>
        <v/>
      </c>
      <c r="B43" s="38" t="str">
        <f t="shared" si="10"/>
        <v/>
      </c>
      <c r="C43" s="38" t="str">
        <f t="shared" si="10"/>
        <v/>
      </c>
      <c r="D43" s="38" t="str">
        <f t="shared" si="10"/>
        <v/>
      </c>
      <c r="E43" s="38" t="str">
        <f t="shared" si="10"/>
        <v/>
      </c>
      <c r="F43" s="38" t="str">
        <f t="shared" si="10"/>
        <v/>
      </c>
      <c r="G43" s="598">
        <v>37</v>
      </c>
      <c r="I43" s="525" t="s">
        <v>445</v>
      </c>
      <c r="J43" s="526">
        <f>IF(AND(Klima&gt;1,Kategorie3&gt;0),INDEX($AH$71:$AH$83,Kategorie3,1),)</f>
        <v>0</v>
      </c>
      <c r="K43" s="27">
        <v>9</v>
      </c>
      <c r="L43" s="41" t="s">
        <v>121</v>
      </c>
      <c r="M43" s="42"/>
      <c r="N43" s="53"/>
      <c r="O43" s="859" t="str">
        <f>Uebersetzung!D101</f>
        <v>Finestre,autom.</v>
      </c>
      <c r="P43" s="57" t="s">
        <v>52</v>
      </c>
      <c r="Q43" s="161">
        <f>IF(R43=0,1,R43)</f>
        <v>1</v>
      </c>
      <c r="R43" s="515">
        <f>IF(Dati!$F$21="",1,VLOOKUP(Dati!$F$21,AI23:AM25,5,FALSE))</f>
        <v>1</v>
      </c>
      <c r="S43" s="89" t="str">
        <f>IF(Neubau1=2,"Neubau",IF(Neubau1=3,"Altbau",""))</f>
        <v/>
      </c>
      <c r="T43" s="139">
        <v>9</v>
      </c>
      <c r="U43" s="1049">
        <v>40</v>
      </c>
      <c r="V43" s="1546">
        <v>40</v>
      </c>
      <c r="W43" s="1546">
        <v>40</v>
      </c>
      <c r="X43" s="1547">
        <v>33</v>
      </c>
      <c r="Y43" s="1546"/>
      <c r="Z43" s="1546">
        <v>40</v>
      </c>
      <c r="AA43" s="1546">
        <v>40</v>
      </c>
      <c r="AB43" s="1546">
        <v>40</v>
      </c>
      <c r="AC43" s="1548">
        <v>33</v>
      </c>
      <c r="AE43" s="42"/>
      <c r="AF43" s="53"/>
      <c r="AG43" s="2204"/>
      <c r="AH43" s="2204"/>
      <c r="AI43" s="2198"/>
      <c r="AJ43" s="2199"/>
      <c r="AK43" s="2198"/>
      <c r="AL43" s="2199"/>
      <c r="AM43" s="2198"/>
      <c r="AN43" s="2199"/>
      <c r="AO43" s="27">
        <v>5</v>
      </c>
      <c r="BB43" s="43">
        <v>8</v>
      </c>
      <c r="BC43" s="53" t="str">
        <f>Uebersetzung!D88</f>
        <v>Locali pubblici</v>
      </c>
      <c r="BD43" s="43" t="str">
        <f t="shared" si="13"/>
        <v>Locali pubblici</v>
      </c>
      <c r="BE43" s="43" t="str">
        <f t="shared" si="12"/>
        <v>Locali pubblici</v>
      </c>
      <c r="BF43" s="53"/>
      <c r="BL43" s="304" t="s">
        <v>49</v>
      </c>
      <c r="BM43" s="305" t="s">
        <v>188</v>
      </c>
      <c r="BN43" s="308"/>
      <c r="BO43" s="124" t="b">
        <v>1</v>
      </c>
      <c r="BP43" s="45">
        <v>0.7</v>
      </c>
      <c r="BQ43" s="1047">
        <v>75</v>
      </c>
      <c r="BR43" s="1047">
        <v>110</v>
      </c>
      <c r="BS43" s="45">
        <v>10</v>
      </c>
      <c r="BT43" s="250">
        <v>1</v>
      </c>
      <c r="BU43" s="45">
        <v>0.6</v>
      </c>
      <c r="BV43" s="44">
        <v>0.7</v>
      </c>
    </row>
    <row r="44" spans="1:74">
      <c r="A44" s="555" t="str">
        <f t="shared" ref="A44:F47" si="14">IF(Kanton=29,A91,"")</f>
        <v/>
      </c>
      <c r="B44" s="38" t="str">
        <f t="shared" si="14"/>
        <v/>
      </c>
      <c r="C44" s="38" t="str">
        <f t="shared" si="14"/>
        <v/>
      </c>
      <c r="D44" s="38" t="str">
        <f t="shared" si="14"/>
        <v/>
      </c>
      <c r="E44" s="38" t="str">
        <f t="shared" si="14"/>
        <v/>
      </c>
      <c r="F44" s="38" t="str">
        <f t="shared" si="14"/>
        <v/>
      </c>
      <c r="G44" s="598">
        <v>38</v>
      </c>
      <c r="I44" s="527" t="s">
        <v>446</v>
      </c>
      <c r="J44" s="528">
        <f>IF(AND(Klima&gt;1,Kategorie4&gt;0),INDEX($AH$71:$AH$83,Kategorie4,1),)</f>
        <v>0</v>
      </c>
      <c r="K44" s="27">
        <v>10</v>
      </c>
      <c r="L44" s="41" t="str">
        <f>""</f>
        <v/>
      </c>
      <c r="M44" s="42"/>
      <c r="N44" s="53"/>
      <c r="O44" s="42" t="str">
        <f>IF(minergiep,"","")</f>
        <v/>
      </c>
      <c r="P44" s="57" t="s">
        <v>444</v>
      </c>
      <c r="Q44" s="161">
        <f>IF(R44=0,1,R44)</f>
        <v>1</v>
      </c>
      <c r="R44" s="515">
        <f>IF(Dati!$G$21="",1,VLOOKUP(Dati!$G$21,AI23:AM25,5,FALSE))</f>
        <v>1</v>
      </c>
      <c r="S44" s="124" t="str">
        <f>IF(Neubau2=2,"Neubau",IF(Neubau2=3,"Altbau",""))</f>
        <v/>
      </c>
      <c r="AE44" s="42"/>
      <c r="AF44" s="53"/>
      <c r="AG44" s="2204"/>
      <c r="AH44" s="2204"/>
      <c r="AI44" s="2198"/>
      <c r="AJ44" s="2199"/>
      <c r="AK44" s="2198"/>
      <c r="AL44" s="2199"/>
      <c r="AM44" s="2198"/>
      <c r="AN44" s="2199"/>
      <c r="AO44" s="27">
        <v>6</v>
      </c>
      <c r="BB44" s="43">
        <v>9</v>
      </c>
      <c r="BC44" s="53" t="str">
        <f>Uebersetzung!D89</f>
        <v>Ospedali</v>
      </c>
      <c r="BD44" s="43" t="str">
        <f t="shared" si="13"/>
        <v>Ospedali</v>
      </c>
      <c r="BE44" s="43" t="str">
        <f t="shared" si="12"/>
        <v>Ospedali</v>
      </c>
      <c r="BF44" s="53"/>
      <c r="BL44" s="304" t="s">
        <v>50</v>
      </c>
      <c r="BM44" s="305" t="s">
        <v>0</v>
      </c>
      <c r="BN44" s="308"/>
      <c r="BO44" s="124" t="b">
        <v>1</v>
      </c>
      <c r="BP44" s="45">
        <v>0.7</v>
      </c>
      <c r="BQ44" s="1047">
        <v>70</v>
      </c>
      <c r="BR44" s="1047">
        <v>105</v>
      </c>
      <c r="BS44" s="45">
        <v>10</v>
      </c>
      <c r="BT44" s="250">
        <v>1</v>
      </c>
      <c r="BU44" s="45">
        <v>0.6</v>
      </c>
      <c r="BV44" s="44">
        <v>0.7</v>
      </c>
    </row>
    <row r="45" spans="1:74">
      <c r="A45" s="555" t="str">
        <f t="shared" si="14"/>
        <v/>
      </c>
      <c r="B45" s="38" t="str">
        <f t="shared" si="14"/>
        <v/>
      </c>
      <c r="C45" s="38" t="str">
        <f t="shared" si="14"/>
        <v/>
      </c>
      <c r="D45" s="38" t="str">
        <f t="shared" si="14"/>
        <v/>
      </c>
      <c r="E45" s="38" t="str">
        <f t="shared" si="14"/>
        <v/>
      </c>
      <c r="F45" s="38" t="str">
        <f t="shared" si="14"/>
        <v/>
      </c>
      <c r="G45" s="598">
        <v>39</v>
      </c>
      <c r="I45" s="530"/>
      <c r="J45" s="530"/>
      <c r="K45" s="27">
        <v>11</v>
      </c>
      <c r="L45" s="41" t="str">
        <f>""</f>
        <v/>
      </c>
      <c r="M45" s="42"/>
      <c r="N45" s="53"/>
      <c r="O45" s="42" t="str">
        <f>IF(minergiep,"","")</f>
        <v/>
      </c>
      <c r="P45" s="57" t="s">
        <v>445</v>
      </c>
      <c r="Q45" s="161">
        <f>IF(R45=0,1,R45)</f>
        <v>1</v>
      </c>
      <c r="R45" s="515">
        <f>IF(Dati!$H$21="",1,VLOOKUP(Dati!$H$21,AI23:AM25,5,FALSE))</f>
        <v>1</v>
      </c>
      <c r="S45" s="124" t="str">
        <f>IF(Neubau3=2,"Neubau",IF(Neubau3=3,"Altbau",""))</f>
        <v/>
      </c>
      <c r="Y45" s="27" t="str">
        <f>Dati!F14</f>
        <v>MINERGIE</v>
      </c>
      <c r="AA45" s="27" t="b">
        <f>(Y50=Y45)</f>
        <v>0</v>
      </c>
      <c r="AB45" s="886" t="s">
        <v>823</v>
      </c>
      <c r="AE45" s="60"/>
      <c r="AF45" s="120"/>
      <c r="AG45" s="2205"/>
      <c r="AH45" s="2206"/>
      <c r="AI45" s="2213"/>
      <c r="AJ45" s="2214"/>
      <c r="AK45" s="2213"/>
      <c r="AL45" s="2214"/>
      <c r="AM45" s="2213"/>
      <c r="AN45" s="2214"/>
      <c r="AO45" s="27">
        <v>7</v>
      </c>
      <c r="BB45" s="43">
        <v>10</v>
      </c>
      <c r="BC45" s="53" t="str">
        <f>Uebersetzung!D90</f>
        <v>Industrie</v>
      </c>
      <c r="BD45" s="43" t="str">
        <f>BC45</f>
        <v>Industrie</v>
      </c>
      <c r="BE45" s="43" t="str">
        <f t="shared" si="12"/>
        <v>Industrie</v>
      </c>
      <c r="BF45" s="53"/>
      <c r="BL45" s="304" t="s">
        <v>5</v>
      </c>
      <c r="BM45" s="305" t="s">
        <v>1</v>
      </c>
      <c r="BN45" s="308"/>
      <c r="BO45" s="124" t="b">
        <v>1</v>
      </c>
      <c r="BP45" s="45">
        <v>0.7</v>
      </c>
      <c r="BQ45" s="1047">
        <v>170</v>
      </c>
      <c r="BR45" s="1047">
        <v>205</v>
      </c>
      <c r="BS45" s="45">
        <v>10</v>
      </c>
      <c r="BT45" s="250">
        <v>0.32</v>
      </c>
      <c r="BU45" s="45">
        <v>0.6</v>
      </c>
      <c r="BV45" s="44">
        <v>0.7</v>
      </c>
    </row>
    <row r="46" spans="1:74">
      <c r="A46" s="555" t="str">
        <f t="shared" si="14"/>
        <v/>
      </c>
      <c r="B46" s="38" t="str">
        <f t="shared" si="14"/>
        <v/>
      </c>
      <c r="C46" s="38" t="str">
        <f t="shared" si="14"/>
        <v/>
      </c>
      <c r="D46" s="38" t="str">
        <f t="shared" si="14"/>
        <v/>
      </c>
      <c r="E46" s="38" t="str">
        <f t="shared" si="14"/>
        <v/>
      </c>
      <c r="F46" s="38" t="str">
        <f t="shared" si="14"/>
        <v/>
      </c>
      <c r="G46" s="598">
        <v>40</v>
      </c>
      <c r="I46" s="523" t="s">
        <v>82</v>
      </c>
      <c r="J46" s="524"/>
      <c r="K46" s="27">
        <v>12</v>
      </c>
      <c r="L46" s="59" t="str">
        <f>""</f>
        <v/>
      </c>
      <c r="M46" s="60"/>
      <c r="N46" s="120"/>
      <c r="O46" s="60" t="str">
        <f>IF(minergiep,"","")</f>
        <v/>
      </c>
      <c r="P46" s="61" t="s">
        <v>446</v>
      </c>
      <c r="Q46" s="139">
        <f>IF(R46=0,1,R46)</f>
        <v>1</v>
      </c>
      <c r="R46" s="516">
        <f>IF(Dati!$I$21="",1,VLOOKUP(Dati!$I$21,AI23:AM25,5,FALSE))</f>
        <v>1</v>
      </c>
      <c r="S46" s="95" t="str">
        <f>IF(Neubau4=2,"Neubau",IF(Neubau4=3,"Altbau",""))</f>
        <v/>
      </c>
      <c r="T46" s="114"/>
      <c r="U46" s="860"/>
      <c r="V46" s="870"/>
      <c r="W46" s="119"/>
      <c r="X46" s="119"/>
      <c r="Y46" s="855" t="s">
        <v>785</v>
      </c>
      <c r="Z46" s="855" t="s">
        <v>806</v>
      </c>
      <c r="AA46" s="856" t="s">
        <v>809</v>
      </c>
      <c r="AB46" s="886"/>
      <c r="AD46" s="27">
        <v>1</v>
      </c>
      <c r="BB46" s="43">
        <v>11</v>
      </c>
      <c r="BC46" s="53" t="str">
        <f>Uebersetzung!D91</f>
        <v>Magazzini</v>
      </c>
      <c r="BD46" s="43" t="str">
        <f>BC46</f>
        <v>Magazzini</v>
      </c>
      <c r="BE46" s="43" t="str">
        <f t="shared" si="12"/>
        <v>Magazzini</v>
      </c>
      <c r="BF46" s="53"/>
      <c r="BL46" s="304" t="s">
        <v>7</v>
      </c>
      <c r="BM46" s="305" t="s">
        <v>2</v>
      </c>
      <c r="BN46" s="308"/>
      <c r="BO46" s="124" t="b">
        <v>1</v>
      </c>
      <c r="BP46" s="45">
        <v>0.7</v>
      </c>
      <c r="BQ46" s="1047">
        <v>85</v>
      </c>
      <c r="BR46" s="1047">
        <v>115</v>
      </c>
      <c r="BS46" s="45">
        <v>10</v>
      </c>
      <c r="BT46" s="250">
        <v>0.14000000000000001</v>
      </c>
      <c r="BU46" s="45">
        <v>0.6</v>
      </c>
      <c r="BV46" s="44">
        <v>0.7</v>
      </c>
    </row>
    <row r="47" spans="1:74">
      <c r="A47" s="560" t="str">
        <f t="shared" si="14"/>
        <v/>
      </c>
      <c r="B47" s="48" t="str">
        <f t="shared" si="14"/>
        <v/>
      </c>
      <c r="C47" s="48" t="str">
        <f t="shared" si="14"/>
        <v/>
      </c>
      <c r="D47" s="48" t="str">
        <f t="shared" si="14"/>
        <v/>
      </c>
      <c r="E47" s="48" t="str">
        <f t="shared" si="14"/>
        <v/>
      </c>
      <c r="F47" s="48" t="str">
        <f t="shared" si="14"/>
        <v/>
      </c>
      <c r="G47" s="598">
        <v>41</v>
      </c>
      <c r="I47" s="525" t="s">
        <v>52</v>
      </c>
      <c r="J47" s="532">
        <f>IF(Klima&gt;1,(J35+AEBF1*Standardwerte!J41)*(1+(8.5-Thetaea)*0.08),)</f>
        <v>0</v>
      </c>
      <c r="K47" s="62"/>
      <c r="L47" s="62"/>
      <c r="M47" s="62"/>
      <c r="N47" s="62"/>
      <c r="O47" s="62"/>
      <c r="P47" s="62"/>
      <c r="Q47" s="62"/>
      <c r="R47" s="27"/>
      <c r="S47" s="27"/>
      <c r="T47" s="110" t="str">
        <f>IF(Lüftung1=1,"",IF(Lüftung1=4,N56,IF(Lüftung1=8,N56,N55)))</f>
        <v/>
      </c>
      <c r="U47" s="141" t="str">
        <f>IF(Lüftung2=1,"",IF(Lüftung2=4,N56,IF(Lüftung2=8,N56,N55)))</f>
        <v/>
      </c>
      <c r="V47" s="42" t="str">
        <f>IF(Lüftung3=1,"",IF(Lüftung3=4,N56,IF(Lüftung3=8,N56,N55)))</f>
        <v/>
      </c>
      <c r="W47" s="53" t="str">
        <f>IF(Lüftung4=1,"",IF(Lüftung4=4,N56,IF(Lüftung4=8,N56,N55)))</f>
        <v/>
      </c>
      <c r="X47" s="44">
        <v>1</v>
      </c>
      <c r="Y47" s="878" t="str">
        <f>Uebersetzung!D19</f>
        <v>Verifica regolare</v>
      </c>
      <c r="Z47" s="849" t="s">
        <v>191</v>
      </c>
      <c r="AA47" s="857" t="str">
        <f>Uebersetzung!D25</f>
        <v>si</v>
      </c>
      <c r="AB47" s="124" t="str">
        <f>Uebersetzung!D254</f>
        <v>Motore AC</v>
      </c>
      <c r="AC47" s="598">
        <v>1</v>
      </c>
      <c r="AD47" s="27">
        <v>2</v>
      </c>
      <c r="AE47" s="490"/>
      <c r="AF47" s="77" t="s">
        <v>266</v>
      </c>
      <c r="AG47" s="319"/>
      <c r="AH47" s="55"/>
      <c r="AI47" s="319"/>
      <c r="AJ47" s="55"/>
      <c r="AK47" s="319"/>
      <c r="AL47" s="55"/>
      <c r="AM47" s="319"/>
      <c r="AN47" s="55"/>
      <c r="BB47" s="43">
        <v>12</v>
      </c>
      <c r="BC47" s="53" t="str">
        <f>Uebersetzung!D92</f>
        <v>Impianti sport.</v>
      </c>
      <c r="BD47" s="43" t="str">
        <f t="shared" si="13"/>
        <v>Impianti sport.</v>
      </c>
      <c r="BE47" s="43" t="str">
        <f t="shared" si="12"/>
        <v>Impianti sport.</v>
      </c>
      <c r="BF47" s="53"/>
      <c r="BL47" s="304" t="s">
        <v>9</v>
      </c>
      <c r="BM47" s="305" t="s">
        <v>237</v>
      </c>
      <c r="BN47" s="308"/>
      <c r="BO47" s="124" t="b">
        <v>1</v>
      </c>
      <c r="BP47" s="45">
        <v>0.7</v>
      </c>
      <c r="BQ47" s="1047">
        <v>200</v>
      </c>
      <c r="BR47" s="1047">
        <v>240</v>
      </c>
      <c r="BS47" s="45">
        <v>10</v>
      </c>
      <c r="BT47" s="452">
        <v>1</v>
      </c>
      <c r="BU47" s="45">
        <v>0.6</v>
      </c>
      <c r="BV47" s="44">
        <v>0.7</v>
      </c>
    </row>
    <row r="48" spans="1:74">
      <c r="G48" s="27">
        <f>Klima</f>
        <v>1</v>
      </c>
      <c r="I48" s="525" t="s">
        <v>444</v>
      </c>
      <c r="J48" s="532">
        <f>IF(Klima&gt;1,(J36+AEBF2*Standardwerte!J42)*(1+(8.5-Thetaea)*0.08),)</f>
        <v>0</v>
      </c>
      <c r="K48" s="62"/>
      <c r="L48" s="28" t="s">
        <v>342</v>
      </c>
      <c r="M48" s="63"/>
      <c r="N48" s="63"/>
      <c r="O48" s="63"/>
      <c r="P48" s="63"/>
      <c r="Q48" s="64"/>
      <c r="R48" s="27"/>
      <c r="S48" s="27"/>
      <c r="T48" s="110" t="str">
        <f>IF(Lüftung1=1,"",IF(Lüftung1=4,N57,IF(Lüftung1=8,N57,N55)))</f>
        <v/>
      </c>
      <c r="U48" s="141" t="str">
        <f>IF(Lüftung2=1,"",IF(Lüftung2=4,N57,IF(Lüftung2=8,N57,N55)))</f>
        <v/>
      </c>
      <c r="V48" s="42" t="str">
        <f>IF(Lüftung3=1,"",IF(Lüftung3=4,N57,IF(Lüftung3=8,N57,N55)))</f>
        <v/>
      </c>
      <c r="W48" s="53" t="str">
        <f>IF(Lüftung4=1,"",IF(Lüftung4=4,N57,IF(Lüftung4=8,N57,N55)))</f>
        <v/>
      </c>
      <c r="X48" s="44">
        <v>2</v>
      </c>
      <c r="Y48" s="858" t="str">
        <f>Uebersetzung!D20</f>
        <v>MINERGIE</v>
      </c>
      <c r="Z48" s="850" t="s">
        <v>525</v>
      </c>
      <c r="AA48" s="858" t="str">
        <f>Uebersetzung!D26</f>
        <v>no</v>
      </c>
      <c r="AB48" s="147" t="str">
        <f>Uebersetzung!D255</f>
        <v>Motore DC/EC</v>
      </c>
      <c r="AC48" s="598">
        <v>2</v>
      </c>
      <c r="AD48" s="27">
        <v>3</v>
      </c>
      <c r="AE48" s="36"/>
      <c r="AF48" s="35"/>
      <c r="AG48" s="36"/>
      <c r="AH48" s="119"/>
      <c r="AI48" s="36"/>
      <c r="AJ48" s="119"/>
      <c r="AK48" s="36"/>
      <c r="AL48" s="119"/>
      <c r="AM48" s="36"/>
      <c r="AN48" s="119"/>
      <c r="BB48" s="95">
        <v>13</v>
      </c>
      <c r="BC48" s="120" t="str">
        <f>Uebersetzung!D93</f>
        <v>Piscine</v>
      </c>
      <c r="BD48" s="95" t="s">
        <v>199</v>
      </c>
      <c r="BE48" s="95" t="s">
        <v>199</v>
      </c>
      <c r="BF48" s="120"/>
      <c r="BL48" s="304" t="s">
        <v>10</v>
      </c>
      <c r="BM48" s="305" t="s">
        <v>3</v>
      </c>
      <c r="BN48" s="308"/>
      <c r="BO48" s="124" t="b">
        <v>1</v>
      </c>
      <c r="BP48" s="52">
        <v>1.2</v>
      </c>
      <c r="BQ48" s="1047">
        <v>125</v>
      </c>
      <c r="BR48" s="1047">
        <v>150</v>
      </c>
      <c r="BS48" s="45">
        <v>10</v>
      </c>
      <c r="BT48" s="452">
        <v>1</v>
      </c>
      <c r="BU48" s="45">
        <v>0.6</v>
      </c>
      <c r="BV48" s="44">
        <v>0.7</v>
      </c>
    </row>
    <row r="49" spans="1:74" ht="15.6">
      <c r="A49" s="276" t="s">
        <v>592</v>
      </c>
      <c r="G49" s="27">
        <f>IF(Klima&gt;1,(J35+AEBF1*Standardwerte!J41)*(1+(8.5-Thetaea)*0.08),)</f>
        <v>0</v>
      </c>
      <c r="I49" s="525" t="s">
        <v>445</v>
      </c>
      <c r="J49" s="532">
        <f>IF(Klima&gt;1,(J37+AEBF3*Standardwerte!J43)*(1+(8.5-Thetaea)*0.08),)</f>
        <v>0</v>
      </c>
      <c r="K49" s="62"/>
      <c r="L49" s="65" t="s">
        <v>650</v>
      </c>
      <c r="M49" s="66"/>
      <c r="N49" s="66"/>
      <c r="O49" s="66"/>
      <c r="P49" s="66"/>
      <c r="Q49" s="67"/>
      <c r="R49" s="27"/>
      <c r="S49" s="27"/>
      <c r="T49" s="111" t="str">
        <f>IF(Lüftung1=1,"",IF(Lüftung1=4,N58,IF(Lüftung1=8,N55,N55)))</f>
        <v/>
      </c>
      <c r="U49" s="178" t="str">
        <f>IF(Lüftung2=1,"",IF(Lüftung2=4,N58,IF(Lüftung2=8,N55,N55)))</f>
        <v/>
      </c>
      <c r="V49" s="60" t="str">
        <f>IF(Lüftung3=1,"",IF(Lüftung3=4,N58,IF(Lüftung3=8,N55,N55)))</f>
        <v/>
      </c>
      <c r="W49" s="120" t="str">
        <f>IF(Lüftung4=1,"",IF(Lüftung4=4,N58,IF(Lüftung4=8,N55,N55)))</f>
        <v/>
      </c>
      <c r="X49" s="113">
        <v>3</v>
      </c>
      <c r="Y49" s="589" t="str">
        <f>Uebersetzung!D21</f>
        <v>MINERGIE-P</v>
      </c>
      <c r="Z49" s="921">
        <f>IF(Dati!E46=Standardwerte!Z48,2,1)</f>
        <v>1</v>
      </c>
      <c r="AA49" s="27">
        <v>1</v>
      </c>
      <c r="AB49" s="887" t="b">
        <f>IF(Dati!F35=Standardwerte!AB48,TRUE,FALSE)</f>
        <v>0</v>
      </c>
      <c r="AC49" s="598">
        <v>3</v>
      </c>
      <c r="AE49" s="43"/>
      <c r="AF49" s="314" t="s">
        <v>268</v>
      </c>
      <c r="AG49" s="2202" t="b">
        <f>AND(IF(Kategorie1=13,FALSE,AND(OR(Standardlüftung1=2,NOT(Standardwerte!AG37)),Standardwerte!AG38)),NOT(AG50))</f>
        <v>0</v>
      </c>
      <c r="AH49" s="2203"/>
      <c r="AI49" s="2202" t="b">
        <f>AND(IF(Kategorie2=13,FALSE,AND(OR(Standardlüftung2=2,NOT(Standardwerte!AI37)),Standardwerte!AI38)),NOT(AI50))</f>
        <v>0</v>
      </c>
      <c r="AJ49" s="2203"/>
      <c r="AK49" s="2202" t="b">
        <f>AND(IF(Kategorie3=13,FALSE,AND(OR(Standardlüftung3=2,NOT(Standardwerte!AK37)),Standardwerte!AK38)),NOT(AK50))</f>
        <v>0</v>
      </c>
      <c r="AL49" s="2203"/>
      <c r="AM49" s="2202" t="b">
        <f>AND(IF(Kategorie4=13,FALSE,AND(OR(Standardlüftung4=2,NOT(Standardwerte!AM37)),Standardwerte!AM38)),NOT(AM50))</f>
        <v>0</v>
      </c>
      <c r="AN49" s="2203"/>
      <c r="AO49" s="2202" t="b">
        <f>OR(AG49:AM49)</f>
        <v>0</v>
      </c>
      <c r="AP49" s="2204"/>
      <c r="BL49" s="304" t="s">
        <v>227</v>
      </c>
      <c r="BM49" s="305" t="s">
        <v>4</v>
      </c>
      <c r="BN49" s="308"/>
      <c r="BO49" s="124" t="b">
        <v>1</v>
      </c>
      <c r="BP49" s="58">
        <v>1</v>
      </c>
      <c r="BQ49" s="1047">
        <v>80</v>
      </c>
      <c r="BR49" s="1047">
        <v>110</v>
      </c>
      <c r="BS49" s="45">
        <v>10</v>
      </c>
      <c r="BT49" s="452">
        <v>1</v>
      </c>
      <c r="BU49" s="45">
        <v>0.6</v>
      </c>
      <c r="BV49" s="44">
        <v>0.7</v>
      </c>
    </row>
    <row r="50" spans="1:74">
      <c r="B50" s="161"/>
      <c r="I50" s="527" t="s">
        <v>446</v>
      </c>
      <c r="J50" s="533">
        <f>IF(Klima&gt;1,(J38+AEBF4*Standardwerte!J44)*(1+(8.5-Thetaea)*0.08),)</f>
        <v>0</v>
      </c>
      <c r="K50" s="62"/>
      <c r="L50" s="69" t="s">
        <v>716</v>
      </c>
      <c r="M50" s="26"/>
      <c r="N50" s="26"/>
      <c r="O50" s="70" t="s">
        <v>245</v>
      </c>
      <c r="P50" s="71">
        <f>P51</f>
        <v>0.15</v>
      </c>
      <c r="Q50" s="72" t="s">
        <v>246</v>
      </c>
      <c r="R50" s="27"/>
      <c r="S50" s="27"/>
      <c r="T50" s="1038"/>
      <c r="U50" s="1039"/>
      <c r="V50" s="130"/>
      <c r="W50" s="130"/>
      <c r="X50" s="457"/>
      <c r="Y50" s="589" t="str">
        <f>Uebersetzung!D22</f>
        <v>MINERGIE-A</v>
      </c>
      <c r="AA50" s="27">
        <v>2</v>
      </c>
      <c r="AB50" s="888" t="b">
        <f>IF(Dati!G35=Standardwerte!AB48,TRUE,FALSE)</f>
        <v>0</v>
      </c>
      <c r="AC50" s="598">
        <v>4</v>
      </c>
      <c r="AE50" s="95"/>
      <c r="AF50" s="315" t="s">
        <v>267</v>
      </c>
      <c r="AG50" s="2205" t="b">
        <f>OR(AND(J118&gt;1,J118&lt;5),IF(Kategorie1=13,FALSE,NOT(Standardwerte!AG35)))</f>
        <v>0</v>
      </c>
      <c r="AH50" s="2206"/>
      <c r="AI50" s="2205" t="b">
        <f>OR(AND(K118&gt;1,K118&lt;5),IF(Kategorie2=13,FALSE,NOT(Standardwerte!AI35)))</f>
        <v>0</v>
      </c>
      <c r="AJ50" s="2206"/>
      <c r="AK50" s="2205" t="b">
        <f>OR(AND(L118&gt;1,L118&lt;5),IF(Kategorie3=13,FALSE,NOT(Standardwerte!AK35)))</f>
        <v>0</v>
      </c>
      <c r="AL50" s="2206"/>
      <c r="AM50" s="2205" t="b">
        <f>OR(AND(M118&gt;1,M118&lt;5),IF(Kategorie4=13,FALSE,NOT(Standardwerte!AM35)))</f>
        <v>0</v>
      </c>
      <c r="AN50" s="2206"/>
      <c r="AO50" s="2202" t="b">
        <f>AND(OR(AG50:AM50))</f>
        <v>0</v>
      </c>
      <c r="AP50" s="2207"/>
      <c r="BL50" s="304" t="s">
        <v>228</v>
      </c>
      <c r="BM50" s="305" t="s">
        <v>238</v>
      </c>
      <c r="BN50" s="308"/>
      <c r="BO50" s="124" t="b">
        <v>1</v>
      </c>
      <c r="BP50" s="58">
        <v>1</v>
      </c>
      <c r="BQ50" s="1047">
        <v>160</v>
      </c>
      <c r="BR50" s="1047">
        <v>190</v>
      </c>
      <c r="BS50" s="45">
        <v>10</v>
      </c>
      <c r="BT50" s="452">
        <v>1</v>
      </c>
      <c r="BU50" s="45">
        <v>0.6</v>
      </c>
      <c r="BV50" s="44">
        <v>0.7</v>
      </c>
    </row>
    <row r="51" spans="1:74">
      <c r="A51" s="54" t="s">
        <v>720</v>
      </c>
      <c r="B51" s="514">
        <f>IF(Dati!I14="",0,VLOOKUP(Dati!I14,$A$54:$G$94,7,FALSE))</f>
        <v>0</v>
      </c>
      <c r="C51" s="77" t="str">
        <f>IF(Klima&gt;0,INDEX(B54:B157,Klima,1),)</f>
        <v xml:space="preserve"> </v>
      </c>
      <c r="D51" s="78">
        <f>IF(Klima&gt;0,INDEX(F54:F157,Klima,1),)</f>
        <v>0</v>
      </c>
      <c r="E51" s="79" t="s">
        <v>251</v>
      </c>
      <c r="F51" s="80">
        <f>IF(Klima&gt;0,INDEX(G54:G157,Klima,1),)</f>
        <v>1</v>
      </c>
      <c r="I51" s="534" t="s">
        <v>687</v>
      </c>
      <c r="J51" s="535">
        <f>IF(EBF&gt;0,(J47*_EBF1+J48*_EBF2+J49*_EBF3+J50*_EBF4)/EBF,0)</f>
        <v>0</v>
      </c>
      <c r="L51" s="24" t="s">
        <v>717</v>
      </c>
      <c r="M51" s="14"/>
      <c r="N51" s="14"/>
      <c r="O51" s="15" t="s">
        <v>309</v>
      </c>
      <c r="P51" s="73">
        <f>IF(OR(minergiea,minergiep),0.1,0.15)</f>
        <v>0.15</v>
      </c>
      <c r="Q51" s="74" t="s">
        <v>246</v>
      </c>
      <c r="R51" s="27"/>
      <c r="S51" s="27"/>
      <c r="T51" s="110" t="str">
        <f>IF(AG35,IF(AND(Lüftung1&gt;2,Lüftung1&lt;9),$AB$47,""),"")</f>
        <v/>
      </c>
      <c r="U51" s="110" t="str">
        <f>IF(AI35,IF(AND(Lüftung2&gt;2,Lüftung2&lt;9),$AB$47,""),"")</f>
        <v/>
      </c>
      <c r="V51" s="110" t="str">
        <f>IF(AK35,IF(AND(Lüftung3&gt;2,Lüftung3&lt;9),$AB$47,""),"")</f>
        <v/>
      </c>
      <c r="W51" s="110" t="str">
        <f>IF(AM35,IF(AND(Lüftung4&gt;2,Lüftung4&lt;9),$AB$47,""),"")</f>
        <v/>
      </c>
      <c r="X51" s="44">
        <v>1</v>
      </c>
      <c r="Y51" s="147"/>
      <c r="AA51" s="27">
        <v>3</v>
      </c>
      <c r="AB51" s="888" t="b">
        <f>IF(Dati!H35=Standardwerte!AB48,TRUE,FALSE)</f>
        <v>0</v>
      </c>
      <c r="AC51" s="598">
        <v>5</v>
      </c>
      <c r="BL51" s="304" t="s">
        <v>229</v>
      </c>
      <c r="BM51" s="305" t="s">
        <v>492</v>
      </c>
      <c r="BN51" s="308"/>
      <c r="BO51" s="124" t="b">
        <v>1</v>
      </c>
      <c r="BP51" s="52">
        <v>0.7</v>
      </c>
      <c r="BQ51" s="1047">
        <v>125</v>
      </c>
      <c r="BR51" s="1047">
        <v>160</v>
      </c>
      <c r="BS51" s="45">
        <v>10</v>
      </c>
      <c r="BT51" s="452">
        <v>1</v>
      </c>
      <c r="BU51" s="45">
        <v>0.6</v>
      </c>
      <c r="BV51" s="44">
        <v>0.7</v>
      </c>
    </row>
    <row r="52" spans="1:74">
      <c r="A52" s="81" t="s">
        <v>232</v>
      </c>
      <c r="B52" s="82" t="s">
        <v>247</v>
      </c>
      <c r="C52" s="82" t="s">
        <v>248</v>
      </c>
      <c r="D52" s="83" t="s">
        <v>478</v>
      </c>
      <c r="E52" s="82" t="s">
        <v>249</v>
      </c>
      <c r="F52" s="84" t="s">
        <v>233</v>
      </c>
      <c r="I52" s="530"/>
      <c r="J52" s="530"/>
      <c r="R52" s="27"/>
      <c r="S52" s="27"/>
      <c r="T52" s="111" t="str">
        <f>IF(AG35,IF(AND(Lüftung1&gt;2,Lüftung1&lt;9),$AB$48,""),"")</f>
        <v/>
      </c>
      <c r="U52" s="111" t="str">
        <f>IF(AI35,IF(AND(Lüftung2&gt;2,Lüftung2&lt;9),$AB$48,""),"")</f>
        <v/>
      </c>
      <c r="V52" s="111" t="str">
        <f>IF(AK35,IF(AND(Lüftung3&gt;2,Lüftung3&lt;9),$AB$48,""),"")</f>
        <v/>
      </c>
      <c r="W52" s="111" t="str">
        <f>IF(AM35,IF(AND(Lüftung4&gt;2,Lüftung4&lt;9),$AB$48,""),"")</f>
        <v/>
      </c>
      <c r="X52" s="113">
        <v>2</v>
      </c>
      <c r="Y52" s="854">
        <f>IF(Dati!F14="",0,VLOOKUP(Dati!F14,Standardwerte!Y47:AC51,5,FALSE))</f>
        <v>2</v>
      </c>
      <c r="AA52" s="27">
        <v>4</v>
      </c>
      <c r="AB52" s="889" t="b">
        <f>IF(Dati!I35=Standardwerte!AB48,TRUE,FALSE)</f>
        <v>0</v>
      </c>
      <c r="AD52" s="42"/>
      <c r="BL52" s="304" t="s">
        <v>230</v>
      </c>
      <c r="BM52" s="305" t="s">
        <v>239</v>
      </c>
      <c r="BN52" s="308"/>
      <c r="BO52" s="124" t="b">
        <v>1</v>
      </c>
      <c r="BP52" s="52">
        <v>0.3</v>
      </c>
      <c r="BQ52" s="1047">
        <v>35</v>
      </c>
      <c r="BR52" s="1047">
        <v>60</v>
      </c>
      <c r="BS52" s="45">
        <v>10</v>
      </c>
      <c r="BT52" s="452">
        <v>1</v>
      </c>
      <c r="BU52" s="45">
        <v>0.6</v>
      </c>
      <c r="BV52" s="44">
        <v>0.7</v>
      </c>
    </row>
    <row r="53" spans="1:74">
      <c r="A53" s="86"/>
      <c r="B53" s="82"/>
      <c r="C53" s="82" t="s">
        <v>250</v>
      </c>
      <c r="D53" s="83" t="s">
        <v>213</v>
      </c>
      <c r="E53" s="82" t="s">
        <v>251</v>
      </c>
      <c r="F53" s="87" t="s">
        <v>206</v>
      </c>
      <c r="I53" s="523" t="s">
        <v>688</v>
      </c>
      <c r="J53" s="524"/>
      <c r="Q53" s="783" t="s">
        <v>210</v>
      </c>
      <c r="R53" s="27"/>
      <c r="S53" s="27"/>
      <c r="T53" s="27"/>
      <c r="AD53" s="42"/>
      <c r="BL53" s="304" t="s">
        <v>231</v>
      </c>
      <c r="BM53" s="305" t="s">
        <v>6</v>
      </c>
      <c r="BN53" s="308"/>
      <c r="BO53" s="124" t="b">
        <v>1</v>
      </c>
      <c r="BP53" s="52">
        <v>0.7</v>
      </c>
      <c r="BQ53" s="1047">
        <v>65</v>
      </c>
      <c r="BR53" s="1047">
        <v>90</v>
      </c>
      <c r="BS53" s="45">
        <v>10</v>
      </c>
      <c r="BT53" s="452">
        <v>1</v>
      </c>
      <c r="BU53" s="45">
        <v>0.6</v>
      </c>
      <c r="BV53" s="44">
        <v>0.7</v>
      </c>
    </row>
    <row r="54" spans="1:74">
      <c r="A54" s="88" t="s">
        <v>199</v>
      </c>
      <c r="B54" s="51" t="s">
        <v>199</v>
      </c>
      <c r="C54" s="51" t="s">
        <v>199</v>
      </c>
      <c r="D54" s="51" t="s">
        <v>199</v>
      </c>
      <c r="E54" s="89"/>
      <c r="F54" s="90"/>
      <c r="G54" s="598">
        <v>1</v>
      </c>
      <c r="I54" s="525" t="s">
        <v>52</v>
      </c>
      <c r="J54" s="526">
        <f>IF(Klima&gt;0,INDEX($D$7:$D$47,Klima,1)*IF(Neubau1=2,1,IF(Neubau1=3,2,0)),)</f>
        <v>0</v>
      </c>
      <c r="L54" s="28" t="s">
        <v>199</v>
      </c>
      <c r="M54" s="988" t="s">
        <v>829</v>
      </c>
      <c r="N54" s="989"/>
      <c r="O54" s="990">
        <v>1</v>
      </c>
      <c r="P54" s="990"/>
      <c r="Q54" s="357"/>
      <c r="R54" s="177"/>
      <c r="S54" s="177"/>
      <c r="T54" s="192" t="s">
        <v>341</v>
      </c>
      <c r="U54" s="2200" t="s">
        <v>471</v>
      </c>
      <c r="V54" s="2201"/>
      <c r="W54" s="501" t="s">
        <v>368</v>
      </c>
      <c r="X54" s="501" t="s">
        <v>501</v>
      </c>
      <c r="Y54" s="501" t="s">
        <v>509</v>
      </c>
      <c r="Z54" s="501" t="s">
        <v>510</v>
      </c>
      <c r="AA54" s="576" t="s">
        <v>511</v>
      </c>
      <c r="AB54" s="566" t="s">
        <v>503</v>
      </c>
      <c r="AC54" s="501" t="s">
        <v>504</v>
      </c>
      <c r="AD54" s="501" t="s">
        <v>505</v>
      </c>
      <c r="AE54" s="576" t="s">
        <v>512</v>
      </c>
      <c r="AF54" s="501" t="s">
        <v>99</v>
      </c>
      <c r="AG54" s="580" t="s">
        <v>525</v>
      </c>
      <c r="AH54" s="581"/>
      <c r="BL54" s="306" t="s">
        <v>721</v>
      </c>
      <c r="BM54" s="307" t="s">
        <v>8</v>
      </c>
      <c r="BN54" s="309"/>
      <c r="BO54" s="147" t="b">
        <v>0</v>
      </c>
      <c r="BP54" s="68">
        <v>0.7</v>
      </c>
      <c r="BQ54" s="49"/>
      <c r="BS54" s="49"/>
      <c r="BT54" s="250"/>
      <c r="BU54" s="49"/>
      <c r="BV54" s="113"/>
    </row>
    <row r="55" spans="1:74">
      <c r="A55" s="91" t="s">
        <v>593</v>
      </c>
      <c r="B55" s="92" t="s">
        <v>271</v>
      </c>
      <c r="C55" s="92">
        <v>8</v>
      </c>
      <c r="D55" s="92">
        <v>0</v>
      </c>
      <c r="E55" s="92">
        <v>1320</v>
      </c>
      <c r="F55" s="93">
        <v>6.1</v>
      </c>
      <c r="G55" s="598">
        <v>2</v>
      </c>
      <c r="I55" s="525" t="s">
        <v>444</v>
      </c>
      <c r="J55" s="526">
        <f>IF(Klima&gt;0,INDEX($D$7:$D$47,Klima,1)*IF(Neubau2=2,1,IF(Neubau2=3,2,0)),)</f>
        <v>0</v>
      </c>
      <c r="K55" s="27">
        <v>1</v>
      </c>
      <c r="L55" s="181" t="str">
        <f>N55</f>
        <v>nessun RC</v>
      </c>
      <c r="M55" s="867"/>
      <c r="N55" s="867" t="str">
        <f>Uebersetzung!D102</f>
        <v>nessun RC</v>
      </c>
      <c r="O55" s="860">
        <v>2</v>
      </c>
      <c r="P55" s="868"/>
      <c r="Q55" s="869">
        <v>0</v>
      </c>
      <c r="R55" s="85"/>
      <c r="S55" s="266" t="s">
        <v>354</v>
      </c>
      <c r="T55" s="673">
        <f>IF(Dati!F34="",1,VLOOKUP(Dati!F34,N54:O59,2,FALSE))</f>
        <v>1</v>
      </c>
      <c r="U55" s="114" t="s">
        <v>481</v>
      </c>
      <c r="V55" s="502">
        <f>W55</f>
        <v>1</v>
      </c>
      <c r="W55" s="637">
        <f>Verifica!M8</f>
        <v>1</v>
      </c>
      <c r="X55" s="100" t="b">
        <f>INDEX($AH$108:$AH$155,$V55,1)</f>
        <v>0</v>
      </c>
      <c r="Y55" s="40">
        <f>IF(AND(DeckungsgradHeizung&gt;99,X55),#REF!/100,0)</f>
        <v>0</v>
      </c>
      <c r="Z55" s="40">
        <f>IF(AND(DeckungsgradWW&gt;99,X55),#REF!/100,0)</f>
        <v>0</v>
      </c>
      <c r="AA55" s="569">
        <f>IF(Verifica!$L$54&gt;0,(Verifica!$L$34*Y55+qw*Z55)/Verifica!$L$54,0)</f>
        <v>0</v>
      </c>
      <c r="AB55" s="567" t="b">
        <f>INDEX($AI$108:$AI$155,$V55,1)</f>
        <v>0</v>
      </c>
      <c r="AC55" s="568">
        <f>IF(AND(DeckungsgradHeizung&gt;99,AB55),#REF!/100,0)</f>
        <v>0</v>
      </c>
      <c r="AD55" s="569">
        <f>IF(AND(DeckungsgradWW&gt;99,AB55),#REF!/100,0)</f>
        <v>0</v>
      </c>
      <c r="AE55" s="569">
        <f>IF(Verifica!$L$54&gt;0,(Verifica!$L$34*AC55+qw*AD55)/Verifica!$L$54,0)</f>
        <v>0</v>
      </c>
      <c r="AF55" s="363" t="b">
        <f>INDEX($AJ$108:$AJ$155,$V55,1)</f>
        <v>0</v>
      </c>
      <c r="AG55" s="582">
        <f>IF(AF55,IF(#REF!&lt;&gt;"",-#REF!,0),0)</f>
        <v>0</v>
      </c>
      <c r="AH55" s="119"/>
      <c r="BK55" s="109" t="s">
        <v>110</v>
      </c>
      <c r="BL55" s="339"/>
      <c r="BM55" s="341" t="str">
        <f>IF(Kategorie1&gt;0,INDEX(BM42:BM54,Kategorie1,1),)</f>
        <v xml:space="preserve"> </v>
      </c>
      <c r="BN55" s="340"/>
      <c r="BO55" s="342" t="b">
        <f>IF(Kategorie1&gt;0,INDEX(BO42:BO54,Kategorie1,1),TRUE)</f>
        <v>1</v>
      </c>
      <c r="BP55" s="342">
        <f>IF(Kategorie1&gt;0,INDEX($BP$42:$BP$54,Kategorie1,1),)</f>
        <v>0</v>
      </c>
      <c r="BQ55" s="342">
        <f>IF(Kategorie1&gt;0,INDEX($BQ$42:$BQ$54,Kategorie1,1),)</f>
        <v>0</v>
      </c>
      <c r="BR55" s="342">
        <f>IF(Kategorie1&gt;0,INDEX($BR$42:$BR$54,Kategorie1,1),)</f>
        <v>0</v>
      </c>
      <c r="BS55" s="342">
        <f>IF(Kategorie1&gt;0,INDEX($BS$42:$BS$54,Kategorie1,1),)</f>
        <v>0</v>
      </c>
      <c r="BT55" s="356">
        <f>IF(Kategorie1&gt;0,INDEX($BT$42:$BT$54,Kategorie1,1),)</f>
        <v>0</v>
      </c>
      <c r="BU55" s="342">
        <f>IF(Kategorie1&gt;0,INDEX($BU$42:$BU$54,Kategorie1,1),)</f>
        <v>0</v>
      </c>
      <c r="BV55" s="342">
        <f>IF(Kategorie1&gt;0,INDEX($BV$42:$BV$54,Kategorie1,1),)</f>
        <v>0</v>
      </c>
    </row>
    <row r="56" spans="1:74">
      <c r="A56" s="91" t="s">
        <v>594</v>
      </c>
      <c r="B56" s="92" t="s">
        <v>286</v>
      </c>
      <c r="C56" s="92">
        <v>8</v>
      </c>
      <c r="D56" s="92">
        <v>0</v>
      </c>
      <c r="E56" s="92">
        <v>381</v>
      </c>
      <c r="F56" s="93">
        <v>10.1</v>
      </c>
      <c r="G56" s="598">
        <v>3</v>
      </c>
      <c r="I56" s="525" t="s">
        <v>445</v>
      </c>
      <c r="J56" s="526">
        <f>IF(Klima&gt;0,INDEX($D$7:$D$47,Klima,1)*IF(Neubau3=2,1,IF(Neubau3=3,2,0)),)</f>
        <v>0</v>
      </c>
      <c r="K56" s="27">
        <v>2</v>
      </c>
      <c r="L56" s="110" t="str">
        <f t="shared" ref="L56:L59" si="15">N56</f>
        <v>flusso incrociato</v>
      </c>
      <c r="M56" s="183"/>
      <c r="N56" s="141" t="str">
        <f>Uebersetzung!D103</f>
        <v>flusso incrociato</v>
      </c>
      <c r="O56" s="85">
        <v>3</v>
      </c>
      <c r="P56" s="359"/>
      <c r="Q56" s="481">
        <v>0.45</v>
      </c>
      <c r="R56" s="85"/>
      <c r="S56" s="266" t="s">
        <v>355</v>
      </c>
      <c r="T56" s="673">
        <f>IF(Dati!G34="",1,VLOOKUP(Dati!G34,N54:O59,2,FALSE))</f>
        <v>1</v>
      </c>
      <c r="U56" s="56" t="s">
        <v>482</v>
      </c>
      <c r="V56" s="503">
        <f>W56</f>
        <v>1</v>
      </c>
      <c r="W56" s="637">
        <f>Verifica!M12</f>
        <v>1</v>
      </c>
      <c r="X56" s="100" t="b">
        <f>INDEX($AH$108:$AH$155,$V56,1)</f>
        <v>0</v>
      </c>
      <c r="Y56" s="45">
        <f>IF(AND(DeckungsgradHeizung&gt;99,X56),#REF!/100,0)</f>
        <v>0</v>
      </c>
      <c r="Z56" s="45">
        <f>IF(AND(DeckungsgradWW&gt;99,X56),#REF!/100,0)</f>
        <v>0</v>
      </c>
      <c r="AA56" s="571">
        <f>IF(Verifica!$L$54&gt;0,(Verifica!$L$34*Y56+qw*Z56)/Verifica!$L$54,0)</f>
        <v>0</v>
      </c>
      <c r="AB56" s="567" t="b">
        <f>INDEX($AI$108:$AI$155,$V56,1)</f>
        <v>0</v>
      </c>
      <c r="AC56" s="570">
        <f>IF(AND(DeckungsgradHeizung&gt;99,AB56),#REF!/100,0)</f>
        <v>0</v>
      </c>
      <c r="AD56" s="571">
        <f>IF(AND(DeckungsgradWW&gt;99,AB56),#REF!/100,0)</f>
        <v>0</v>
      </c>
      <c r="AE56" s="571">
        <f>IF(Verifica!$L$54&gt;0,(Verifica!$L$34*AC56+qw*AD56)/Verifica!$L$54,0)</f>
        <v>0</v>
      </c>
      <c r="AF56" s="363" t="b">
        <f>INDEX($AJ$108:$AJ$155,$V56,1)</f>
        <v>0</v>
      </c>
      <c r="AG56" s="583">
        <f>IF(AF56,IF(#REF!&lt;&gt;"",-#REF!,0),0)</f>
        <v>0</v>
      </c>
      <c r="AH56" s="53"/>
      <c r="BK56" s="109" t="s">
        <v>111</v>
      </c>
      <c r="BL56" s="339"/>
      <c r="BM56" s="341" t="str">
        <f>IF(Kategorie2&gt;0,INDEX(BM42:BM54,Kategorie2,1),)</f>
        <v xml:space="preserve"> </v>
      </c>
      <c r="BN56" s="340"/>
      <c r="BO56" s="342" t="b">
        <f>IF(Kategorie2&gt;0,INDEX(BO42:BO54,Kategorie2,1),TRUE)</f>
        <v>1</v>
      </c>
      <c r="BP56" s="342">
        <f>IF(Kategorie2&gt;0,INDEX($BP$42:$BP$54,Kategorie2,1),)</f>
        <v>0</v>
      </c>
      <c r="BQ56" s="342">
        <f>IF(Kategorie2&gt;0,INDEX($BQ$42:$BQ$54,Kategorie2,1),)</f>
        <v>0</v>
      </c>
      <c r="BR56" s="342">
        <f>IF(Kategorie2&gt;0,INDEX($BR$42:$BR$54,Kategorie2,1),)</f>
        <v>0</v>
      </c>
      <c r="BS56" s="342">
        <f>IF(Kategorie2&gt;0,INDEX($BS$42:$BS$54,Kategorie2,1),)</f>
        <v>0</v>
      </c>
      <c r="BT56" s="356">
        <f>IF(Kategorie2&gt;0,INDEX($BT$42:$BT$54,Kategorie2,1),)</f>
        <v>0</v>
      </c>
      <c r="BU56" s="342">
        <f>IF(Kategorie2&gt;0,INDEX($BU$42:$BU$54,Kategorie2,1),)</f>
        <v>0</v>
      </c>
      <c r="BV56" s="342">
        <f>IF(Kategorie2&gt;0,INDEX($BV$42:$BV$54,Kategorie2,1),)</f>
        <v>0</v>
      </c>
    </row>
    <row r="57" spans="1:74">
      <c r="A57" s="91" t="s">
        <v>290</v>
      </c>
      <c r="B57" s="92" t="s">
        <v>291</v>
      </c>
      <c r="C57" s="92">
        <v>7</v>
      </c>
      <c r="D57" s="92">
        <v>0</v>
      </c>
      <c r="E57" s="92">
        <v>449</v>
      </c>
      <c r="F57" s="93">
        <v>9.9</v>
      </c>
      <c r="G57" s="598">
        <v>4</v>
      </c>
      <c r="I57" s="527" t="s">
        <v>446</v>
      </c>
      <c r="J57" s="528">
        <f>IF(Klima&gt;0,INDEX($D$7:$D$47,Klima,1)*IF(Neubau4=2,1,IF(Neubau4=3,2,0)),)</f>
        <v>0</v>
      </c>
      <c r="K57" s="27">
        <v>3</v>
      </c>
      <c r="L57" s="110" t="str">
        <f t="shared" si="15"/>
        <v>controcorrente</v>
      </c>
      <c r="M57" s="183"/>
      <c r="N57" s="141" t="str">
        <f>Uebersetzung!D104</f>
        <v>controcorrente</v>
      </c>
      <c r="O57" s="85">
        <v>4</v>
      </c>
      <c r="P57" s="359"/>
      <c r="Q57" s="481">
        <v>0.7</v>
      </c>
      <c r="R57" s="85"/>
      <c r="S57" s="266" t="s">
        <v>356</v>
      </c>
      <c r="T57" s="673">
        <f>IF(Dati!H34="",1,VLOOKUP(Dati!H34,N54:O59,2,FALSE))</f>
        <v>1</v>
      </c>
      <c r="U57" s="56" t="s">
        <v>31</v>
      </c>
      <c r="V57" s="503">
        <f>W57</f>
        <v>1</v>
      </c>
      <c r="W57" s="637">
        <f>Verifica!M16</f>
        <v>1</v>
      </c>
      <c r="X57" s="100" t="b">
        <f>INDEX($AH$108:$AH$155,$V57,1)</f>
        <v>0</v>
      </c>
      <c r="Y57" s="45">
        <f>IF(AND(DeckungsgradHeizung&gt;99,X57),#REF!/100,0)</f>
        <v>0</v>
      </c>
      <c r="Z57" s="45">
        <f>IF(AND(DeckungsgradWW&gt;99,X57),#REF!/100,0)</f>
        <v>0</v>
      </c>
      <c r="AA57" s="571">
        <f>IF(Verifica!$L$54&gt;0,(Verifica!$L$34*Y57+qw*Z57)/Verifica!$L$54,0)</f>
        <v>0</v>
      </c>
      <c r="AB57" s="567" t="b">
        <f>INDEX($AI$108:$AI$155,$V57,1)</f>
        <v>0</v>
      </c>
      <c r="AC57" s="570">
        <f>IF(AND(DeckungsgradHeizung&gt;99,AB57),#REF!/100,0)</f>
        <v>0</v>
      </c>
      <c r="AD57" s="571">
        <f>IF(AND(DeckungsgradWW&gt;99,AB57),#REF!/100,0)</f>
        <v>0</v>
      </c>
      <c r="AE57" s="571">
        <f>IF(Verifica!$L$54&gt;0,(Verifica!$L$34*AC57+qw*AD57)/Verifica!$L$54,0)</f>
        <v>0</v>
      </c>
      <c r="AF57" s="363" t="b">
        <f>INDEX($AJ$108:$AJ$155,$V57,1)</f>
        <v>0</v>
      </c>
      <c r="AG57" s="583">
        <f>IF(AF57,IF(#REF!&lt;&gt;"",-#REF!,0),0)</f>
        <v>0</v>
      </c>
      <c r="AH57" s="53"/>
      <c r="BK57" s="109" t="s">
        <v>112</v>
      </c>
      <c r="BL57" s="339"/>
      <c r="BM57" s="341" t="str">
        <f>IF(Kategorie3&gt;0,INDEX(BM42:BM54,Kategorie3,1),)</f>
        <v xml:space="preserve"> </v>
      </c>
      <c r="BN57" s="340"/>
      <c r="BO57" s="342" t="b">
        <f>IF(Kategorie3&gt;0,INDEX(BO42:BO54,Kategorie3,1),TRUE)</f>
        <v>1</v>
      </c>
      <c r="BP57" s="342">
        <f>IF(Kategorie3&gt;0,INDEX($BP$42:$BP$54,Kategorie3,1),)</f>
        <v>0</v>
      </c>
      <c r="BQ57" s="342">
        <f>IF(Kategorie3&gt;0,INDEX($BQ$42:$BQ$54,Kategorie3,1),)</f>
        <v>0</v>
      </c>
      <c r="BR57" s="342">
        <f>IF(Kategorie3&gt;0,INDEX($BR$42:$BR$54,Kategorie3,1),)</f>
        <v>0</v>
      </c>
      <c r="BS57" s="342">
        <f>IF(Kategorie3&gt;0,INDEX($BS$42:$BS$54,Kategorie3,1),)</f>
        <v>0</v>
      </c>
      <c r="BT57" s="356">
        <f>IF(Kategorie3&gt;0,INDEX($BT$42:$BT$54,Kategorie3,1),)</f>
        <v>0</v>
      </c>
      <c r="BU57" s="342">
        <f>IF(Kategorie3&gt;0,INDEX($BU$42:$BU$54,Kategorie3,1),)</f>
        <v>0</v>
      </c>
      <c r="BV57" s="342">
        <f>IF(Kategorie3&gt;0,INDEX($BV$42:$BV$54,Kategorie3,1),)</f>
        <v>0</v>
      </c>
    </row>
    <row r="58" spans="1:74">
      <c r="A58" s="91" t="s">
        <v>252</v>
      </c>
      <c r="B58" s="92" t="s">
        <v>253</v>
      </c>
      <c r="C58" s="92">
        <v>1</v>
      </c>
      <c r="D58" s="92">
        <v>0</v>
      </c>
      <c r="E58" s="92">
        <v>316</v>
      </c>
      <c r="F58" s="93">
        <v>10.5</v>
      </c>
      <c r="G58" s="598">
        <v>5</v>
      </c>
      <c r="I58" s="530"/>
      <c r="J58" s="530"/>
      <c r="K58" s="27">
        <v>4</v>
      </c>
      <c r="L58" s="110" t="str">
        <f t="shared" si="15"/>
        <v>scambiatore rotativo</v>
      </c>
      <c r="M58" s="141"/>
      <c r="N58" s="141" t="str">
        <f>Uebersetzung!D105</f>
        <v>scambiatore rotativo</v>
      </c>
      <c r="O58" s="85">
        <v>5</v>
      </c>
      <c r="P58" s="359"/>
      <c r="Q58" s="481">
        <v>0.7</v>
      </c>
      <c r="R58" s="139"/>
      <c r="S58" s="267" t="s">
        <v>124</v>
      </c>
      <c r="T58" s="674">
        <f>IF(Dati!I34="",1,VLOOKUP(Dati!I34,N54:O59,2,FALSE))</f>
        <v>1</v>
      </c>
      <c r="U58" s="112" t="s">
        <v>32</v>
      </c>
      <c r="V58" s="504">
        <f>W58</f>
        <v>1</v>
      </c>
      <c r="W58" s="638">
        <f>Verifica!M20</f>
        <v>1</v>
      </c>
      <c r="X58" s="565" t="b">
        <f>INDEX($AH$108:$AH$155,$V58,1)</f>
        <v>0</v>
      </c>
      <c r="Y58" s="49">
        <f>IF(AND(DeckungsgradHeizung&gt;99,X58),#REF!/100,0)</f>
        <v>0</v>
      </c>
      <c r="Z58" s="49">
        <f>IF(AND(DeckungsgradWW&gt;99,X58),#REF!/100,0)</f>
        <v>0</v>
      </c>
      <c r="AA58" s="574">
        <f>IF(Verifica!$L$54&gt;0,(Verifica!$L$34*Y58+qw*Z58)/Verifica!$L$54,0)</f>
        <v>0</v>
      </c>
      <c r="AB58" s="572" t="b">
        <f>INDEX($AI$108:$AI$155,$V58,1)</f>
        <v>0</v>
      </c>
      <c r="AC58" s="573">
        <f>IF(AND(DeckungsgradHeizung&gt;99,AB58),#REF!/100,0)</f>
        <v>0</v>
      </c>
      <c r="AD58" s="574">
        <f>IF(AND(DeckungsgradWW&gt;99,AB58),#REF!/100,0)</f>
        <v>0</v>
      </c>
      <c r="AE58" s="574">
        <f>IF(Verifica!$L$54&gt;0,(Verifica!$L$34*AC58+qw*AD58)/Verifica!$L$54,0)</f>
        <v>0</v>
      </c>
      <c r="AF58" s="364" t="b">
        <f>INDEX($AJ$108:$AJ$155,$V58,1)</f>
        <v>0</v>
      </c>
      <c r="AG58" s="584">
        <f>IF(AF58,IF(#REF!&lt;&gt;"",-#REF!,0),0)</f>
        <v>0</v>
      </c>
      <c r="AH58" s="120"/>
      <c r="BK58" s="109" t="s">
        <v>113</v>
      </c>
      <c r="BL58" s="339"/>
      <c r="BM58" s="341" t="str">
        <f>IF(Kategorie4&gt;0,INDEX(BM42:BM54,Kategorie4,1),)</f>
        <v xml:space="preserve"> </v>
      </c>
      <c r="BN58" s="340"/>
      <c r="BO58" s="342" t="b">
        <f>IF(Kategorie4&gt;0,INDEX(BO42:BO54,Kategorie4,1),TRUE)</f>
        <v>1</v>
      </c>
      <c r="BP58" s="342">
        <f>IF(Kategorie4&gt;0,INDEX($BP$42:$BP$54,Kategorie3,1),)</f>
        <v>0</v>
      </c>
      <c r="BQ58" s="342">
        <f>IF(Kategorie4&gt;0,INDEX($BQ$42:$BQ$54,Kategorie4,1),)</f>
        <v>0</v>
      </c>
      <c r="BR58" s="342">
        <f>IF(Kategorie4&gt;0,INDEX($BR$42:$BR$54,Kategorie4,1),)</f>
        <v>0</v>
      </c>
      <c r="BS58" s="342">
        <f>IF(Kategorie4&gt;0,INDEX($BS$42:$BS$54,Kategorie4,1),)</f>
        <v>0</v>
      </c>
      <c r="BT58" s="356">
        <f>IF(Kategorie4&gt;0,INDEX($BT$42:$BT$54,Kategorie4,1),)</f>
        <v>0</v>
      </c>
      <c r="BU58" s="342">
        <f>IF(Kategorie4&gt;0,INDEX($BU$42:$BU$54,Kategorie4,1),)</f>
        <v>0</v>
      </c>
      <c r="BV58" s="342">
        <f>IF(Kategorie4&gt;0,INDEX($BV$42:$BV$54,Kategorie4,1),)</f>
        <v>0</v>
      </c>
    </row>
    <row r="59" spans="1:74">
      <c r="A59" s="91" t="s">
        <v>595</v>
      </c>
      <c r="B59" s="92" t="s">
        <v>271</v>
      </c>
      <c r="C59" s="92">
        <v>4</v>
      </c>
      <c r="D59" s="92">
        <v>0</v>
      </c>
      <c r="E59" s="92">
        <v>565</v>
      </c>
      <c r="F59" s="93">
        <v>9.1</v>
      </c>
      <c r="G59" s="598">
        <v>6</v>
      </c>
      <c r="K59" s="27">
        <v>5</v>
      </c>
      <c r="L59" s="111" t="str">
        <f t="shared" si="15"/>
        <v>scambiatore di calore a circuito chiuso</v>
      </c>
      <c r="M59" s="178"/>
      <c r="N59" s="178" t="str">
        <f>Uebersetzung!D106</f>
        <v>scambiatore di calore a circuito chiuso</v>
      </c>
      <c r="O59" s="139">
        <v>6</v>
      </c>
      <c r="P59" s="360"/>
      <c r="Q59" s="482">
        <v>0.6</v>
      </c>
      <c r="R59" s="334" t="s">
        <v>132</v>
      </c>
      <c r="S59" s="161" t="s">
        <v>199</v>
      </c>
      <c r="T59" s="161" t="s">
        <v>199</v>
      </c>
      <c r="U59" s="161" t="s">
        <v>199</v>
      </c>
      <c r="X59" s="27" t="b">
        <f>OR(X55:X58)</f>
        <v>0</v>
      </c>
      <c r="Z59" s="575" t="s">
        <v>506</v>
      </c>
      <c r="AA59" s="577">
        <f>SUM(AA55:AA58)</f>
        <v>0</v>
      </c>
      <c r="AD59" s="575" t="s">
        <v>506</v>
      </c>
      <c r="AE59" s="577">
        <f>SUM(AE55:AE58)</f>
        <v>0</v>
      </c>
      <c r="AF59" s="575" t="s">
        <v>100</v>
      </c>
      <c r="AG59" s="585">
        <f>SUM(AG55:AG58)</f>
        <v>0</v>
      </c>
      <c r="AH59" s="340"/>
      <c r="BK59" s="109" t="s">
        <v>346</v>
      </c>
      <c r="BL59" s="131"/>
      <c r="BM59" s="130"/>
      <c r="BN59" s="344"/>
      <c r="BO59" s="123"/>
      <c r="BP59" s="1074" t="str">
        <f>IF(AND(Zonen=2,BP55=BP56),BP55&amp;" m/h",IF(AND(Zonen=3,BP55=BP56,BP55=BP57),BP55&amp;" m/h",IF(AND(Zonen=4,BP55=BP56,BP55=BP57,BP55=BP58),BP55&amp;" m/h","Min-P-Stand")))</f>
        <v>Min-P-Stand</v>
      </c>
      <c r="BQ59" s="361">
        <f t="shared" ref="BQ59:BV59" si="16">IF(EBF&gt;0,(BQ55*_EBF1+BQ56*_EBF2+BQ57*_EBF3+BQ58*_EBF4)/EBF,0)</f>
        <v>0</v>
      </c>
      <c r="BR59" s="361">
        <f t="shared" si="16"/>
        <v>0</v>
      </c>
      <c r="BS59" s="140">
        <f t="shared" si="16"/>
        <v>0</v>
      </c>
      <c r="BT59" s="361">
        <f t="shared" si="16"/>
        <v>0</v>
      </c>
      <c r="BU59" s="362">
        <f t="shared" si="16"/>
        <v>0</v>
      </c>
      <c r="BV59" s="362">
        <f t="shared" si="16"/>
        <v>0</v>
      </c>
    </row>
    <row r="60" spans="1:74">
      <c r="A60" s="91" t="s">
        <v>596</v>
      </c>
      <c r="B60" s="92" t="s">
        <v>272</v>
      </c>
      <c r="C60" s="92">
        <v>4</v>
      </c>
      <c r="D60" s="92">
        <v>0</v>
      </c>
      <c r="E60" s="92">
        <v>387</v>
      </c>
      <c r="F60" s="93">
        <v>9.6999999999999993</v>
      </c>
      <c r="G60" s="598">
        <v>7</v>
      </c>
      <c r="L60" s="269" t="s">
        <v>626</v>
      </c>
      <c r="M60" s="43">
        <f>INDEX($L$54:$N$59,WRGtyp1,3)</f>
        <v>0</v>
      </c>
      <c r="N60" s="359">
        <f>INDEX($Q$54:$Q$59,WRGtyp1,1)</f>
        <v>0</v>
      </c>
      <c r="O60" s="42"/>
      <c r="P60" s="42"/>
      <c r="Q60" s="53"/>
      <c r="R60" s="40" t="str">
        <f>IF(minergiep,IF(OR(WRGtyp1=2,WRGtyp1=3,_EBF1=0),,1),"")</f>
        <v/>
      </c>
      <c r="T60" s="873"/>
      <c r="Z60" s="575" t="s">
        <v>507</v>
      </c>
      <c r="AA60" s="578">
        <f>0.95-AE59</f>
        <v>0.95</v>
      </c>
      <c r="AD60" s="575" t="s">
        <v>507</v>
      </c>
      <c r="AE60" s="342">
        <v>0.5</v>
      </c>
    </row>
    <row r="61" spans="1:74">
      <c r="A61" s="91" t="s">
        <v>296</v>
      </c>
      <c r="B61" s="92" t="s">
        <v>295</v>
      </c>
      <c r="C61" s="92">
        <v>9</v>
      </c>
      <c r="D61" s="92">
        <v>0</v>
      </c>
      <c r="E61" s="92">
        <v>555</v>
      </c>
      <c r="F61" s="93">
        <v>9.6</v>
      </c>
      <c r="G61" s="598">
        <v>8</v>
      </c>
      <c r="L61" s="269" t="s">
        <v>627</v>
      </c>
      <c r="M61" s="110">
        <f>INDEX($L$54:$N$59,WRGtyp2,3)</f>
        <v>0</v>
      </c>
      <c r="N61" s="359">
        <f>INDEX($Q$54:$Q$59,WRGtyp2,1)</f>
        <v>0</v>
      </c>
      <c r="O61" s="42"/>
      <c r="P61" s="42"/>
      <c r="Q61" s="53"/>
      <c r="R61" s="45" t="str">
        <f>IF(minergiep,IF(OR(WRGtyp2=2,WRGtyp2=3,_EBF2=0),,1),"")</f>
        <v/>
      </c>
      <c r="T61" s="27"/>
      <c r="U61" s="190" t="s">
        <v>690</v>
      </c>
      <c r="V61" s="191"/>
      <c r="W61" s="255"/>
      <c r="AD61" s="575" t="s">
        <v>508</v>
      </c>
      <c r="AE61" s="579" t="b">
        <f>IF(AND(AE59&gt;=AE60,AA59&gt;=AA60,X59=TRUE),TRUE,FALSE)</f>
        <v>0</v>
      </c>
    </row>
    <row r="62" spans="1:74">
      <c r="A62" s="91" t="s">
        <v>297</v>
      </c>
      <c r="B62" s="92" t="s">
        <v>295</v>
      </c>
      <c r="C62" s="92">
        <v>9</v>
      </c>
      <c r="D62" s="92">
        <v>4</v>
      </c>
      <c r="E62" s="92">
        <v>1590</v>
      </c>
      <c r="F62" s="93">
        <v>3.6</v>
      </c>
      <c r="G62" s="598">
        <v>9</v>
      </c>
      <c r="L62" s="269" t="s">
        <v>628</v>
      </c>
      <c r="M62" s="110">
        <f>INDEX($L$54:$N$59,WRGtyp3,3)</f>
        <v>0</v>
      </c>
      <c r="N62" s="359">
        <f>INDEX($Q$54:$Q$59,WRGtyp3,1)</f>
        <v>0</v>
      </c>
      <c r="O62" s="42"/>
      <c r="P62" s="42"/>
      <c r="Q62" s="53"/>
      <c r="R62" s="45" t="str">
        <f>IF(minergiep,IF(OR(WRGtyp3=2,WRGtyp3=3,_EBF3=0),,1),"")</f>
        <v/>
      </c>
      <c r="T62" s="42"/>
      <c r="U62" s="172" t="s">
        <v>470</v>
      </c>
      <c r="V62" s="252" t="s">
        <v>177</v>
      </c>
      <c r="W62" s="253"/>
      <c r="BL62" s="368" t="s">
        <v>269</v>
      </c>
      <c r="BM62" s="421"/>
      <c r="BN62" s="421"/>
      <c r="BO62" s="422"/>
    </row>
    <row r="63" spans="1:74">
      <c r="A63" s="91" t="s">
        <v>298</v>
      </c>
      <c r="B63" s="92" t="s">
        <v>295</v>
      </c>
      <c r="C63" s="92">
        <v>9</v>
      </c>
      <c r="D63" s="92">
        <v>0</v>
      </c>
      <c r="E63" s="92">
        <v>1190</v>
      </c>
      <c r="F63" s="93">
        <v>6.7</v>
      </c>
      <c r="G63" s="598">
        <v>10</v>
      </c>
      <c r="L63" s="270" t="s">
        <v>629</v>
      </c>
      <c r="M63" s="111">
        <f>INDEX($L$54:$N$59,WRGtyp4,3)</f>
        <v>0</v>
      </c>
      <c r="N63" s="360">
        <f>INDEX($Q$54:$Q$59,WRGtyp4,1)</f>
        <v>0</v>
      </c>
      <c r="O63" s="60"/>
      <c r="P63" s="60"/>
      <c r="Q63" s="120"/>
      <c r="R63" s="49" t="str">
        <f>IF(minergiep,IF(OR(WRGtyp4=2,WRGtyp4=3,_EBF4=0),,1),"")</f>
        <v/>
      </c>
      <c r="T63" s="42">
        <v>1</v>
      </c>
      <c r="U63" s="110" t="str">
        <f>INDEX($V$108:$V$155,_typ1,1)</f>
        <v xml:space="preserve">  </v>
      </c>
      <c r="V63" s="288" t="str">
        <f>INDEX($W$108:$W$155,_typ1,1)</f>
        <v xml:space="preserve">  </v>
      </c>
      <c r="W63" s="44"/>
      <c r="BL63" s="123" t="b">
        <v>1</v>
      </c>
    </row>
    <row r="64" spans="1:74">
      <c r="A64" s="91" t="s">
        <v>292</v>
      </c>
      <c r="B64" s="92" t="s">
        <v>293</v>
      </c>
      <c r="C64" s="92">
        <v>7</v>
      </c>
      <c r="D64" s="92">
        <v>2</v>
      </c>
      <c r="E64" s="92">
        <v>1035</v>
      </c>
      <c r="F64" s="93">
        <v>6.4</v>
      </c>
      <c r="G64" s="598">
        <v>11</v>
      </c>
      <c r="R64" s="874">
        <f>IF(SUM(R60:R63)&gt;9,2,IF(SUM(R60:R63)&gt;0,1,))</f>
        <v>0</v>
      </c>
      <c r="T64" s="42">
        <v>2</v>
      </c>
      <c r="U64" s="110" t="str">
        <f>INDEX($V$108:$V$155,_typ2,1)</f>
        <v xml:space="preserve">  </v>
      </c>
      <c r="V64" s="288" t="str">
        <f>INDEX($W$108:$W$155,_typ2,1)</f>
        <v xml:space="preserve">  </v>
      </c>
      <c r="W64" s="44"/>
      <c r="AD64" s="782"/>
    </row>
    <row r="65" spans="1:71">
      <c r="A65" s="91" t="s">
        <v>284</v>
      </c>
      <c r="B65" s="92" t="s">
        <v>285</v>
      </c>
      <c r="C65" s="92">
        <v>5</v>
      </c>
      <c r="D65" s="92">
        <v>0</v>
      </c>
      <c r="E65" s="92">
        <v>420</v>
      </c>
      <c r="F65" s="93">
        <v>10.7</v>
      </c>
      <c r="G65" s="598">
        <v>12</v>
      </c>
      <c r="I65" s="530"/>
      <c r="J65" s="530"/>
      <c r="T65" s="42">
        <v>3</v>
      </c>
      <c r="U65" s="110" t="str">
        <f>INDEX($V$108:$V$155,_typ3,1)</f>
        <v xml:space="preserve">  </v>
      </c>
      <c r="V65" s="288" t="str">
        <f>INDEX($W$108:$W$155,_typ3,1)</f>
        <v xml:space="preserve">  </v>
      </c>
      <c r="W65" s="44"/>
      <c r="X65" s="2228" t="s">
        <v>3354</v>
      </c>
      <c r="Y65" s="2229"/>
      <c r="Z65" s="2229"/>
      <c r="AA65" s="2229"/>
      <c r="AB65" s="2229"/>
      <c r="AC65" s="2229"/>
      <c r="AD65" s="1837" t="s">
        <v>556</v>
      </c>
      <c r="AE65" s="1838">
        <f>IF(minergiea,IF(Neubau1=3,AC$68,AB$68),IF(minergiep,IF(Neubau1=3,AA$68,Z$68),IF(Neubau1=3,Y$68,X$68)))</f>
        <v>15</v>
      </c>
    </row>
    <row r="66" spans="1:71">
      <c r="A66" s="91" t="s">
        <v>288</v>
      </c>
      <c r="B66" s="92" t="s">
        <v>289</v>
      </c>
      <c r="C66" s="92">
        <v>6</v>
      </c>
      <c r="D66" s="92">
        <v>0</v>
      </c>
      <c r="E66" s="92">
        <v>515</v>
      </c>
      <c r="F66" s="93">
        <v>8.8000000000000007</v>
      </c>
      <c r="G66" s="598">
        <v>13</v>
      </c>
      <c r="L66" s="28" t="s">
        <v>530</v>
      </c>
      <c r="M66" s="75"/>
      <c r="N66" s="75"/>
      <c r="O66" s="76"/>
      <c r="P66" s="161"/>
      <c r="Q66" s="161"/>
      <c r="T66" s="42">
        <v>4</v>
      </c>
      <c r="U66" s="289" t="str">
        <f>INDEX($V$108:$V$155,_typ4,1)</f>
        <v xml:space="preserve">  </v>
      </c>
      <c r="V66" s="290" t="str">
        <f>INDEX($W$108:$W$155,_typ4,1)</f>
        <v xml:space="preserve">  </v>
      </c>
      <c r="W66" s="113"/>
      <c r="X66" s="2228" t="s">
        <v>547</v>
      </c>
      <c r="Y66" s="2230"/>
      <c r="Z66" s="2228" t="s">
        <v>664</v>
      </c>
      <c r="AA66" s="2230"/>
      <c r="AB66" s="2228" t="s">
        <v>500</v>
      </c>
      <c r="AC66" s="2229"/>
      <c r="AD66" s="857" t="s">
        <v>557</v>
      </c>
      <c r="AE66" s="1839">
        <f>IF(minergiea,IF(Neubau2=3,AC$68,AB$68),IF(minergiep,IF(Neubau2=3,AA$68,Z$68),IF(Neubau2=3,Y$68,X$68)))</f>
        <v>15</v>
      </c>
      <c r="AF66" s="598"/>
    </row>
    <row r="67" spans="1:71">
      <c r="A67" s="91" t="s">
        <v>300</v>
      </c>
      <c r="B67" s="92" t="s">
        <v>299</v>
      </c>
      <c r="C67" s="92">
        <v>12</v>
      </c>
      <c r="D67" s="92">
        <v>8</v>
      </c>
      <c r="E67" s="92">
        <v>2472</v>
      </c>
      <c r="F67" s="93">
        <v>-0.5</v>
      </c>
      <c r="G67" s="598">
        <v>14</v>
      </c>
      <c r="L67" s="36">
        <v>1</v>
      </c>
      <c r="M67" s="193" t="s">
        <v>630</v>
      </c>
      <c r="N67" s="194" t="s">
        <v>644</v>
      </c>
      <c r="O67" s="195"/>
      <c r="P67" s="161"/>
      <c r="Q67" s="161"/>
      <c r="X67" s="1810" t="s">
        <v>651</v>
      </c>
      <c r="Y67" s="1811" t="s">
        <v>1727</v>
      </c>
      <c r="Z67" s="1810" t="s">
        <v>651</v>
      </c>
      <c r="AA67" s="1811" t="s">
        <v>1727</v>
      </c>
      <c r="AB67" s="1810" t="s">
        <v>651</v>
      </c>
      <c r="AC67" s="1811" t="s">
        <v>1727</v>
      </c>
      <c r="AD67" s="857" t="s">
        <v>234</v>
      </c>
      <c r="AE67" s="1839">
        <f>IF(minergiea,IF(Neubau3=3,AC$68,AB$68),IF(minergiep,IF(Neubau3=3,AA$68,Z$68),IF(Neubau3=3,Y$68,X$68)))</f>
        <v>15</v>
      </c>
      <c r="AL67" s="254"/>
      <c r="AM67" s="254"/>
      <c r="AN67" s="254"/>
      <c r="AO67" s="254"/>
    </row>
    <row r="68" spans="1:71" ht="15.6">
      <c r="A68" s="91" t="s">
        <v>597</v>
      </c>
      <c r="B68" s="92" t="s">
        <v>273</v>
      </c>
      <c r="C68" s="92">
        <v>3</v>
      </c>
      <c r="D68" s="92">
        <v>0</v>
      </c>
      <c r="E68" s="92">
        <v>440</v>
      </c>
      <c r="F68" s="93">
        <v>9.1999999999999993</v>
      </c>
      <c r="G68" s="598">
        <v>15</v>
      </c>
      <c r="L68" s="170">
        <v>2</v>
      </c>
      <c r="M68" s="182" t="s">
        <v>631</v>
      </c>
      <c r="N68" s="183" t="s">
        <v>645</v>
      </c>
      <c r="O68" s="184"/>
      <c r="P68" s="161"/>
      <c r="Q68" s="161"/>
      <c r="W68" s="1188" t="s">
        <v>1835</v>
      </c>
      <c r="X68" s="1038">
        <v>15</v>
      </c>
      <c r="Y68" s="457">
        <v>50</v>
      </c>
      <c r="Z68" s="1038">
        <v>10</v>
      </c>
      <c r="AA68" s="457">
        <v>40</v>
      </c>
      <c r="AB68" s="1038">
        <v>-5</v>
      </c>
      <c r="AC68" s="1039">
        <v>-5</v>
      </c>
      <c r="AD68" s="858" t="s">
        <v>235</v>
      </c>
      <c r="AE68" s="1840">
        <f>IF(minergiea,IF(Neubau4=3,AC$68,AB$68),IF(minergiep,IF(Neubau4=3,AA$68,Z$68),IF(Neubau4=3,Y$68,X$68)))</f>
        <v>15</v>
      </c>
      <c r="AG68" s="782" t="s">
        <v>1942</v>
      </c>
      <c r="AI68" s="782" t="s">
        <v>547</v>
      </c>
      <c r="BL68" s="276"/>
    </row>
    <row r="69" spans="1:71" ht="15.6">
      <c r="A69" s="91" t="s">
        <v>294</v>
      </c>
      <c r="B69" s="92" t="s">
        <v>271</v>
      </c>
      <c r="C69" s="92">
        <v>8</v>
      </c>
      <c r="D69" s="92">
        <v>0</v>
      </c>
      <c r="E69" s="92">
        <v>580</v>
      </c>
      <c r="F69" s="93">
        <v>8.6999999999999993</v>
      </c>
      <c r="G69" s="598">
        <v>16</v>
      </c>
      <c r="L69" s="170">
        <v>1</v>
      </c>
      <c r="M69" s="110" t="s">
        <v>646</v>
      </c>
      <c r="N69" s="141" t="s">
        <v>646</v>
      </c>
      <c r="O69" s="180"/>
      <c r="P69" s="161"/>
      <c r="Q69" s="161"/>
      <c r="W69" s="1307" t="s">
        <v>1834</v>
      </c>
      <c r="X69" s="1302" t="s">
        <v>547</v>
      </c>
      <c r="Y69" s="1304"/>
      <c r="Z69" s="1302" t="s">
        <v>664</v>
      </c>
      <c r="AA69" s="1304"/>
      <c r="AB69" s="1312"/>
      <c r="AC69" s="1303" t="s">
        <v>736</v>
      </c>
      <c r="AD69" s="2224" t="s">
        <v>2648</v>
      </c>
      <c r="AE69" s="2225"/>
      <c r="AF69" s="2226"/>
      <c r="AG69" s="1378" t="s">
        <v>80</v>
      </c>
      <c r="AH69" s="1379" t="s">
        <v>1943</v>
      </c>
      <c r="AI69" s="778" t="s">
        <v>500</v>
      </c>
      <c r="BL69" s="276" t="s">
        <v>382</v>
      </c>
    </row>
    <row r="70" spans="1:71" ht="15.75" customHeight="1">
      <c r="A70" s="91" t="s">
        <v>598</v>
      </c>
      <c r="B70" s="92" t="s">
        <v>270</v>
      </c>
      <c r="C70" s="92">
        <v>2</v>
      </c>
      <c r="D70" s="92">
        <v>0</v>
      </c>
      <c r="E70" s="92">
        <v>1019</v>
      </c>
      <c r="F70" s="93">
        <v>6.5</v>
      </c>
      <c r="G70" s="598">
        <v>17</v>
      </c>
      <c r="L70" s="43"/>
      <c r="M70" s="110"/>
      <c r="N70" s="141"/>
      <c r="O70" s="180"/>
      <c r="P70" s="161"/>
      <c r="Q70" s="161"/>
      <c r="W70" s="1308" t="s">
        <v>1824</v>
      </c>
      <c r="X70" s="1297" t="s">
        <v>651</v>
      </c>
      <c r="Y70" s="1298" t="s">
        <v>1727</v>
      </c>
      <c r="Z70" s="1297" t="s">
        <v>651</v>
      </c>
      <c r="AA70" s="1298" t="s">
        <v>1727</v>
      </c>
      <c r="AB70" s="779" t="s">
        <v>633</v>
      </c>
      <c r="AC70" s="1299" t="s">
        <v>494</v>
      </c>
      <c r="AD70" s="1298" t="s">
        <v>697</v>
      </c>
      <c r="AE70" s="1297" t="s">
        <v>1899</v>
      </c>
      <c r="AF70" s="1321" t="s">
        <v>1902</v>
      </c>
      <c r="AG70" s="1321" t="s">
        <v>525</v>
      </c>
      <c r="AH70" s="1322" t="s">
        <v>525</v>
      </c>
      <c r="AI70" s="779" t="s">
        <v>2395</v>
      </c>
    </row>
    <row r="71" spans="1:71" ht="13.8" thickBot="1">
      <c r="A71" s="91" t="s">
        <v>599</v>
      </c>
      <c r="B71" s="92" t="s">
        <v>286</v>
      </c>
      <c r="C71" s="92">
        <v>2</v>
      </c>
      <c r="D71" s="92">
        <v>0</v>
      </c>
      <c r="E71" s="92">
        <v>1202</v>
      </c>
      <c r="F71" s="93">
        <v>6</v>
      </c>
      <c r="G71" s="598">
        <v>18</v>
      </c>
      <c r="L71" s="174"/>
      <c r="M71" s="185"/>
      <c r="N71" s="186"/>
      <c r="O71" s="187"/>
      <c r="R71" s="27"/>
      <c r="S71" s="27"/>
      <c r="W71" s="1309"/>
      <c r="X71" s="1309"/>
      <c r="Y71" s="1311"/>
      <c r="Z71" s="1309"/>
      <c r="AA71" s="1311"/>
      <c r="AB71" s="1306"/>
      <c r="AC71" s="1310"/>
      <c r="AD71" s="1296"/>
      <c r="AE71" s="1295"/>
      <c r="AF71" s="1320"/>
      <c r="AG71" s="1380"/>
      <c r="AH71" s="1381"/>
      <c r="AI71" s="1306"/>
      <c r="BL71" s="54" t="s">
        <v>383</v>
      </c>
      <c r="BM71" s="77"/>
      <c r="BN71" s="275" t="s">
        <v>718</v>
      </c>
      <c r="BO71" s="275" t="s">
        <v>207</v>
      </c>
      <c r="BP71" s="275" t="s">
        <v>208</v>
      </c>
      <c r="BQ71" s="512" t="s">
        <v>209</v>
      </c>
      <c r="BR71" s="512" t="s">
        <v>692</v>
      </c>
      <c r="BS71" s="512" t="s">
        <v>448</v>
      </c>
    </row>
    <row r="72" spans="1:71">
      <c r="A72" s="91" t="s">
        <v>306</v>
      </c>
      <c r="B72" s="92" t="s">
        <v>305</v>
      </c>
      <c r="C72" s="92">
        <v>12</v>
      </c>
      <c r="D72" s="92">
        <v>0</v>
      </c>
      <c r="E72" s="92">
        <v>366</v>
      </c>
      <c r="F72" s="93">
        <v>12.3</v>
      </c>
      <c r="G72" s="598">
        <v>19</v>
      </c>
      <c r="L72" s="188" t="s">
        <v>626</v>
      </c>
      <c r="M72" s="110" t="str">
        <f>INDEX($M$67:$O$71,ACDC1,2)</f>
        <v>AC-Motor</v>
      </c>
      <c r="N72" s="141"/>
      <c r="O72" s="180"/>
      <c r="R72" s="27"/>
      <c r="S72" s="27"/>
      <c r="W72" s="458" t="s">
        <v>29</v>
      </c>
      <c r="X72" s="85">
        <v>55</v>
      </c>
      <c r="Y72" s="85">
        <v>90</v>
      </c>
      <c r="Z72" s="1300">
        <v>50</v>
      </c>
      <c r="AA72" s="1301">
        <v>80</v>
      </c>
      <c r="AB72" s="85" t="s">
        <v>49</v>
      </c>
      <c r="AC72" s="45">
        <v>99999999</v>
      </c>
      <c r="AD72" s="85">
        <v>0</v>
      </c>
      <c r="AE72" s="45">
        <v>0</v>
      </c>
      <c r="AF72" s="1324">
        <v>0</v>
      </c>
      <c r="AG72" s="1324">
        <v>14</v>
      </c>
      <c r="AH72" s="1325">
        <v>16</v>
      </c>
      <c r="AI72" s="45">
        <v>35</v>
      </c>
      <c r="BL72" s="131" t="s">
        <v>447</v>
      </c>
      <c r="BM72" s="130"/>
      <c r="BN72" s="140">
        <f>F_s1</f>
        <v>0</v>
      </c>
      <c r="BO72" s="140">
        <f>F_s2</f>
        <v>0</v>
      </c>
      <c r="BP72" s="140">
        <f>F_s3</f>
        <v>0</v>
      </c>
      <c r="BQ72" s="457">
        <f>F_s4</f>
        <v>0</v>
      </c>
      <c r="BR72" s="362">
        <f>IF(EBF&gt;0,(BN72*_EBF1+BO72*_EBF2+BP72*_EBF3+BQ72*_EBF4)/EBF,0)</f>
        <v>0</v>
      </c>
      <c r="BS72" s="89"/>
    </row>
    <row r="73" spans="1:71" ht="15.75" customHeight="1">
      <c r="A73" s="91" t="s">
        <v>307</v>
      </c>
      <c r="B73" s="92" t="s">
        <v>305</v>
      </c>
      <c r="C73" s="92">
        <v>12</v>
      </c>
      <c r="D73" s="92">
        <v>0</v>
      </c>
      <c r="E73" s="92">
        <v>273</v>
      </c>
      <c r="F73" s="93">
        <v>12.4</v>
      </c>
      <c r="G73" s="598">
        <v>20</v>
      </c>
      <c r="L73" s="188" t="s">
        <v>627</v>
      </c>
      <c r="M73" s="110" t="str">
        <f>INDEX($M$67:$O$71,ACDC2,2)</f>
        <v>AC-Motor</v>
      </c>
      <c r="N73" s="141"/>
      <c r="O73" s="180"/>
      <c r="R73" s="27"/>
      <c r="S73" s="27"/>
      <c r="W73" s="458" t="s">
        <v>0</v>
      </c>
      <c r="X73" s="85">
        <v>55</v>
      </c>
      <c r="Y73" s="85">
        <v>90</v>
      </c>
      <c r="Z73" s="1204">
        <v>50</v>
      </c>
      <c r="AA73" s="1205">
        <v>80</v>
      </c>
      <c r="AB73" s="85" t="s">
        <v>50</v>
      </c>
      <c r="AC73" s="45">
        <v>99999999</v>
      </c>
      <c r="AD73" s="85">
        <v>0</v>
      </c>
      <c r="AE73" s="45">
        <v>0</v>
      </c>
      <c r="AF73" s="1324">
        <v>0</v>
      </c>
      <c r="AG73" s="1324">
        <v>16</v>
      </c>
      <c r="AH73" s="1325">
        <v>16</v>
      </c>
      <c r="AI73" s="45">
        <v>35</v>
      </c>
      <c r="BL73" s="131" t="s">
        <v>101</v>
      </c>
      <c r="BM73" s="130"/>
      <c r="BN73" s="362">
        <f>BN72/3.6</f>
        <v>0</v>
      </c>
      <c r="BO73" s="362">
        <f>BO72/3.6</f>
        <v>0</v>
      </c>
      <c r="BP73" s="362">
        <f>BP72/3.6</f>
        <v>0</v>
      </c>
      <c r="BQ73" s="362">
        <f>BQ72/3.6</f>
        <v>0</v>
      </c>
      <c r="BR73" s="586">
        <f>BR72/3.6</f>
        <v>0</v>
      </c>
      <c r="BS73" s="124"/>
    </row>
    <row r="74" spans="1:71">
      <c r="A74" s="91" t="s">
        <v>281</v>
      </c>
      <c r="B74" s="92" t="s">
        <v>282</v>
      </c>
      <c r="C74" s="92">
        <v>7</v>
      </c>
      <c r="D74" s="92">
        <v>0</v>
      </c>
      <c r="E74" s="92">
        <v>456</v>
      </c>
      <c r="F74" s="93">
        <v>9.6999999999999993</v>
      </c>
      <c r="G74" s="598">
        <v>21</v>
      </c>
      <c r="L74" s="188" t="s">
        <v>628</v>
      </c>
      <c r="M74" s="110" t="str">
        <f>INDEX($M$67:$O$71,ACDC3,2)</f>
        <v>AC-Motor</v>
      </c>
      <c r="N74" s="141"/>
      <c r="O74" s="180"/>
      <c r="R74" s="27"/>
      <c r="S74" s="27"/>
      <c r="W74" s="458" t="s">
        <v>1825</v>
      </c>
      <c r="X74" s="1833">
        <v>80</v>
      </c>
      <c r="Y74" s="1833">
        <v>120</v>
      </c>
      <c r="Z74" s="1834">
        <v>75</v>
      </c>
      <c r="AA74" s="1835">
        <v>115</v>
      </c>
      <c r="AB74" s="85" t="s">
        <v>5</v>
      </c>
      <c r="AC74" s="45">
        <v>250</v>
      </c>
      <c r="AD74" s="1833">
        <v>15</v>
      </c>
      <c r="AE74" s="1836">
        <v>34</v>
      </c>
      <c r="AF74" s="1834">
        <v>9</v>
      </c>
      <c r="AG74" s="1324">
        <v>16</v>
      </c>
      <c r="AH74" s="1325">
        <v>21</v>
      </c>
      <c r="AI74" s="45">
        <v>35</v>
      </c>
      <c r="BL74" s="36" t="s">
        <v>102</v>
      </c>
      <c r="BM74" s="119"/>
      <c r="BN74" s="587">
        <f>AG55</f>
        <v>0</v>
      </c>
      <c r="BO74" s="587">
        <f>AG56</f>
        <v>0</v>
      </c>
      <c r="BP74" s="587">
        <f>AG57</f>
        <v>0</v>
      </c>
      <c r="BQ74" s="587">
        <f>AG58</f>
        <v>0</v>
      </c>
      <c r="BR74" s="362">
        <f>SUM(BN74:BQ74)</f>
        <v>0</v>
      </c>
      <c r="BS74" s="124"/>
    </row>
    <row r="75" spans="1:71">
      <c r="A75" s="91" t="s">
        <v>600</v>
      </c>
      <c r="B75" s="92" t="s">
        <v>305</v>
      </c>
      <c r="C75" s="92">
        <v>12</v>
      </c>
      <c r="D75" s="92">
        <v>0</v>
      </c>
      <c r="E75" s="92">
        <v>197</v>
      </c>
      <c r="F75" s="93">
        <v>11.7</v>
      </c>
      <c r="G75" s="598">
        <v>22</v>
      </c>
      <c r="L75" s="189" t="s">
        <v>629</v>
      </c>
      <c r="M75" s="111" t="str">
        <f>INDEX($M$67:$O$71,ACDC4,2)</f>
        <v>AC-Motor</v>
      </c>
      <c r="N75" s="178"/>
      <c r="O75" s="179"/>
      <c r="R75" s="27"/>
      <c r="S75" s="27"/>
      <c r="W75" s="458" t="s">
        <v>1826</v>
      </c>
      <c r="X75" s="85">
        <v>45</v>
      </c>
      <c r="Y75" s="85">
        <v>85</v>
      </c>
      <c r="Z75" s="1204">
        <v>40</v>
      </c>
      <c r="AA75" s="1205">
        <v>75</v>
      </c>
      <c r="AB75" s="85" t="s">
        <v>7</v>
      </c>
      <c r="AC75" s="45">
        <v>250</v>
      </c>
      <c r="AD75" s="85">
        <v>16</v>
      </c>
      <c r="AE75" s="45">
        <v>14</v>
      </c>
      <c r="AF75" s="1324">
        <v>7</v>
      </c>
      <c r="AG75" s="1324">
        <v>18</v>
      </c>
      <c r="AH75" s="1325">
        <v>18</v>
      </c>
      <c r="AI75" s="45">
        <v>20</v>
      </c>
      <c r="BL75" s="131" t="s">
        <v>103</v>
      </c>
      <c r="BM75" s="130"/>
      <c r="BN75" s="130"/>
      <c r="BO75" s="130"/>
      <c r="BP75" s="130"/>
      <c r="BQ75" s="344"/>
      <c r="BR75" s="588">
        <f>MAX(Verifica!G58-MINERGIE_Wert,0)</f>
        <v>0</v>
      </c>
      <c r="BS75" s="124"/>
    </row>
    <row r="76" spans="1:71">
      <c r="A76" s="91" t="s">
        <v>301</v>
      </c>
      <c r="B76" s="92" t="s">
        <v>299</v>
      </c>
      <c r="C76" s="92">
        <v>10</v>
      </c>
      <c r="D76" s="92">
        <v>0</v>
      </c>
      <c r="E76" s="92">
        <v>1508</v>
      </c>
      <c r="F76" s="93">
        <v>5.9</v>
      </c>
      <c r="G76" s="598">
        <v>23</v>
      </c>
      <c r="W76" s="458" t="s">
        <v>1827</v>
      </c>
      <c r="X76" s="85">
        <v>120</v>
      </c>
      <c r="Y76" s="85">
        <v>140</v>
      </c>
      <c r="Z76" s="1204">
        <v>110</v>
      </c>
      <c r="AA76" s="1205">
        <v>130</v>
      </c>
      <c r="AB76" s="85" t="s">
        <v>9</v>
      </c>
      <c r="AC76" s="45">
        <v>250</v>
      </c>
      <c r="AD76" s="85">
        <v>80</v>
      </c>
      <c r="AE76" s="45">
        <v>29</v>
      </c>
      <c r="AF76" s="1324">
        <v>7</v>
      </c>
      <c r="AG76" s="1324">
        <v>13</v>
      </c>
      <c r="AH76" s="1325">
        <v>16</v>
      </c>
      <c r="AI76" s="45">
        <v>40</v>
      </c>
      <c r="BL76" s="95" t="s">
        <v>104</v>
      </c>
      <c r="BM76" s="60"/>
      <c r="BN76" s="60"/>
      <c r="BO76" s="60"/>
      <c r="BP76" s="60"/>
      <c r="BQ76" s="120"/>
      <c r="BR76" s="588">
        <f>IF(BR73-Grau_Grenz&gt;0,-MIN(BR73-Grau_Grenz,BR75),0)</f>
        <v>0</v>
      </c>
      <c r="BS76" s="147"/>
    </row>
    <row r="77" spans="1:71">
      <c r="A77" s="91" t="s">
        <v>287</v>
      </c>
      <c r="B77" s="92" t="s">
        <v>270</v>
      </c>
      <c r="C77" s="92">
        <v>5</v>
      </c>
      <c r="D77" s="92">
        <v>0</v>
      </c>
      <c r="E77" s="92">
        <v>485</v>
      </c>
      <c r="F77" s="93">
        <v>10.3</v>
      </c>
      <c r="G77" s="598">
        <v>24</v>
      </c>
      <c r="W77" s="458" t="s">
        <v>1828</v>
      </c>
      <c r="X77" s="85">
        <v>100</v>
      </c>
      <c r="Y77" s="85">
        <v>130</v>
      </c>
      <c r="Z77" s="1204">
        <v>90</v>
      </c>
      <c r="AA77" s="1205">
        <v>120</v>
      </c>
      <c r="AB77" s="85" t="s">
        <v>10</v>
      </c>
      <c r="AC77" s="45">
        <v>250</v>
      </c>
      <c r="AD77" s="85">
        <v>28</v>
      </c>
      <c r="AE77" s="45">
        <v>43</v>
      </c>
      <c r="AF77" s="1324">
        <v>7</v>
      </c>
      <c r="AG77" s="1324">
        <v>24</v>
      </c>
      <c r="AH77" s="1325">
        <v>19</v>
      </c>
      <c r="AI77" s="45">
        <v>40</v>
      </c>
      <c r="BL77" s="131" t="s">
        <v>105</v>
      </c>
      <c r="BM77" s="130"/>
      <c r="BN77" s="130"/>
      <c r="BO77" s="130"/>
      <c r="BP77" s="130"/>
      <c r="BQ77" s="344"/>
      <c r="BR77" s="586">
        <f>BR73+BR76</f>
        <v>0</v>
      </c>
      <c r="BS77" s="342">
        <v>50</v>
      </c>
    </row>
    <row r="78" spans="1:71">
      <c r="A78" s="91" t="s">
        <v>601</v>
      </c>
      <c r="B78" s="92" t="s">
        <v>286</v>
      </c>
      <c r="C78" s="92">
        <v>5</v>
      </c>
      <c r="D78" s="92">
        <v>0</v>
      </c>
      <c r="E78" s="92">
        <v>490</v>
      </c>
      <c r="F78" s="93">
        <v>9.4</v>
      </c>
      <c r="G78" s="598">
        <v>25</v>
      </c>
      <c r="T78" s="94"/>
      <c r="W78" s="1201" t="s">
        <v>1829</v>
      </c>
      <c r="X78" s="85">
        <v>55</v>
      </c>
      <c r="Y78" s="85">
        <v>85</v>
      </c>
      <c r="Z78" s="1204">
        <v>45</v>
      </c>
      <c r="AA78" s="1205">
        <v>75</v>
      </c>
      <c r="AB78" s="94" t="s">
        <v>227</v>
      </c>
      <c r="AC78" s="249">
        <v>250</v>
      </c>
      <c r="AD78" s="85">
        <v>20</v>
      </c>
      <c r="AE78" s="45">
        <v>7</v>
      </c>
      <c r="AF78" s="1324">
        <v>7</v>
      </c>
      <c r="AG78" s="1324">
        <v>24</v>
      </c>
      <c r="AH78" s="1325">
        <v>19</v>
      </c>
      <c r="AI78" s="45">
        <v>25</v>
      </c>
    </row>
    <row r="79" spans="1:71">
      <c r="A79" s="91" t="s">
        <v>602</v>
      </c>
      <c r="B79" s="92" t="s">
        <v>305</v>
      </c>
      <c r="C79" s="92">
        <v>12</v>
      </c>
      <c r="D79" s="92">
        <v>0</v>
      </c>
      <c r="E79" s="92">
        <v>1007</v>
      </c>
      <c r="F79" s="93">
        <v>7.8</v>
      </c>
      <c r="G79" s="598">
        <v>26</v>
      </c>
      <c r="T79" s="94"/>
      <c r="W79" s="1201" t="s">
        <v>1830</v>
      </c>
      <c r="X79" s="85">
        <v>110</v>
      </c>
      <c r="Y79" s="85">
        <v>140</v>
      </c>
      <c r="Z79" s="1204">
        <v>100</v>
      </c>
      <c r="AA79" s="1205">
        <v>130</v>
      </c>
      <c r="AB79" s="94" t="s">
        <v>228</v>
      </c>
      <c r="AC79" s="249">
        <v>250</v>
      </c>
      <c r="AD79" s="85">
        <v>28</v>
      </c>
      <c r="AE79" s="45">
        <v>29</v>
      </c>
      <c r="AF79" s="1324">
        <v>14</v>
      </c>
      <c r="AG79" s="1324">
        <v>20</v>
      </c>
      <c r="AH79" s="1325">
        <v>20</v>
      </c>
      <c r="AI79" s="45">
        <v>50</v>
      </c>
    </row>
    <row r="80" spans="1:71">
      <c r="A80" s="91" t="s">
        <v>603</v>
      </c>
      <c r="B80" s="92" t="s">
        <v>286</v>
      </c>
      <c r="C80" s="92">
        <v>5</v>
      </c>
      <c r="D80" s="92">
        <v>0</v>
      </c>
      <c r="E80" s="92">
        <v>461</v>
      </c>
      <c r="F80" s="93">
        <v>10.9</v>
      </c>
      <c r="G80" s="598">
        <v>27</v>
      </c>
      <c r="T80" s="94"/>
      <c r="W80" s="1201" t="s">
        <v>1831</v>
      </c>
      <c r="X80" s="85">
        <v>80</v>
      </c>
      <c r="Y80" s="85">
        <v>130</v>
      </c>
      <c r="Z80" s="1204">
        <v>70</v>
      </c>
      <c r="AA80" s="1205">
        <v>120</v>
      </c>
      <c r="AB80" s="94" t="s">
        <v>229</v>
      </c>
      <c r="AC80" s="249">
        <v>250</v>
      </c>
      <c r="AD80" s="85">
        <v>28</v>
      </c>
      <c r="AE80" s="45">
        <v>29</v>
      </c>
      <c r="AF80" s="1324">
        <v>7</v>
      </c>
      <c r="AG80" s="1324">
        <v>15</v>
      </c>
      <c r="AH80" s="1325">
        <v>18</v>
      </c>
      <c r="AI80" s="45">
        <v>30</v>
      </c>
    </row>
    <row r="81" spans="1:35" ht="15.6">
      <c r="A81" s="91" t="s">
        <v>308</v>
      </c>
      <c r="B81" s="92" t="s">
        <v>295</v>
      </c>
      <c r="C81" s="92">
        <v>12</v>
      </c>
      <c r="D81" s="92">
        <v>0</v>
      </c>
      <c r="E81" s="92">
        <v>1078</v>
      </c>
      <c r="F81" s="93">
        <v>7</v>
      </c>
      <c r="G81" s="598">
        <v>28</v>
      </c>
      <c r="I81" s="479" t="s">
        <v>666</v>
      </c>
      <c r="N81" s="479" t="s">
        <v>546</v>
      </c>
      <c r="O81" s="94"/>
      <c r="P81" s="276"/>
      <c r="Q81" s="53"/>
      <c r="S81" s="27"/>
      <c r="T81" s="27"/>
      <c r="W81" s="458" t="s">
        <v>1832</v>
      </c>
      <c r="X81" s="85">
        <v>55</v>
      </c>
      <c r="Y81" s="85">
        <v>70</v>
      </c>
      <c r="Z81" s="1204">
        <v>45</v>
      </c>
      <c r="AA81" s="1205">
        <v>60</v>
      </c>
      <c r="AB81" s="85" t="s">
        <v>230</v>
      </c>
      <c r="AC81" s="45">
        <v>250</v>
      </c>
      <c r="AD81" s="85">
        <v>28</v>
      </c>
      <c r="AE81" s="45">
        <v>7</v>
      </c>
      <c r="AF81" s="1324">
        <v>7</v>
      </c>
      <c r="AG81" s="1324">
        <v>15</v>
      </c>
      <c r="AH81" s="1325">
        <v>18</v>
      </c>
      <c r="AI81" s="45">
        <v>25</v>
      </c>
    </row>
    <row r="82" spans="1:35">
      <c r="A82" s="91" t="s">
        <v>604</v>
      </c>
      <c r="B82" s="92" t="s">
        <v>253</v>
      </c>
      <c r="C82" s="92">
        <v>1</v>
      </c>
      <c r="D82" s="92">
        <v>0</v>
      </c>
      <c r="E82" s="92">
        <v>610</v>
      </c>
      <c r="F82" s="93">
        <v>9.1</v>
      </c>
      <c r="G82" s="598">
        <v>29</v>
      </c>
      <c r="I82" s="95" t="s">
        <v>675</v>
      </c>
      <c r="J82" s="42"/>
      <c r="K82" s="42"/>
      <c r="N82" s="475" t="s">
        <v>651</v>
      </c>
      <c r="O82" s="476"/>
      <c r="P82" s="477" t="s">
        <v>12</v>
      </c>
      <c r="Q82" s="478" t="s">
        <v>652</v>
      </c>
      <c r="S82" s="27"/>
      <c r="T82" s="27"/>
      <c r="W82" s="458" t="s">
        <v>1833</v>
      </c>
      <c r="X82" s="85">
        <v>55</v>
      </c>
      <c r="Y82" s="85">
        <v>70</v>
      </c>
      <c r="Z82" s="1204">
        <v>45</v>
      </c>
      <c r="AA82" s="1205">
        <v>60</v>
      </c>
      <c r="AB82" s="85" t="s">
        <v>231</v>
      </c>
      <c r="AC82" s="45">
        <v>250</v>
      </c>
      <c r="AD82" s="85">
        <v>18</v>
      </c>
      <c r="AE82" s="45">
        <v>7</v>
      </c>
      <c r="AF82" s="1324">
        <v>7</v>
      </c>
      <c r="AG82" s="1324">
        <v>19</v>
      </c>
      <c r="AH82" s="1325">
        <v>18</v>
      </c>
      <c r="AI82" s="45">
        <v>25</v>
      </c>
    </row>
    <row r="83" spans="1:35">
      <c r="A83" s="91" t="s">
        <v>605</v>
      </c>
      <c r="B83" s="92" t="s">
        <v>295</v>
      </c>
      <c r="C83" s="92">
        <v>11</v>
      </c>
      <c r="D83" s="92">
        <v>8</v>
      </c>
      <c r="E83" s="92">
        <v>1705</v>
      </c>
      <c r="F83" s="93">
        <v>1.8</v>
      </c>
      <c r="G83" s="598">
        <v>30</v>
      </c>
      <c r="I83" s="387"/>
      <c r="J83" s="388" t="s">
        <v>667</v>
      </c>
      <c r="K83" s="389"/>
      <c r="L83" s="28" t="s">
        <v>668</v>
      </c>
      <c r="M83" s="64"/>
      <c r="N83" s="28" t="s">
        <v>547</v>
      </c>
      <c r="O83" s="2211" t="s">
        <v>13</v>
      </c>
      <c r="P83" s="2212"/>
      <c r="Q83" s="336" t="s">
        <v>547</v>
      </c>
      <c r="R83" s="336" t="s">
        <v>664</v>
      </c>
      <c r="S83" s="27"/>
      <c r="T83" s="27"/>
      <c r="U83" s="27"/>
      <c r="V83" s="27"/>
      <c r="W83" s="1275" t="s">
        <v>8</v>
      </c>
      <c r="X83" s="139">
        <v>0</v>
      </c>
      <c r="Y83" s="139">
        <v>0</v>
      </c>
      <c r="Z83" s="1206">
        <v>0</v>
      </c>
      <c r="AA83" s="1207">
        <v>0</v>
      </c>
      <c r="AB83" s="1274" t="s">
        <v>721</v>
      </c>
      <c r="AC83" s="49">
        <v>99999999</v>
      </c>
      <c r="AD83" s="139">
        <v>0</v>
      </c>
      <c r="AE83" s="49">
        <v>0</v>
      </c>
      <c r="AF83" s="1326">
        <v>0</v>
      </c>
      <c r="AG83" s="1326">
        <v>19</v>
      </c>
      <c r="AH83" s="1327">
        <v>25</v>
      </c>
      <c r="AI83" s="49">
        <v>0</v>
      </c>
    </row>
    <row r="84" spans="1:35">
      <c r="A84" s="91" t="s">
        <v>606</v>
      </c>
      <c r="B84" s="92" t="s">
        <v>295</v>
      </c>
      <c r="C84" s="92">
        <v>12</v>
      </c>
      <c r="D84" s="92">
        <v>2</v>
      </c>
      <c r="E84" s="92">
        <v>1639</v>
      </c>
      <c r="F84" s="93">
        <v>3.9</v>
      </c>
      <c r="G84" s="598">
        <v>31</v>
      </c>
      <c r="H84" s="46">
        <v>1</v>
      </c>
      <c r="I84" s="47"/>
      <c r="J84" s="377" t="s">
        <v>199</v>
      </c>
      <c r="K84" s="378" t="s">
        <v>199</v>
      </c>
      <c r="L84" s="95"/>
      <c r="M84" s="120"/>
      <c r="N84" s="95"/>
      <c r="O84" s="472"/>
      <c r="P84" s="120"/>
      <c r="Q84" s="147"/>
      <c r="R84" s="124"/>
      <c r="S84" s="27"/>
      <c r="T84" s="27"/>
      <c r="U84" s="27"/>
      <c r="V84" s="27"/>
      <c r="X84" s="783" t="s">
        <v>525</v>
      </c>
      <c r="Y84" s="783" t="s">
        <v>525</v>
      </c>
      <c r="Z84" s="783" t="s">
        <v>525</v>
      </c>
      <c r="AA84" s="783" t="s">
        <v>525</v>
      </c>
      <c r="AB84" s="783"/>
      <c r="AC84" s="783" t="s">
        <v>321</v>
      </c>
      <c r="AD84" s="783" t="s">
        <v>525</v>
      </c>
      <c r="AE84" s="783" t="s">
        <v>525</v>
      </c>
      <c r="AF84" s="783" t="s">
        <v>525</v>
      </c>
    </row>
    <row r="85" spans="1:35">
      <c r="A85" s="91" t="s">
        <v>276</v>
      </c>
      <c r="B85" s="92" t="s">
        <v>277</v>
      </c>
      <c r="C85" s="92">
        <v>3</v>
      </c>
      <c r="D85" s="92">
        <v>0</v>
      </c>
      <c r="E85" s="92">
        <v>779</v>
      </c>
      <c r="F85" s="93">
        <v>8.1999999999999993</v>
      </c>
      <c r="G85" s="598">
        <v>32</v>
      </c>
      <c r="H85" s="46">
        <v>2</v>
      </c>
      <c r="I85" s="376" t="str">
        <f t="shared" ref="I85:I96" si="17">I10</f>
        <v>Ab. plurif.</v>
      </c>
      <c r="J85" s="379" t="str">
        <f>AA47</f>
        <v>si</v>
      </c>
      <c r="K85" s="380" t="str">
        <f>AA47</f>
        <v>si</v>
      </c>
      <c r="L85" s="42" t="b">
        <v>1</v>
      </c>
      <c r="M85" s="53" t="b">
        <v>1</v>
      </c>
      <c r="N85" s="461">
        <v>0.9</v>
      </c>
      <c r="O85" s="473">
        <v>0.6</v>
      </c>
      <c r="P85" s="460">
        <v>15</v>
      </c>
      <c r="Q85" s="469">
        <v>0</v>
      </c>
      <c r="R85" s="469">
        <f>0.8</f>
        <v>0.8</v>
      </c>
      <c r="S85" s="27"/>
      <c r="T85" s="27"/>
      <c r="U85" s="27"/>
      <c r="V85" s="27"/>
    </row>
    <row r="86" spans="1:35">
      <c r="A86" s="91" t="s">
        <v>274</v>
      </c>
      <c r="B86" s="92" t="s">
        <v>275</v>
      </c>
      <c r="C86" s="92">
        <v>3</v>
      </c>
      <c r="D86" s="92">
        <v>0</v>
      </c>
      <c r="E86" s="92">
        <v>437</v>
      </c>
      <c r="F86" s="93">
        <v>9.4</v>
      </c>
      <c r="G86" s="598">
        <v>33</v>
      </c>
      <c r="H86" s="46">
        <v>3</v>
      </c>
      <c r="I86" s="37" t="str">
        <f t="shared" si="17"/>
        <v>Ab. monof.</v>
      </c>
      <c r="J86" s="381" t="str">
        <f>AA47</f>
        <v>si</v>
      </c>
      <c r="K86" s="382" t="str">
        <f>AA47</f>
        <v>si</v>
      </c>
      <c r="L86" s="42" t="b">
        <v>1</v>
      </c>
      <c r="M86" s="53" t="b">
        <v>1</v>
      </c>
      <c r="N86" s="461">
        <v>0.9</v>
      </c>
      <c r="O86" s="473">
        <v>0.6</v>
      </c>
      <c r="P86" s="462">
        <v>15</v>
      </c>
      <c r="Q86" s="470">
        <v>0</v>
      </c>
      <c r="R86" s="470">
        <f t="shared" ref="R86:R95" si="18">0.8</f>
        <v>0.8</v>
      </c>
      <c r="S86" s="27"/>
      <c r="T86" s="27"/>
      <c r="U86" s="27"/>
      <c r="V86" s="27"/>
      <c r="W86" s="27" t="str">
        <f>MINERGIE!B33</f>
        <v>Impianti di elevazione / lift presenti</v>
      </c>
    </row>
    <row r="87" spans="1:35">
      <c r="A87" s="91" t="s">
        <v>304</v>
      </c>
      <c r="B87" s="92" t="s">
        <v>295</v>
      </c>
      <c r="C87" s="92">
        <v>11</v>
      </c>
      <c r="D87" s="92">
        <v>2</v>
      </c>
      <c r="E87" s="92">
        <v>1298</v>
      </c>
      <c r="F87" s="93">
        <v>5.5</v>
      </c>
      <c r="G87" s="598">
        <v>34</v>
      </c>
      <c r="H87" s="46">
        <v>4</v>
      </c>
      <c r="I87" s="37" t="str">
        <f t="shared" si="17"/>
        <v>Amministraz.</v>
      </c>
      <c r="J87" s="381" t="str">
        <f>AA47</f>
        <v>si</v>
      </c>
      <c r="K87" s="382" t="str">
        <f>AA48</f>
        <v>no</v>
      </c>
      <c r="L87" s="42" t="b">
        <v>1</v>
      </c>
      <c r="M87" s="53" t="b">
        <v>0</v>
      </c>
      <c r="N87" s="461">
        <v>0.9</v>
      </c>
      <c r="O87" s="473">
        <v>0.6</v>
      </c>
      <c r="P87" s="462">
        <v>15</v>
      </c>
      <c r="Q87" s="470">
        <v>0</v>
      </c>
      <c r="R87" s="470">
        <f t="shared" si="18"/>
        <v>0.8</v>
      </c>
      <c r="S87" s="27"/>
      <c r="T87" s="27"/>
      <c r="U87" s="27"/>
      <c r="V87" s="109">
        <v>1</v>
      </c>
      <c r="W87" s="89" t="str">
        <f>MINERGIE!B34</f>
        <v>Tutte le lavastoviglie classe A+++</v>
      </c>
      <c r="X87" s="1520">
        <v>0.01</v>
      </c>
      <c r="Y87" s="1240">
        <v>0.04</v>
      </c>
      <c r="AA87" s="1367" t="s">
        <v>1940</v>
      </c>
      <c r="AB87" s="1368"/>
      <c r="AC87" s="1369"/>
      <c r="AF87" s="1367" t="s">
        <v>3248</v>
      </c>
      <c r="AG87" s="1367" t="s">
        <v>3259</v>
      </c>
      <c r="AH87" s="1786">
        <f>Anteil_WP</f>
        <v>0</v>
      </c>
      <c r="AI87" s="1369"/>
    </row>
    <row r="88" spans="1:35">
      <c r="A88" s="91" t="s">
        <v>302</v>
      </c>
      <c r="B88" s="92" t="s">
        <v>299</v>
      </c>
      <c r="C88" s="92">
        <v>10</v>
      </c>
      <c r="D88" s="92">
        <v>0</v>
      </c>
      <c r="E88" s="92">
        <v>482</v>
      </c>
      <c r="F88" s="93">
        <v>10.1</v>
      </c>
      <c r="G88" s="598">
        <v>35</v>
      </c>
      <c r="H88" s="46">
        <v>5</v>
      </c>
      <c r="I88" s="37" t="str">
        <f t="shared" si="17"/>
        <v>Scuole</v>
      </c>
      <c r="J88" s="381" t="str">
        <f>AA47</f>
        <v>si</v>
      </c>
      <c r="K88" s="382" t="str">
        <f>AA48</f>
        <v>no</v>
      </c>
      <c r="L88" s="42" t="b">
        <v>1</v>
      </c>
      <c r="M88" s="53" t="b">
        <v>0</v>
      </c>
      <c r="N88" s="461">
        <v>0.9</v>
      </c>
      <c r="O88" s="473">
        <v>0.6</v>
      </c>
      <c r="P88" s="462">
        <v>15</v>
      </c>
      <c r="Q88" s="470">
        <v>0</v>
      </c>
      <c r="R88" s="470">
        <f t="shared" si="18"/>
        <v>0.8</v>
      </c>
      <c r="S88" s="27"/>
      <c r="T88" s="27"/>
      <c r="U88" s="27"/>
      <c r="V88" s="109">
        <v>2</v>
      </c>
      <c r="W88" s="124" t="str">
        <f>MINERGIE!B35</f>
        <v>Tutti i congelatori classe A+++</v>
      </c>
      <c r="X88" s="1519">
        <v>0.03</v>
      </c>
      <c r="Y88" s="1241">
        <v>0.05</v>
      </c>
      <c r="AA88" s="89"/>
      <c r="AB88" s="89"/>
      <c r="AC88" s="119"/>
      <c r="AF88" s="1777" t="s">
        <v>3260</v>
      </c>
      <c r="AG88" s="1779" t="s">
        <v>3251</v>
      </c>
      <c r="AH88" s="1779" t="s">
        <v>3252</v>
      </c>
      <c r="AI88" s="1778" t="s">
        <v>3253</v>
      </c>
    </row>
    <row r="89" spans="1:35">
      <c r="A89" s="91" t="s">
        <v>607</v>
      </c>
      <c r="B89" s="92" t="s">
        <v>619</v>
      </c>
      <c r="C89" s="92">
        <v>10</v>
      </c>
      <c r="D89" s="92">
        <v>0</v>
      </c>
      <c r="E89" s="92">
        <v>1345</v>
      </c>
      <c r="F89" s="93">
        <v>3.7</v>
      </c>
      <c r="G89" s="598">
        <v>36</v>
      </c>
      <c r="H89" s="46">
        <v>6</v>
      </c>
      <c r="I89" s="37" t="str">
        <f t="shared" si="17"/>
        <v>Negozi</v>
      </c>
      <c r="J89" s="381" t="str">
        <f>AA47</f>
        <v>si</v>
      </c>
      <c r="K89" s="382" t="str">
        <f>AA48</f>
        <v>no</v>
      </c>
      <c r="L89" s="42" t="b">
        <v>1</v>
      </c>
      <c r="M89" s="53" t="b">
        <v>0</v>
      </c>
      <c r="N89" s="461">
        <v>0.9</v>
      </c>
      <c r="O89" s="473">
        <v>0.6</v>
      </c>
      <c r="P89" s="462">
        <v>15</v>
      </c>
      <c r="Q89" s="470">
        <v>0</v>
      </c>
      <c r="R89" s="470">
        <f t="shared" si="18"/>
        <v>0.8</v>
      </c>
      <c r="S89" s="27"/>
      <c r="T89" s="27"/>
      <c r="U89" s="27"/>
      <c r="V89" s="109">
        <v>3</v>
      </c>
      <c r="W89" s="124" t="str">
        <f>MINERGIE!B36</f>
        <v>Tutti le macchine da lavare classe A+++</v>
      </c>
      <c r="X89" s="1519">
        <v>0.01</v>
      </c>
      <c r="Y89" s="1241">
        <v>0.03</v>
      </c>
      <c r="AA89" s="147"/>
      <c r="AB89" s="858" t="s">
        <v>651</v>
      </c>
      <c r="AC89" s="1372" t="s">
        <v>1727</v>
      </c>
      <c r="AF89" s="1775" t="s">
        <v>3249</v>
      </c>
      <c r="AG89" s="1780"/>
      <c r="AH89" s="1780"/>
      <c r="AI89" s="1485"/>
    </row>
    <row r="90" spans="1:35">
      <c r="A90" s="91" t="s">
        <v>608</v>
      </c>
      <c r="B90" s="92" t="s">
        <v>620</v>
      </c>
      <c r="C90" s="92">
        <v>6</v>
      </c>
      <c r="D90" s="92">
        <v>0</v>
      </c>
      <c r="E90" s="92">
        <v>460</v>
      </c>
      <c r="F90" s="93">
        <v>10</v>
      </c>
      <c r="G90" s="598">
        <v>37</v>
      </c>
      <c r="H90" s="46">
        <v>7</v>
      </c>
      <c r="I90" s="37" t="str">
        <f t="shared" si="17"/>
        <v>Ristoranti</v>
      </c>
      <c r="J90" s="381" t="str">
        <f>AA48</f>
        <v>no</v>
      </c>
      <c r="K90" s="382" t="str">
        <f>AA48</f>
        <v>no</v>
      </c>
      <c r="L90" s="42" t="b">
        <v>0</v>
      </c>
      <c r="M90" s="53" t="b">
        <v>0</v>
      </c>
      <c r="N90" s="461">
        <v>0.9</v>
      </c>
      <c r="O90" s="473">
        <v>0.6</v>
      </c>
      <c r="P90" s="462">
        <v>15</v>
      </c>
      <c r="Q90" s="470">
        <v>0</v>
      </c>
      <c r="R90" s="470">
        <f t="shared" si="18"/>
        <v>0.8</v>
      </c>
      <c r="S90" s="27"/>
      <c r="T90" s="27"/>
      <c r="U90" s="27"/>
      <c r="V90" s="109">
        <v>4</v>
      </c>
      <c r="W90" s="124" t="str">
        <f>MINERGIE!B37</f>
        <v>Tutti le asciugatrici classe A+++</v>
      </c>
      <c r="X90" s="1519">
        <v>0.03</v>
      </c>
      <c r="Y90" s="1241">
        <v>7.0000000000000007E-2</v>
      </c>
      <c r="AA90" s="589" t="s">
        <v>313</v>
      </c>
      <c r="AB90" s="1373">
        <v>1</v>
      </c>
      <c r="AC90" s="1370"/>
      <c r="AF90" s="110">
        <v>0</v>
      </c>
      <c r="AG90" s="45">
        <v>-0.5</v>
      </c>
      <c r="AH90" s="45">
        <v>30</v>
      </c>
      <c r="AI90" s="1770">
        <v>-12</v>
      </c>
    </row>
    <row r="91" spans="1:35">
      <c r="A91" s="91" t="s">
        <v>609</v>
      </c>
      <c r="B91" s="92" t="s">
        <v>271</v>
      </c>
      <c r="C91" s="92">
        <v>4</v>
      </c>
      <c r="D91" s="92">
        <v>0</v>
      </c>
      <c r="E91" s="92">
        <v>422</v>
      </c>
      <c r="F91" s="93">
        <v>9</v>
      </c>
      <c r="G91" s="598">
        <v>38</v>
      </c>
      <c r="H91" s="46">
        <v>8</v>
      </c>
      <c r="I91" s="37" t="str">
        <f t="shared" si="17"/>
        <v>Locali pubblici</v>
      </c>
      <c r="J91" s="381" t="str">
        <f>AA47</f>
        <v>si</v>
      </c>
      <c r="K91" s="382" t="str">
        <f>AA48</f>
        <v>no</v>
      </c>
      <c r="L91" s="42" t="b">
        <v>1</v>
      </c>
      <c r="M91" s="53" t="b">
        <v>0</v>
      </c>
      <c r="N91" s="461">
        <v>0.9</v>
      </c>
      <c r="O91" s="473">
        <v>0.6</v>
      </c>
      <c r="P91" s="462">
        <v>15</v>
      </c>
      <c r="Q91" s="470">
        <v>0</v>
      </c>
      <c r="R91" s="470">
        <f t="shared" si="18"/>
        <v>0.8</v>
      </c>
      <c r="S91" s="509" t="s">
        <v>699</v>
      </c>
      <c r="T91" s="456"/>
      <c r="U91" s="94"/>
      <c r="V91" s="1518">
        <v>5</v>
      </c>
      <c r="W91" s="124" t="str">
        <f>MINERGIE!B38</f>
        <v>Tutti i piani di cottura ad induzione</v>
      </c>
      <c r="X91" s="1519">
        <v>0.01</v>
      </c>
      <c r="Y91" s="1241">
        <v>0.02</v>
      </c>
      <c r="AA91" s="589" t="s">
        <v>653</v>
      </c>
      <c r="AB91" s="1373">
        <v>0.7</v>
      </c>
      <c r="AC91" s="1370">
        <v>0.9</v>
      </c>
      <c r="AF91" s="110">
        <v>5</v>
      </c>
      <c r="AG91" s="45">
        <v>-0.6</v>
      </c>
      <c r="AH91" s="45">
        <v>40</v>
      </c>
      <c r="AI91" s="1770">
        <v>-8</v>
      </c>
    </row>
    <row r="92" spans="1:35">
      <c r="A92" s="91" t="s">
        <v>303</v>
      </c>
      <c r="B92" s="92" t="s">
        <v>299</v>
      </c>
      <c r="C92" s="92">
        <v>10</v>
      </c>
      <c r="D92" s="92">
        <v>2</v>
      </c>
      <c r="E92" s="92">
        <v>1638</v>
      </c>
      <c r="F92" s="93">
        <v>4.3</v>
      </c>
      <c r="G92" s="598">
        <v>39</v>
      </c>
      <c r="H92" s="46">
        <v>9</v>
      </c>
      <c r="I92" s="37" t="str">
        <f t="shared" si="17"/>
        <v>Ospedali</v>
      </c>
      <c r="J92" s="381" t="str">
        <f>AA47</f>
        <v>si</v>
      </c>
      <c r="K92" s="382" t="str">
        <f>AA47</f>
        <v>si</v>
      </c>
      <c r="L92" s="42" t="b">
        <v>1</v>
      </c>
      <c r="M92" s="53" t="b">
        <v>1</v>
      </c>
      <c r="N92" s="461">
        <v>0.9</v>
      </c>
      <c r="O92" s="473">
        <v>0.6</v>
      </c>
      <c r="P92" s="462">
        <v>15</v>
      </c>
      <c r="Q92" s="470">
        <v>0</v>
      </c>
      <c r="R92" s="470">
        <f t="shared" si="18"/>
        <v>0.8</v>
      </c>
      <c r="S92" s="510" t="s">
        <v>556</v>
      </c>
      <c r="T92" s="454">
        <v>1</v>
      </c>
      <c r="U92" s="94"/>
      <c r="V92" s="1518">
        <v>6</v>
      </c>
      <c r="W92" s="124" t="str">
        <f>MINERGIE!B39</f>
        <v>Illuminazione fissa con LED A++</v>
      </c>
      <c r="X92" s="1519">
        <v>0.02</v>
      </c>
      <c r="Y92" s="1241">
        <v>0.04</v>
      </c>
      <c r="AA92" s="590" t="s">
        <v>833</v>
      </c>
      <c r="AB92" s="1374">
        <v>1</v>
      </c>
      <c r="AC92" s="1327"/>
      <c r="AF92" s="111">
        <v>10</v>
      </c>
      <c r="AG92" s="49">
        <v>-0.7</v>
      </c>
      <c r="AH92" s="49">
        <v>45</v>
      </c>
      <c r="AI92" s="1771">
        <v>-3</v>
      </c>
    </row>
    <row r="93" spans="1:35">
      <c r="A93" s="91" t="s">
        <v>610</v>
      </c>
      <c r="B93" s="92" t="s">
        <v>279</v>
      </c>
      <c r="C93" s="92">
        <v>3</v>
      </c>
      <c r="D93" s="92">
        <v>0</v>
      </c>
      <c r="E93" s="92">
        <v>425</v>
      </c>
      <c r="F93" s="93">
        <v>9.4</v>
      </c>
      <c r="G93" s="598">
        <v>40</v>
      </c>
      <c r="H93" s="46">
        <v>10</v>
      </c>
      <c r="I93" s="37" t="str">
        <f t="shared" si="17"/>
        <v>Industrie</v>
      </c>
      <c r="J93" s="381" t="str">
        <f>AA47</f>
        <v>si</v>
      </c>
      <c r="K93" s="382" t="str">
        <f>AA48</f>
        <v>no</v>
      </c>
      <c r="L93" s="42" t="b">
        <v>1</v>
      </c>
      <c r="M93" s="53" t="b">
        <v>0</v>
      </c>
      <c r="N93" s="461">
        <v>0.9</v>
      </c>
      <c r="O93" s="473">
        <v>0.6</v>
      </c>
      <c r="P93" s="462">
        <v>15</v>
      </c>
      <c r="Q93" s="470">
        <v>0</v>
      </c>
      <c r="R93" s="470">
        <f t="shared" si="18"/>
        <v>0.8</v>
      </c>
      <c r="S93" s="510" t="s">
        <v>557</v>
      </c>
      <c r="T93" s="455">
        <v>1</v>
      </c>
      <c r="V93" s="109">
        <v>7</v>
      </c>
      <c r="W93" s="124" t="str">
        <f>MINERGIE!B40</f>
        <v>Illuminazione generale LED A++ e regolazione</v>
      </c>
      <c r="X93" s="1519">
        <v>0.01</v>
      </c>
      <c r="Y93" s="1241">
        <v>0.02</v>
      </c>
      <c r="AA93" s="1375" t="str">
        <f>IF(MUKEN,"",IF(minergiea,AA92,IF(minergiep,AA91,AA90)))</f>
        <v>MINERGIE</v>
      </c>
      <c r="AB93" s="1376">
        <f>IF(MUKEN,"",IF(minergiea,AB92,IF(minergiep,AB91,AB90)))</f>
        <v>1</v>
      </c>
      <c r="AC93" s="1376">
        <f>IF(MUKEN,"",IF(minergiea,AC92,IF(minergiep,AC91,AC90)))</f>
        <v>0</v>
      </c>
      <c r="AF93" s="1775" t="s">
        <v>3250</v>
      </c>
      <c r="AG93" s="1781"/>
      <c r="AH93" s="1781"/>
      <c r="AI93" s="1776"/>
    </row>
    <row r="94" spans="1:35">
      <c r="A94" s="551" t="s">
        <v>278</v>
      </c>
      <c r="B94" s="550" t="s">
        <v>279</v>
      </c>
      <c r="C94" s="550">
        <v>3</v>
      </c>
      <c r="D94" s="550">
        <v>0</v>
      </c>
      <c r="E94" s="550">
        <v>556</v>
      </c>
      <c r="F94" s="554">
        <v>9.4</v>
      </c>
      <c r="G94" s="598">
        <v>41</v>
      </c>
      <c r="H94" s="46">
        <v>11</v>
      </c>
      <c r="I94" s="37" t="str">
        <f t="shared" si="17"/>
        <v>Magazzini</v>
      </c>
      <c r="J94" s="381" t="str">
        <f>AA47</f>
        <v>si</v>
      </c>
      <c r="K94" s="382" t="str">
        <f>AA48</f>
        <v>no</v>
      </c>
      <c r="L94" s="42" t="b">
        <v>1</v>
      </c>
      <c r="M94" s="53" t="b">
        <v>0</v>
      </c>
      <c r="N94" s="461">
        <v>0.9</v>
      </c>
      <c r="O94" s="473">
        <v>0.6</v>
      </c>
      <c r="P94" s="462">
        <v>15</v>
      </c>
      <c r="Q94" s="470">
        <v>0</v>
      </c>
      <c r="R94" s="470">
        <f t="shared" si="18"/>
        <v>0.8</v>
      </c>
      <c r="S94" s="510" t="s">
        <v>234</v>
      </c>
      <c r="T94" s="455">
        <v>1</v>
      </c>
      <c r="V94" s="109">
        <v>8</v>
      </c>
      <c r="W94" s="147" t="str">
        <f>MINERGIE!B41</f>
        <v>Apparecchi efficienti corrente comune</v>
      </c>
      <c r="X94" s="1521">
        <v>0.04</v>
      </c>
      <c r="Y94" s="1242">
        <v>0.08</v>
      </c>
      <c r="AF94" s="110">
        <v>0</v>
      </c>
      <c r="AG94" s="45">
        <v>-0.5</v>
      </c>
      <c r="AH94" s="45">
        <v>30</v>
      </c>
      <c r="AI94" s="1770">
        <v>-12</v>
      </c>
    </row>
    <row r="95" spans="1:35">
      <c r="A95" s="46"/>
      <c r="B95" s="537"/>
      <c r="C95" s="538"/>
      <c r="D95" s="538"/>
      <c r="E95" s="538"/>
      <c r="F95" s="538"/>
      <c r="G95" s="539"/>
      <c r="H95" s="46">
        <v>12</v>
      </c>
      <c r="I95" s="37" t="str">
        <f t="shared" si="17"/>
        <v>Impianti sport.</v>
      </c>
      <c r="J95" s="381" t="str">
        <f>AA48</f>
        <v>no</v>
      </c>
      <c r="K95" s="382" t="str">
        <f>AA48</f>
        <v>no</v>
      </c>
      <c r="L95" s="42" t="b">
        <v>0</v>
      </c>
      <c r="M95" s="53" t="b">
        <v>0</v>
      </c>
      <c r="N95" s="461">
        <v>0.9</v>
      </c>
      <c r="O95" s="473">
        <v>0.6</v>
      </c>
      <c r="P95" s="462">
        <v>15</v>
      </c>
      <c r="Q95" s="470">
        <v>0</v>
      </c>
      <c r="R95" s="470">
        <f t="shared" si="18"/>
        <v>0.8</v>
      </c>
      <c r="S95" s="510" t="s">
        <v>235</v>
      </c>
      <c r="T95" s="455">
        <v>1</v>
      </c>
      <c r="W95" s="131" t="s">
        <v>2391</v>
      </c>
      <c r="X95" s="1523">
        <v>0.15</v>
      </c>
      <c r="Y95" s="1522">
        <v>0.3</v>
      </c>
      <c r="AF95" s="110">
        <v>5</v>
      </c>
      <c r="AG95" s="45">
        <v>-0.8</v>
      </c>
      <c r="AH95" s="45">
        <v>50</v>
      </c>
      <c r="AI95" s="1770">
        <v>0</v>
      </c>
    </row>
    <row r="96" spans="1:35">
      <c r="A96" s="543" t="s">
        <v>21</v>
      </c>
      <c r="B96" s="544">
        <f t="shared" ref="B96:G96" si="19">IF(Kanton&gt;1,INDEX(B97:B125,Kanton,1),0)</f>
        <v>0</v>
      </c>
      <c r="C96" s="544">
        <f t="shared" si="19"/>
        <v>0</v>
      </c>
      <c r="D96" s="544">
        <f t="shared" si="19"/>
        <v>0</v>
      </c>
      <c r="E96" s="544">
        <f t="shared" si="19"/>
        <v>0</v>
      </c>
      <c r="F96" s="544">
        <f t="shared" si="19"/>
        <v>0</v>
      </c>
      <c r="G96" s="544">
        <f t="shared" si="19"/>
        <v>0</v>
      </c>
      <c r="H96" s="46">
        <v>13</v>
      </c>
      <c r="I96" s="47" t="str">
        <f t="shared" si="17"/>
        <v>Piscine</v>
      </c>
      <c r="J96" s="383" t="str">
        <f>AA48</f>
        <v>no</v>
      </c>
      <c r="K96" s="384" t="str">
        <f>AA48</f>
        <v>no</v>
      </c>
      <c r="L96" s="60" t="b">
        <v>0</v>
      </c>
      <c r="M96" s="120" t="b">
        <v>0</v>
      </c>
      <c r="N96" s="461">
        <v>0.9</v>
      </c>
      <c r="O96" s="474">
        <v>0</v>
      </c>
      <c r="P96" s="463">
        <v>0</v>
      </c>
      <c r="Q96" s="471">
        <v>1</v>
      </c>
      <c r="R96" s="471">
        <v>1</v>
      </c>
      <c r="AF96" s="111">
        <v>10</v>
      </c>
      <c r="AG96" s="49">
        <v>-0.8</v>
      </c>
      <c r="AH96" s="49">
        <v>60</v>
      </c>
      <c r="AI96" s="1771">
        <v>0</v>
      </c>
    </row>
    <row r="97" spans="1:47">
      <c r="A97" s="542" t="s">
        <v>199</v>
      </c>
      <c r="B97" s="545"/>
      <c r="C97" s="545"/>
      <c r="D97" s="545"/>
      <c r="E97" s="90"/>
      <c r="F97" s="40"/>
      <c r="G97" s="40"/>
      <c r="I97" s="268"/>
      <c r="J97" s="386" t="s">
        <v>626</v>
      </c>
      <c r="K97" s="386" t="s">
        <v>627</v>
      </c>
      <c r="L97" s="386" t="s">
        <v>628</v>
      </c>
      <c r="M97" s="357" t="s">
        <v>629</v>
      </c>
      <c r="N97" s="465" t="s">
        <v>16</v>
      </c>
      <c r="O97" s="468">
        <f>IF(minergiep,IF(Neubau1=3,INDEX($R$84:$R$96,Kategorie1,1),INDEX($O$84:$O$96,Kategorie1,1)),IF(Neubau1=3,INDEX($Q$84:$Q$96,Kategorie1,1),INDEX($N$84:$N$96,Kategorie1,1)))</f>
        <v>0</v>
      </c>
      <c r="P97" s="466">
        <f>IF(minergiep,INDEX($P$84:$P$96,Kategorie1,1),0)</f>
        <v>0</v>
      </c>
      <c r="Q97" s="464">
        <f>IF(Primaeranf1&gt;0,1,0)</f>
        <v>0</v>
      </c>
      <c r="R97" s="511" t="str">
        <f>S43</f>
        <v/>
      </c>
      <c r="S97" s="140" t="str">
        <f>INDEX($I$9:$I$21,Kategorie1,1)</f>
        <v xml:space="preserve"> </v>
      </c>
      <c r="T97" s="666" t="s">
        <v>16</v>
      </c>
    </row>
    <row r="98" spans="1:47">
      <c r="A98" s="540" t="str">
        <f>Uebersetzung!D118</f>
        <v>Argovia</v>
      </c>
      <c r="B98" s="92">
        <v>7</v>
      </c>
      <c r="C98" s="92">
        <v>5</v>
      </c>
      <c r="D98" s="92"/>
      <c r="E98" s="92"/>
      <c r="F98" s="45"/>
      <c r="G98" s="45"/>
      <c r="I98" s="337" t="s">
        <v>633</v>
      </c>
      <c r="J98" s="345">
        <f>Kategorie1</f>
        <v>1</v>
      </c>
      <c r="K98" s="345">
        <f>Kategorie2</f>
        <v>1</v>
      </c>
      <c r="L98" s="345">
        <f>Kategorie3</f>
        <v>1</v>
      </c>
      <c r="M98" s="265">
        <f>Kategorie4</f>
        <v>1</v>
      </c>
      <c r="N98" s="465" t="s">
        <v>17</v>
      </c>
      <c r="O98" s="468">
        <f>IF(minergiep,IF(Neubau2=3,INDEX($R$84:$R$96,Kategorie2,1),INDEX($O$84:$O$96,Kategorie2,1)),IF(Neubau2=3,INDEX($Q$84:$Q$96,Kategorie2,1),INDEX($N$84:$N$96,Kategorie2,1)))</f>
        <v>0</v>
      </c>
      <c r="P98" s="466">
        <f>IF(minergiep,INDEX($P$84:$P$96,Kategorie2,1),0)</f>
        <v>0</v>
      </c>
      <c r="Q98" s="464">
        <f>IF(Primaeranf2&gt;0,1,0)</f>
        <v>0</v>
      </c>
      <c r="R98" s="453" t="str">
        <f>S44</f>
        <v/>
      </c>
      <c r="S98" s="140" t="str">
        <f>INDEX($I$9:$I$21,Kategorie2,1)</f>
        <v xml:space="preserve"> </v>
      </c>
      <c r="T98" s="666" t="s">
        <v>17</v>
      </c>
    </row>
    <row r="99" spans="1:47">
      <c r="A99" s="540" t="str">
        <f>Uebersetzung!D119</f>
        <v>Appenzello interno</v>
      </c>
      <c r="B99" s="92">
        <v>32</v>
      </c>
      <c r="C99" s="92"/>
      <c r="D99" s="92"/>
      <c r="E99" s="92"/>
      <c r="F99" s="45"/>
      <c r="G99" s="45"/>
      <c r="I99" s="41" t="s">
        <v>669</v>
      </c>
      <c r="J99" s="45" t="str">
        <f>IF(Kategorie1&gt;1,INDEX($J$84:$J$96,Kategorie1,1),"")</f>
        <v/>
      </c>
      <c r="K99" s="45" t="str">
        <f>IF(Kategorie2&gt;1,INDEX($J$84:$J$96,Kategorie2,1),"")</f>
        <v/>
      </c>
      <c r="L99" s="45" t="str">
        <f>IF(Kategorie3&gt;1,INDEX($J$84:$J$96,Kategorie3,1),"")</f>
        <v/>
      </c>
      <c r="M99" s="44" t="str">
        <f>IF(Kategorie4&gt;1,INDEX($J$84:$J$96,Kategorie4,1),"")</f>
        <v/>
      </c>
      <c r="N99" s="598">
        <v>1</v>
      </c>
      <c r="O99" s="468">
        <f>IF(minergiep,IF(Neubau3=3,INDEX($R$84:$R$96,Kategorie3,1),INDEX($O$84:$O$96,Kategorie3,1)),IF(Neubau3=3,INDEX($Q$84:$Q$96,Kategorie3,1),INDEX($N$84:$N$96,Kategorie3,1)))</f>
        <v>0</v>
      </c>
      <c r="P99" s="466">
        <f>IF(minergiep,INDEX($P$84:$P$96,Kategorie3,1),0)</f>
        <v>0</v>
      </c>
      <c r="Q99" s="464">
        <f>IF(Primaeranf3&gt;0,1,0)</f>
        <v>0</v>
      </c>
      <c r="R99" s="453" t="str">
        <f>S45</f>
        <v/>
      </c>
      <c r="S99" s="140" t="str">
        <f>INDEX($I$9:$I$21,Kategorie3,1)</f>
        <v xml:space="preserve"> </v>
      </c>
      <c r="T99" s="666" t="s">
        <v>18</v>
      </c>
    </row>
    <row r="100" spans="1:47">
      <c r="A100" s="540" t="str">
        <f>Uebersetzung!D120</f>
        <v>Appenzello esterno</v>
      </c>
      <c r="B100" s="92">
        <v>32</v>
      </c>
      <c r="C100" s="92"/>
      <c r="D100" s="92"/>
      <c r="E100" s="92"/>
      <c r="F100" s="45"/>
      <c r="G100" s="45"/>
      <c r="I100" s="385"/>
      <c r="J100" s="45" t="str">
        <f>IF(Kategorie1&gt;1,INDEX($K$84:$K$96,Kategorie1,1),"")</f>
        <v/>
      </c>
      <c r="K100" s="45" t="str">
        <f>IF(Kategorie2&gt;1,INDEX($K$84:$K$96,Kategorie2,1),"")</f>
        <v/>
      </c>
      <c r="L100" s="45" t="str">
        <f>IF(Kategorie3&gt;1,INDEX($K$84:$K$96,Kategorie3,1),"")</f>
        <v/>
      </c>
      <c r="M100" s="44" t="str">
        <f>IF(Kategorie4&gt;1,INDEX($K$84:$K$96,Kategorie4,1),"")</f>
        <v/>
      </c>
      <c r="N100" s="598">
        <v>2</v>
      </c>
      <c r="O100" s="468">
        <f>IF(minergiep,IF(Neubau4=3,INDEX($R$84:$R$96,Kategorie4,1),INDEX($O$84:$O$96,Kategorie4,1)),IF(Neubau4=3,INDEX($Q$84:$Q$96,Kategorie4,1),INDEX($N$84:$N$96,Kategorie4,1)))</f>
        <v>0</v>
      </c>
      <c r="P100" s="466">
        <f>IF(minergiep,INDEX($P$84:$P$96,Kategorie4,1),0)</f>
        <v>0</v>
      </c>
      <c r="Q100" s="464">
        <f>IF(Primaeranf4&gt;0,1,0)</f>
        <v>0</v>
      </c>
      <c r="R100" s="453" t="str">
        <f>S46</f>
        <v/>
      </c>
      <c r="S100" s="140" t="str">
        <f>INDEX($I$9:$I$21,Kategorie4,1)</f>
        <v xml:space="preserve"> </v>
      </c>
      <c r="T100" s="666" t="s">
        <v>19</v>
      </c>
    </row>
    <row r="101" spans="1:47">
      <c r="A101" s="540" t="str">
        <f>Uebersetzung!D121</f>
        <v>Berna</v>
      </c>
      <c r="B101" s="92">
        <v>6</v>
      </c>
      <c r="C101" s="92">
        <v>2</v>
      </c>
      <c r="D101" s="92"/>
      <c r="E101" s="92"/>
      <c r="F101" s="45"/>
      <c r="G101" s="45"/>
      <c r="I101" s="43" t="s">
        <v>177</v>
      </c>
      <c r="J101" s="787">
        <f>IF(Dati!$F$17="",1,VLOOKUP(Dati!$F$17,J99:N100,5,FALSE))</f>
        <v>1</v>
      </c>
      <c r="K101" s="787">
        <f>IF(Dati!$G$17="",1,VLOOKUP(Dati!$G$17,K99:N100,4,FALSE))</f>
        <v>1</v>
      </c>
      <c r="L101" s="787">
        <f>IF(Dati!$H$17="",1,VLOOKUP(Dati!$H$17,L99:N100,3,FALSE))</f>
        <v>1</v>
      </c>
      <c r="M101" s="673">
        <f>IF(Dati!$I$17="",1,VLOOKUP(Dati!$I$17,M99:N100,2,FALSE))</f>
        <v>1</v>
      </c>
      <c r="N101" s="410" t="s">
        <v>11</v>
      </c>
      <c r="O101" s="340" t="b">
        <f>IF(SUM(O97:O100)&gt;0,TRUE,FALSE)</f>
        <v>0</v>
      </c>
    </row>
    <row r="102" spans="1:47">
      <c r="A102" s="540" t="str">
        <f>Uebersetzung!D122</f>
        <v>Basilea Campagna</v>
      </c>
      <c r="B102" s="92">
        <v>5</v>
      </c>
      <c r="C102" s="92"/>
      <c r="D102" s="92"/>
      <c r="E102" s="92"/>
      <c r="F102" s="45"/>
      <c r="G102" s="45"/>
      <c r="I102" s="43" t="s">
        <v>667</v>
      </c>
      <c r="J102" s="45" t="str">
        <f>INDEX(J99:J100,_WW1,1)</f>
        <v/>
      </c>
      <c r="K102" s="45" t="str">
        <f>INDEX(K99:K100,_WW2,1)</f>
        <v/>
      </c>
      <c r="L102" s="45" t="str">
        <f>INDEX(L99:L100,_WW3,1)</f>
        <v/>
      </c>
      <c r="M102" s="44" t="str">
        <f>INDEX(M99:M100,_WW4,1)</f>
        <v/>
      </c>
    </row>
    <row r="103" spans="1:47">
      <c r="A103" s="540" t="str">
        <f>Uebersetzung!D123</f>
        <v>Basilea Città</v>
      </c>
      <c r="B103" s="92">
        <v>5</v>
      </c>
      <c r="C103" s="92"/>
      <c r="D103" s="92"/>
      <c r="E103" s="92"/>
      <c r="F103" s="45"/>
      <c r="G103" s="45"/>
      <c r="I103" s="43" t="s">
        <v>668</v>
      </c>
      <c r="J103" s="45" t="str">
        <f>IF(Kategorie1&gt;1,INDEX($L$84:$M$96,Kategorie1,_WW1),"")</f>
        <v/>
      </c>
      <c r="K103" s="45" t="str">
        <f>IF(Kategorie2&gt;1,INDEX($L$84:$M$96,Kategorie2,_WW2),"")</f>
        <v/>
      </c>
      <c r="L103" s="45" t="str">
        <f>IF(Kategorie3&gt;1,INDEX($L$84:$M$96,Kategorie3,_WW3),"")</f>
        <v/>
      </c>
      <c r="M103" s="44" t="str">
        <f>IF(Kategorie4&gt;1,INDEX($L$84:$M$96,Kategorie4,_WW4),"")</f>
        <v/>
      </c>
      <c r="N103" s="154" t="b">
        <f>IF(AND(J103="",K103="",L103="",M103=""),FALSE,OR(J103,K103,L103,M103))</f>
        <v>0</v>
      </c>
      <c r="O103" s="27" t="s">
        <v>676</v>
      </c>
    </row>
    <row r="104" spans="1:47" ht="15.6">
      <c r="A104" s="540" t="str">
        <f>Uebersetzung!D124</f>
        <v>Friborgo</v>
      </c>
      <c r="B104" s="92">
        <v>6</v>
      </c>
      <c r="C104" s="92">
        <v>2</v>
      </c>
      <c r="D104" s="92"/>
      <c r="E104" s="92"/>
      <c r="F104" s="45"/>
      <c r="G104" s="45"/>
      <c r="I104" s="36" t="s">
        <v>670</v>
      </c>
      <c r="J104" s="390">
        <f>IF(_EBF1&gt;0,IF(J103,INDEX($L$9:$L$21,Kategorie1,1)/3.6*EBFo1/_EBF1,0),)</f>
        <v>0</v>
      </c>
      <c r="K104" s="390">
        <f>IF(_EBF2&gt;0,IF(K103,INDEX($L$9:$L$21,Kategorie2,1)/3.6*EBFo2/_EBF2,0),)</f>
        <v>0</v>
      </c>
      <c r="L104" s="390">
        <f>IF(_EBF3&gt;0,IF(L103,INDEX($L$9:$L$21,Kategorie3,1)/3.6*EBFo3/_EBF3,0),)</f>
        <v>0</v>
      </c>
      <c r="M104" s="390">
        <f>IF(_EBF4&gt;0,IF(M103,INDEX($L$9:$L$21,Kategorie4,1)/3.6*EBFo4/_EBF4,0),)</f>
        <v>0</v>
      </c>
      <c r="N104" s="40"/>
      <c r="O104" s="27" t="s">
        <v>525</v>
      </c>
      <c r="U104" s="276" t="s">
        <v>161</v>
      </c>
      <c r="AD104" s="42"/>
      <c r="AN104" s="109" t="s">
        <v>2364</v>
      </c>
      <c r="AP104" s="1493">
        <f>AP120</f>
        <v>0.13900000000000001</v>
      </c>
    </row>
    <row r="105" spans="1:47">
      <c r="A105" s="540" t="str">
        <f>Uebersetzung!D125</f>
        <v>Ginevra</v>
      </c>
      <c r="B105" s="92">
        <v>12</v>
      </c>
      <c r="C105" s="92"/>
      <c r="D105" s="92"/>
      <c r="E105" s="92"/>
      <c r="F105" s="45"/>
      <c r="G105" s="45"/>
      <c r="I105" s="43" t="s">
        <v>265</v>
      </c>
      <c r="J105" s="45">
        <f>_EBF1</f>
        <v>0</v>
      </c>
      <c r="K105" s="45">
        <f>_EBF2</f>
        <v>0</v>
      </c>
      <c r="L105" s="45">
        <f>_EBF3</f>
        <v>0</v>
      </c>
      <c r="M105" s="85">
        <f>_EBF4</f>
        <v>0</v>
      </c>
      <c r="N105" s="45">
        <f>SUM(J105:M105)</f>
        <v>0</v>
      </c>
      <c r="O105" s="27" t="s">
        <v>321</v>
      </c>
      <c r="T105" s="85"/>
      <c r="U105" s="85"/>
      <c r="V105" s="85"/>
      <c r="W105" s="60"/>
      <c r="X105" s="60"/>
      <c r="AD105" s="42"/>
      <c r="AN105" s="109" t="s">
        <v>2365</v>
      </c>
      <c r="AP105" s="1496">
        <f>AP112</f>
        <v>0.249</v>
      </c>
    </row>
    <row r="106" spans="1:47">
      <c r="A106" s="540" t="str">
        <f>Uebersetzung!D126</f>
        <v>Glarona</v>
      </c>
      <c r="B106" s="92">
        <v>13</v>
      </c>
      <c r="C106" s="92"/>
      <c r="D106" s="92"/>
      <c r="E106" s="92"/>
      <c r="F106" s="45"/>
      <c r="G106" s="45"/>
      <c r="I106" s="95" t="s">
        <v>671</v>
      </c>
      <c r="J106" s="391">
        <f>J105*J104</f>
        <v>0</v>
      </c>
      <c r="K106" s="391">
        <f>K105*K104</f>
        <v>0</v>
      </c>
      <c r="L106" s="391">
        <f>L105*L104</f>
        <v>0</v>
      </c>
      <c r="M106" s="392">
        <f>M105*M104</f>
        <v>0</v>
      </c>
      <c r="N106" s="391">
        <f>SUM(J106:M106)</f>
        <v>0</v>
      </c>
      <c r="O106" s="27" t="s">
        <v>673</v>
      </c>
      <c r="T106" s="1821"/>
      <c r="U106" s="1824"/>
      <c r="V106" s="1822" t="s">
        <v>317</v>
      </c>
      <c r="W106" s="493"/>
      <c r="X106" s="633" t="s">
        <v>316</v>
      </c>
      <c r="Y106" s="633"/>
      <c r="Z106" s="494" t="s">
        <v>236</v>
      </c>
      <c r="AA106" s="495" t="s">
        <v>528</v>
      </c>
      <c r="AB106" s="597"/>
      <c r="AC106" s="495" t="s">
        <v>365</v>
      </c>
      <c r="AD106" s="631"/>
      <c r="AE106" s="631"/>
      <c r="AF106" s="495" t="s">
        <v>729</v>
      </c>
      <c r="AG106" s="495" t="s">
        <v>99</v>
      </c>
      <c r="AH106" s="495" t="s">
        <v>500</v>
      </c>
      <c r="AI106" s="495" t="s">
        <v>500</v>
      </c>
      <c r="AJ106" s="495" t="s">
        <v>500</v>
      </c>
      <c r="AK106" s="495"/>
      <c r="AL106" s="631" t="s">
        <v>1247</v>
      </c>
      <c r="AM106" s="1481"/>
      <c r="AN106" s="1486" t="s">
        <v>2210</v>
      </c>
      <c r="AO106" s="1488"/>
      <c r="AP106" s="1486" t="s">
        <v>2361</v>
      </c>
      <c r="AQ106" s="1482"/>
      <c r="AR106" s="1488"/>
      <c r="AS106" s="1486" t="s">
        <v>2689</v>
      </c>
      <c r="AT106" s="1482"/>
      <c r="AU106" s="495" t="s">
        <v>3326</v>
      </c>
    </row>
    <row r="107" spans="1:47">
      <c r="A107" s="540" t="str">
        <f>Uebersetzung!D127</f>
        <v>Grigioni</v>
      </c>
      <c r="B107" s="92">
        <v>8</v>
      </c>
      <c r="C107" s="92">
        <v>9</v>
      </c>
      <c r="D107" s="92">
        <v>10</v>
      </c>
      <c r="E107" s="92">
        <v>28</v>
      </c>
      <c r="F107" s="92">
        <v>34</v>
      </c>
      <c r="G107" s="45">
        <v>30</v>
      </c>
      <c r="I107" s="393" t="s">
        <v>674</v>
      </c>
      <c r="J107" s="394">
        <f>IF(_EBF1&gt;0,INDEX($L$9:$L$21,Kategorie1,1)/3.6*EBFo1/_EBF1,0)-J104</f>
        <v>0</v>
      </c>
      <c r="K107" s="394">
        <f>IF(_EBF2&gt;0,INDEX($L$9:$L$21,Kategorie2,1)/3.6*EBFo2/_EBF2,0)-K104</f>
        <v>0</v>
      </c>
      <c r="L107" s="394">
        <f>IF(_EBF3&gt;0,INDEX($L$9:$L$21,Kategorie3,1)/3.6*EBFo3/_EBF3,0)-L104</f>
        <v>0</v>
      </c>
      <c r="M107" s="394">
        <f>IF(_EBF4&gt;0,INDEX($L$9:$L$21,Kategorie4,1)/3.6*EBFo4/_EBF4,0)-M104</f>
        <v>0</v>
      </c>
      <c r="N107" s="89"/>
      <c r="T107" s="496" t="s">
        <v>367</v>
      </c>
      <c r="U107" s="499" t="s">
        <v>755</v>
      </c>
      <c r="V107" s="1820" t="s">
        <v>722</v>
      </c>
      <c r="W107" s="497" t="s">
        <v>201</v>
      </c>
      <c r="X107" s="498" t="s">
        <v>242</v>
      </c>
      <c r="Y107" s="499" t="s">
        <v>748</v>
      </c>
      <c r="Z107" s="499" t="s">
        <v>202</v>
      </c>
      <c r="AA107" s="499" t="s">
        <v>526</v>
      </c>
      <c r="AB107" s="500" t="s">
        <v>527</v>
      </c>
      <c r="AC107" s="499" t="s">
        <v>366</v>
      </c>
      <c r="AD107" s="632" t="s">
        <v>749</v>
      </c>
      <c r="AE107" s="632" t="s">
        <v>750</v>
      </c>
      <c r="AF107" s="499" t="s">
        <v>734</v>
      </c>
      <c r="AG107" s="499" t="s">
        <v>734</v>
      </c>
      <c r="AH107" s="499" t="s">
        <v>501</v>
      </c>
      <c r="AI107" s="499" t="s">
        <v>502</v>
      </c>
      <c r="AJ107" s="499" t="s">
        <v>99</v>
      </c>
      <c r="AK107" s="499" t="s">
        <v>1248</v>
      </c>
      <c r="AL107" s="1051" t="s">
        <v>1249</v>
      </c>
      <c r="AM107" s="1480"/>
      <c r="AN107" s="1487" t="s">
        <v>1248</v>
      </c>
      <c r="AO107" s="1489"/>
      <c r="AP107" s="1487" t="s">
        <v>2362</v>
      </c>
      <c r="AQ107" s="1483"/>
      <c r="AR107" s="1489"/>
      <c r="AS107" s="1487" t="s">
        <v>2690</v>
      </c>
      <c r="AT107" s="1483"/>
      <c r="AU107" s="499" t="s">
        <v>3239</v>
      </c>
    </row>
    <row r="108" spans="1:47">
      <c r="A108" s="540" t="str">
        <f>Uebersetzung!D128</f>
        <v>Giura</v>
      </c>
      <c r="B108" s="92">
        <v>5</v>
      </c>
      <c r="C108" s="92">
        <v>17</v>
      </c>
      <c r="D108" s="92"/>
      <c r="E108" s="92"/>
      <c r="F108" s="45"/>
      <c r="G108" s="45"/>
      <c r="I108" s="131" t="s">
        <v>672</v>
      </c>
      <c r="J108" s="130"/>
      <c r="K108" s="130"/>
      <c r="L108" s="130"/>
      <c r="M108" s="344"/>
      <c r="N108" s="251">
        <f>IF(EBF&gt;0,N106/EBF,)</f>
        <v>0</v>
      </c>
      <c r="O108" s="27" t="s">
        <v>525</v>
      </c>
      <c r="S108" s="161">
        <v>1</v>
      </c>
      <c r="T108" s="43" t="str">
        <f>INDEX($W$108:$W$155,$S108,1)</f>
        <v xml:space="preserve">  </v>
      </c>
      <c r="U108" s="45">
        <v>1</v>
      </c>
      <c r="V108" s="53" t="s">
        <v>558</v>
      </c>
      <c r="W108" s="124" t="s">
        <v>558</v>
      </c>
      <c r="X108" s="249"/>
      <c r="Y108" s="249"/>
      <c r="Z108" s="250"/>
      <c r="AA108" s="258"/>
      <c r="AB108" s="56"/>
      <c r="AC108" s="45">
        <v>1</v>
      </c>
      <c r="AD108" s="458"/>
      <c r="AE108" s="458"/>
      <c r="AF108" s="45" t="b">
        <v>0</v>
      </c>
      <c r="AG108" s="45" t="b">
        <v>0</v>
      </c>
      <c r="AH108" s="45" t="b">
        <v>0</v>
      </c>
      <c r="AI108" s="45" t="b">
        <v>0</v>
      </c>
      <c r="AJ108" s="45" t="b">
        <v>0</v>
      </c>
      <c r="AK108" s="1050">
        <f>S108</f>
        <v>1</v>
      </c>
      <c r="AL108" s="89">
        <v>1</v>
      </c>
      <c r="AM108" s="43"/>
      <c r="AN108" s="1473">
        <v>0</v>
      </c>
      <c r="AO108" s="36"/>
      <c r="AP108" s="870"/>
      <c r="AQ108" s="1485"/>
      <c r="AR108" s="36"/>
      <c r="AS108" s="868"/>
      <c r="AT108" s="1485"/>
      <c r="AU108" s="89"/>
    </row>
    <row r="109" spans="1:47">
      <c r="A109" s="540" t="str">
        <f>Uebersetzung!D129</f>
        <v>Lucerna</v>
      </c>
      <c r="B109" s="92">
        <v>21</v>
      </c>
      <c r="C109" s="92"/>
      <c r="D109" s="92"/>
      <c r="E109" s="92"/>
      <c r="F109" s="45"/>
      <c r="G109" s="45"/>
      <c r="I109" s="782" t="s">
        <v>838</v>
      </c>
      <c r="J109" s="27" t="b">
        <f>ISERROR(_WW1)</f>
        <v>0</v>
      </c>
      <c r="K109" s="27" t="b">
        <f>ISERROR(_WW2)</f>
        <v>0</v>
      </c>
      <c r="L109" s="27" t="b">
        <f>ISERROR(_WW3)</f>
        <v>0</v>
      </c>
      <c r="M109" s="27" t="b">
        <f>ISERROR(_WW4)</f>
        <v>0</v>
      </c>
      <c r="S109" s="161">
        <v>2</v>
      </c>
      <c r="T109" s="43" t="str">
        <f>INDEX($W$108:$W$155,$S109,1)</f>
        <v>Caldaia a gasolio</v>
      </c>
      <c r="U109" s="45">
        <v>2</v>
      </c>
      <c r="V109" s="53" t="str">
        <f>Uebersetzung!D202</f>
        <v>Caldaia a gasolio</v>
      </c>
      <c r="W109" s="124" t="str">
        <f>Uebersetzung!D157</f>
        <v>Caldaia a gasolio</v>
      </c>
      <c r="X109" s="250">
        <v>0.85</v>
      </c>
      <c r="Y109" s="250">
        <v>0.9</v>
      </c>
      <c r="Z109" s="250">
        <v>1</v>
      </c>
      <c r="AA109" s="258">
        <v>1</v>
      </c>
      <c r="AB109" s="56">
        <v>1</v>
      </c>
      <c r="AC109" s="45">
        <v>2</v>
      </c>
      <c r="AD109" s="458"/>
      <c r="AE109" s="458"/>
      <c r="AF109" s="45" t="b">
        <v>0</v>
      </c>
      <c r="AG109" s="45" t="b">
        <v>0</v>
      </c>
      <c r="AH109" s="45" t="b">
        <v>0</v>
      </c>
      <c r="AI109" s="45" t="b">
        <v>0</v>
      </c>
      <c r="AJ109" s="45" t="b">
        <v>0</v>
      </c>
      <c r="AK109" s="458">
        <f t="shared" ref="AK109:AK153" si="20">S109</f>
        <v>2</v>
      </c>
      <c r="AL109" s="124">
        <v>1</v>
      </c>
      <c r="AM109" s="43"/>
      <c r="AN109" s="1473">
        <v>1</v>
      </c>
      <c r="AO109" s="43"/>
      <c r="AP109" s="1490">
        <v>0.31900000000000001</v>
      </c>
      <c r="AQ109" s="53"/>
      <c r="AR109" s="43"/>
      <c r="AS109" s="359">
        <v>0</v>
      </c>
      <c r="AT109" s="53"/>
      <c r="AU109" s="124" t="b">
        <v>0</v>
      </c>
    </row>
    <row r="110" spans="1:47">
      <c r="A110" s="540" t="str">
        <f>Uebersetzung!D130</f>
        <v>Neuchâtel</v>
      </c>
      <c r="B110" s="92">
        <v>24</v>
      </c>
      <c r="C110" s="92">
        <v>17</v>
      </c>
      <c r="D110" s="92"/>
      <c r="E110" s="92"/>
      <c r="F110" s="45"/>
      <c r="G110" s="45"/>
      <c r="S110" s="161">
        <v>3</v>
      </c>
      <c r="T110" s="43" t="str">
        <f t="shared" ref="T110:T155" si="21">INDEX($W$108:$W$155,$S110,1)</f>
        <v>Caldaia a gasolio con condensazione, solo riscaldamento</v>
      </c>
      <c r="U110" s="45">
        <v>3</v>
      </c>
      <c r="V110" s="53" t="str">
        <f>Uebersetzung!D203</f>
        <v>Caldaia a gasolio con condensazione</v>
      </c>
      <c r="W110" s="124" t="str">
        <f>Uebersetzung!D158</f>
        <v>Caldaia a gasolio con condensazione, solo riscaldamento</v>
      </c>
      <c r="X110" s="250">
        <v>0.91</v>
      </c>
      <c r="Y110" s="250">
        <v>1</v>
      </c>
      <c r="Z110" s="250">
        <v>1</v>
      </c>
      <c r="AA110" s="258"/>
      <c r="AB110" s="56">
        <v>1</v>
      </c>
      <c r="AC110" s="45">
        <v>3</v>
      </c>
      <c r="AD110" s="458"/>
      <c r="AE110" s="458"/>
      <c r="AF110" s="45" t="b">
        <v>0</v>
      </c>
      <c r="AG110" s="45" t="b">
        <v>0</v>
      </c>
      <c r="AH110" s="45" t="b">
        <v>0</v>
      </c>
      <c r="AI110" s="45" t="b">
        <v>0</v>
      </c>
      <c r="AJ110" s="45" t="b">
        <v>0</v>
      </c>
      <c r="AK110" s="458">
        <f t="shared" si="20"/>
        <v>3</v>
      </c>
      <c r="AL110" s="124">
        <v>1</v>
      </c>
      <c r="AM110" s="43"/>
      <c r="AN110" s="1473">
        <v>2</v>
      </c>
      <c r="AO110" s="43"/>
      <c r="AP110" s="1490">
        <v>0.31900000000000001</v>
      </c>
      <c r="AQ110" s="53"/>
      <c r="AR110" s="43"/>
      <c r="AS110" s="359">
        <v>0</v>
      </c>
      <c r="AT110" s="53"/>
      <c r="AU110" s="124" t="b">
        <v>0</v>
      </c>
    </row>
    <row r="111" spans="1:47">
      <c r="A111" s="540" t="str">
        <f>Uebersetzung!D131</f>
        <v>Nidvaldo</v>
      </c>
      <c r="B111" s="45">
        <v>21</v>
      </c>
      <c r="C111" s="45"/>
      <c r="D111" s="45"/>
      <c r="E111" s="249"/>
      <c r="F111" s="45"/>
      <c r="G111" s="45"/>
      <c r="S111" s="161">
        <v>4</v>
      </c>
      <c r="T111" s="43" t="str">
        <f t="shared" si="21"/>
        <v>Caldaia a gasolio con condensazione, solo ACS</v>
      </c>
      <c r="U111" s="45">
        <v>4</v>
      </c>
      <c r="V111" s="53" t="str">
        <f>Uebersetzung!D204</f>
        <v>Scaldacqua a gasolio con condensazione</v>
      </c>
      <c r="W111" s="124" t="str">
        <f>Uebersetzung!D159</f>
        <v>Caldaia a gasolio con condensazione, solo ACS</v>
      </c>
      <c r="X111" s="250">
        <v>0.88</v>
      </c>
      <c r="Y111" s="250">
        <v>0.95</v>
      </c>
      <c r="Z111" s="250">
        <v>1</v>
      </c>
      <c r="AA111" s="258">
        <v>1</v>
      </c>
      <c r="AB111" s="56"/>
      <c r="AC111" s="45">
        <v>4</v>
      </c>
      <c r="AD111" s="458"/>
      <c r="AE111" s="458"/>
      <c r="AF111" s="45" t="b">
        <v>0</v>
      </c>
      <c r="AG111" s="45" t="b">
        <v>0</v>
      </c>
      <c r="AH111" s="45" t="b">
        <v>0</v>
      </c>
      <c r="AI111" s="45" t="b">
        <v>0</v>
      </c>
      <c r="AJ111" s="45" t="b">
        <v>0</v>
      </c>
      <c r="AK111" s="458">
        <f t="shared" si="20"/>
        <v>4</v>
      </c>
      <c r="AL111" s="124">
        <v>1</v>
      </c>
      <c r="AM111" s="43"/>
      <c r="AN111" s="1473">
        <v>3</v>
      </c>
      <c r="AO111" s="43"/>
      <c r="AP111" s="1490">
        <v>0.31900000000000001</v>
      </c>
      <c r="AQ111" s="53"/>
      <c r="AR111" s="43"/>
      <c r="AS111" s="359">
        <v>0</v>
      </c>
      <c r="AT111" s="53"/>
      <c r="AU111" s="124" t="b">
        <v>0</v>
      </c>
    </row>
    <row r="112" spans="1:47">
      <c r="A112" s="540" t="str">
        <f>Uebersetzung!D132</f>
        <v>Obvaldo</v>
      </c>
      <c r="B112" s="45">
        <v>21</v>
      </c>
      <c r="C112" s="45">
        <v>11</v>
      </c>
      <c r="D112" s="45"/>
      <c r="E112" s="249"/>
      <c r="F112" s="45"/>
      <c r="G112" s="45"/>
      <c r="I112" s="410" t="s">
        <v>370</v>
      </c>
      <c r="J112" s="386" t="s">
        <v>626</v>
      </c>
      <c r="K112" s="411" t="s">
        <v>627</v>
      </c>
      <c r="L112" s="411" t="s">
        <v>628</v>
      </c>
      <c r="M112" s="275" t="s">
        <v>629</v>
      </c>
      <c r="S112" s="161">
        <v>5</v>
      </c>
      <c r="T112" s="43" t="str">
        <f t="shared" si="21"/>
        <v>Caldaia a gas</v>
      </c>
      <c r="U112" s="45">
        <v>5</v>
      </c>
      <c r="V112" s="53" t="str">
        <f>Uebersetzung!D205</f>
        <v>Caldaia a gas</v>
      </c>
      <c r="W112" s="124" t="str">
        <f>Uebersetzung!D160</f>
        <v>Caldaia a gas</v>
      </c>
      <c r="X112" s="250">
        <v>0.85</v>
      </c>
      <c r="Y112" s="250">
        <v>0.9</v>
      </c>
      <c r="Z112" s="250">
        <v>1</v>
      </c>
      <c r="AA112" s="258">
        <v>1</v>
      </c>
      <c r="AB112" s="56">
        <v>1</v>
      </c>
      <c r="AC112" s="45">
        <v>5</v>
      </c>
      <c r="AD112" s="458"/>
      <c r="AE112" s="458"/>
      <c r="AF112" s="45" t="b">
        <v>0</v>
      </c>
      <c r="AG112" s="45" t="b">
        <v>0</v>
      </c>
      <c r="AH112" s="45" t="b">
        <v>0</v>
      </c>
      <c r="AI112" s="45" t="b">
        <v>0</v>
      </c>
      <c r="AJ112" s="45" t="b">
        <v>0</v>
      </c>
      <c r="AK112" s="458">
        <f t="shared" si="20"/>
        <v>5</v>
      </c>
      <c r="AL112" s="124">
        <v>1</v>
      </c>
      <c r="AM112" s="43"/>
      <c r="AN112" s="1473">
        <v>4</v>
      </c>
      <c r="AO112" s="43"/>
      <c r="AP112" s="1490">
        <v>0.249</v>
      </c>
      <c r="AQ112" s="53"/>
      <c r="AR112" s="43"/>
      <c r="AS112" s="359">
        <v>0</v>
      </c>
      <c r="AT112" s="53"/>
      <c r="AU112" s="124" t="b">
        <v>0</v>
      </c>
    </row>
    <row r="113" spans="1:47">
      <c r="A113" s="540" t="str">
        <f>Uebersetzung!D133</f>
        <v>San Gallo</v>
      </c>
      <c r="B113" s="45">
        <v>32</v>
      </c>
      <c r="C113" s="45"/>
      <c r="D113" s="45"/>
      <c r="E113" s="249"/>
      <c r="F113" s="45"/>
      <c r="G113" s="45"/>
      <c r="J113" s="89"/>
      <c r="K113" s="119"/>
      <c r="L113" s="89"/>
      <c r="M113" s="89"/>
      <c r="N113" s="598">
        <v>1</v>
      </c>
      <c r="S113" s="161">
        <v>6</v>
      </c>
      <c r="T113" s="43" t="str">
        <f t="shared" si="21"/>
        <v>Caldaia a gas con condensazione, solo riscaldamento</v>
      </c>
      <c r="U113" s="45">
        <v>6</v>
      </c>
      <c r="V113" s="53" t="str">
        <f>Uebersetzung!D206</f>
        <v>Caldaia a gas con condensazione</v>
      </c>
      <c r="W113" s="124" t="str">
        <f>Uebersetzung!D161</f>
        <v>Caldaia a gas con condensazione, solo riscaldamento</v>
      </c>
      <c r="X113" s="250">
        <v>0.95</v>
      </c>
      <c r="Y113" s="250">
        <v>1</v>
      </c>
      <c r="Z113" s="250">
        <v>1</v>
      </c>
      <c r="AA113" s="258"/>
      <c r="AB113" s="56">
        <v>1</v>
      </c>
      <c r="AC113" s="45">
        <v>6</v>
      </c>
      <c r="AD113" s="458"/>
      <c r="AE113" s="458"/>
      <c r="AF113" s="45" t="b">
        <v>0</v>
      </c>
      <c r="AG113" s="45" t="b">
        <v>0</v>
      </c>
      <c r="AH113" s="45" t="b">
        <v>0</v>
      </c>
      <c r="AI113" s="45" t="b">
        <v>0</v>
      </c>
      <c r="AJ113" s="45" t="b">
        <v>0</v>
      </c>
      <c r="AK113" s="458">
        <f t="shared" si="20"/>
        <v>6</v>
      </c>
      <c r="AL113" s="124">
        <v>1</v>
      </c>
      <c r="AM113" s="43"/>
      <c r="AN113" s="1473">
        <v>5</v>
      </c>
      <c r="AO113" s="43"/>
      <c r="AP113" s="1490">
        <v>0.249</v>
      </c>
      <c r="AQ113" s="53"/>
      <c r="AR113" s="43"/>
      <c r="AS113" s="359">
        <v>0</v>
      </c>
      <c r="AT113" s="53"/>
      <c r="AU113" s="124" t="b">
        <v>0</v>
      </c>
    </row>
    <row r="114" spans="1:47">
      <c r="A114" s="540" t="str">
        <f>Uebersetzung!D134</f>
        <v>Sciaffusa</v>
      </c>
      <c r="B114" s="45">
        <v>33</v>
      </c>
      <c r="C114" s="45"/>
      <c r="D114" s="45"/>
      <c r="E114" s="249"/>
      <c r="F114" s="45"/>
      <c r="G114" s="45"/>
      <c r="J114" s="124" t="str">
        <f>Uebersetzung!D78</f>
        <v>Raffreddam.</v>
      </c>
      <c r="K114" s="53" t="str">
        <f>J114</f>
        <v>Raffreddam.</v>
      </c>
      <c r="L114" s="124" t="str">
        <f>K114</f>
        <v>Raffreddam.</v>
      </c>
      <c r="M114" s="124" t="str">
        <f>L114</f>
        <v>Raffreddam.</v>
      </c>
      <c r="N114" s="598">
        <v>2</v>
      </c>
      <c r="S114" s="161">
        <v>7</v>
      </c>
      <c r="T114" s="43" t="str">
        <f t="shared" si="21"/>
        <v>Caldaia a gas con condensazione, solo ACS</v>
      </c>
      <c r="U114" s="45">
        <v>7</v>
      </c>
      <c r="V114" s="53" t="str">
        <f>Uebersetzung!D207</f>
        <v>Scaldacqua a gas con condensazione</v>
      </c>
      <c r="W114" s="124" t="str">
        <f>Uebersetzung!D162</f>
        <v>Caldaia a gas con condensazione, solo ACS</v>
      </c>
      <c r="X114" s="250">
        <v>0.92</v>
      </c>
      <c r="Y114" s="250">
        <v>0.95</v>
      </c>
      <c r="Z114" s="250">
        <v>1</v>
      </c>
      <c r="AA114" s="258">
        <v>1</v>
      </c>
      <c r="AB114" s="56"/>
      <c r="AC114" s="45">
        <v>7</v>
      </c>
      <c r="AD114" s="458"/>
      <c r="AE114" s="458"/>
      <c r="AF114" s="45" t="b">
        <v>0</v>
      </c>
      <c r="AG114" s="45" t="b">
        <v>0</v>
      </c>
      <c r="AH114" s="45" t="b">
        <v>0</v>
      </c>
      <c r="AI114" s="45" t="b">
        <v>0</v>
      </c>
      <c r="AJ114" s="45" t="b">
        <v>0</v>
      </c>
      <c r="AK114" s="458">
        <f t="shared" si="20"/>
        <v>7</v>
      </c>
      <c r="AL114" s="124">
        <v>1</v>
      </c>
      <c r="AM114" s="43"/>
      <c r="AN114" s="1473">
        <v>6</v>
      </c>
      <c r="AO114" s="43"/>
      <c r="AP114" s="1490">
        <v>0.249</v>
      </c>
      <c r="AQ114" s="53"/>
      <c r="AR114" s="43"/>
      <c r="AS114" s="359">
        <v>0</v>
      </c>
      <c r="AT114" s="53"/>
      <c r="AU114" s="124" t="b">
        <v>0</v>
      </c>
    </row>
    <row r="115" spans="1:47">
      <c r="A115" s="540" t="str">
        <f>Uebersetzung!D135</f>
        <v>Soletta</v>
      </c>
      <c r="B115" s="45">
        <v>38</v>
      </c>
      <c r="C115" s="45"/>
      <c r="D115" s="45"/>
      <c r="E115" s="249"/>
      <c r="F115" s="45"/>
      <c r="G115" s="45"/>
      <c r="J115" s="124" t="str">
        <f>Uebersetzung!D79</f>
        <v>Umidificaz.</v>
      </c>
      <c r="K115" s="53" t="str">
        <f t="shared" ref="K115:M117" si="22">J115</f>
        <v>Umidificaz.</v>
      </c>
      <c r="L115" s="124" t="str">
        <f t="shared" si="22"/>
        <v>Umidificaz.</v>
      </c>
      <c r="M115" s="124" t="str">
        <f t="shared" si="22"/>
        <v>Umidificaz.</v>
      </c>
      <c r="N115" s="598">
        <v>3</v>
      </c>
      <c r="S115" s="161">
        <v>8</v>
      </c>
      <c r="T115" s="43" t="str">
        <f t="shared" si="21"/>
        <v>Scaldacqua a gas</v>
      </c>
      <c r="U115" s="45">
        <v>8</v>
      </c>
      <c r="V115" s="53" t="str">
        <f>Uebersetzung!D208</f>
        <v>Scaldacqua a gas</v>
      </c>
      <c r="W115" s="124" t="str">
        <f>Uebersetzung!D163</f>
        <v>Scaldacqua a gas</v>
      </c>
      <c r="X115" s="250">
        <v>0.7</v>
      </c>
      <c r="Y115" s="250">
        <v>0.9</v>
      </c>
      <c r="Z115" s="250">
        <v>1</v>
      </c>
      <c r="AA115" s="258">
        <v>1</v>
      </c>
      <c r="AB115" s="56"/>
      <c r="AC115" s="45">
        <v>8</v>
      </c>
      <c r="AD115" s="458"/>
      <c r="AE115" s="458"/>
      <c r="AF115" s="45" t="b">
        <v>0</v>
      </c>
      <c r="AG115" s="45" t="b">
        <v>0</v>
      </c>
      <c r="AH115" s="45" t="b">
        <v>0</v>
      </c>
      <c r="AI115" s="45" t="b">
        <v>0</v>
      </c>
      <c r="AJ115" s="45" t="b">
        <v>0</v>
      </c>
      <c r="AK115" s="458">
        <f t="shared" si="20"/>
        <v>8</v>
      </c>
      <c r="AL115" s="124">
        <v>1</v>
      </c>
      <c r="AM115" s="43"/>
      <c r="AN115" s="1473">
        <v>7</v>
      </c>
      <c r="AO115" s="43"/>
      <c r="AP115" s="1490">
        <v>0.249</v>
      </c>
      <c r="AQ115" s="53"/>
      <c r="AR115" s="43"/>
      <c r="AS115" s="359">
        <v>0</v>
      </c>
      <c r="AT115" s="53"/>
      <c r="AU115" s="124" t="b">
        <v>0</v>
      </c>
    </row>
    <row r="116" spans="1:47">
      <c r="A116" s="540" t="str">
        <f>Uebersetzung!D136</f>
        <v>Svitto</v>
      </c>
      <c r="B116" s="45">
        <v>21</v>
      </c>
      <c r="C116" s="45">
        <v>41</v>
      </c>
      <c r="D116" s="45"/>
      <c r="E116" s="249"/>
      <c r="F116" s="45"/>
      <c r="G116" s="45"/>
      <c r="J116" s="124" t="str">
        <f>Uebersetzung!D80</f>
        <v>Raffr.+Umidif.</v>
      </c>
      <c r="K116" s="53" t="str">
        <f t="shared" si="22"/>
        <v>Raffr.+Umidif.</v>
      </c>
      <c r="L116" s="124" t="str">
        <f t="shared" si="22"/>
        <v>Raffr.+Umidif.</v>
      </c>
      <c r="M116" s="124" t="str">
        <f t="shared" si="22"/>
        <v>Raffr.+Umidif.</v>
      </c>
      <c r="N116" s="598">
        <v>4</v>
      </c>
      <c r="S116" s="161">
        <v>9</v>
      </c>
      <c r="T116" s="43" t="str">
        <f t="shared" si="21"/>
        <v>Riscaldamento a legna</v>
      </c>
      <c r="U116" s="45">
        <v>9</v>
      </c>
      <c r="V116" s="53" t="str">
        <f>Uebersetzung!D209</f>
        <v>Caldaia a legna</v>
      </c>
      <c r="W116" s="124" t="str">
        <f>Uebersetzung!D164</f>
        <v>Riscaldamento a legna</v>
      </c>
      <c r="X116" s="250">
        <v>0.75</v>
      </c>
      <c r="Y116" s="250">
        <v>0.9</v>
      </c>
      <c r="Z116" s="964">
        <v>0.5</v>
      </c>
      <c r="AA116" s="258">
        <v>1</v>
      </c>
      <c r="AB116" s="56">
        <v>1</v>
      </c>
      <c r="AC116" s="45">
        <v>9</v>
      </c>
      <c r="AD116" s="458"/>
      <c r="AE116" s="458"/>
      <c r="AF116" s="45" t="b">
        <v>0</v>
      </c>
      <c r="AG116" s="45" t="b">
        <v>0</v>
      </c>
      <c r="AH116" s="45" t="b">
        <v>0</v>
      </c>
      <c r="AI116" s="45" t="b">
        <v>0</v>
      </c>
      <c r="AJ116" s="45" t="b">
        <v>0</v>
      </c>
      <c r="AK116" s="458">
        <f t="shared" si="20"/>
        <v>9</v>
      </c>
      <c r="AL116" s="124">
        <v>1</v>
      </c>
      <c r="AM116" s="43"/>
      <c r="AN116" s="1473">
        <v>8</v>
      </c>
      <c r="AO116" s="43"/>
      <c r="AP116" s="1490">
        <v>0.02</v>
      </c>
      <c r="AQ116" s="53"/>
      <c r="AR116" s="43"/>
      <c r="AS116" s="359">
        <v>1</v>
      </c>
      <c r="AT116" s="53"/>
      <c r="AU116" s="124" t="b">
        <v>0</v>
      </c>
    </row>
    <row r="117" spans="1:47">
      <c r="A117" s="540" t="str">
        <f>Uebersetzung!D137</f>
        <v>Turgovia</v>
      </c>
      <c r="B117" s="45">
        <v>15</v>
      </c>
      <c r="C117" s="45"/>
      <c r="D117" s="45"/>
      <c r="E117" s="249"/>
      <c r="F117" s="45"/>
      <c r="G117" s="45"/>
      <c r="J117" s="124" t="str">
        <f>Uebersetzung!D81</f>
        <v>nessuno</v>
      </c>
      <c r="K117" s="53" t="str">
        <f t="shared" si="22"/>
        <v>nessuno</v>
      </c>
      <c r="L117" s="124" t="str">
        <f t="shared" si="22"/>
        <v>nessuno</v>
      </c>
      <c r="M117" s="124" t="str">
        <f t="shared" si="22"/>
        <v>nessuno</v>
      </c>
      <c r="N117" s="598">
        <v>5</v>
      </c>
      <c r="S117" s="161">
        <v>10</v>
      </c>
      <c r="T117" s="43" t="str">
        <f t="shared" si="21"/>
        <v>Riscaldamento a pellet</v>
      </c>
      <c r="U117" s="45">
        <v>10</v>
      </c>
      <c r="V117" s="53" t="str">
        <f>Uebersetzung!D210</f>
        <v>Caldaia a pellet</v>
      </c>
      <c r="W117" s="124" t="str">
        <f>Uebersetzung!D165</f>
        <v>Riscaldamento a pellet</v>
      </c>
      <c r="X117" s="630">
        <v>0.85</v>
      </c>
      <c r="Y117" s="630">
        <v>0.9</v>
      </c>
      <c r="Z117" s="964">
        <v>0.5</v>
      </c>
      <c r="AA117" s="258">
        <v>1</v>
      </c>
      <c r="AB117" s="56">
        <v>1</v>
      </c>
      <c r="AC117" s="45">
        <v>10</v>
      </c>
      <c r="AD117" s="458"/>
      <c r="AE117" s="458"/>
      <c r="AF117" s="45" t="b">
        <v>0</v>
      </c>
      <c r="AG117" s="45" t="b">
        <v>0</v>
      </c>
      <c r="AH117" s="45" t="b">
        <v>0</v>
      </c>
      <c r="AI117" s="45" t="b">
        <v>0</v>
      </c>
      <c r="AJ117" s="45" t="b">
        <v>0</v>
      </c>
      <c r="AK117" s="458">
        <f t="shared" si="20"/>
        <v>10</v>
      </c>
      <c r="AL117" s="124">
        <v>1</v>
      </c>
      <c r="AM117" s="43"/>
      <c r="AN117" s="1473">
        <v>9</v>
      </c>
      <c r="AO117" s="43"/>
      <c r="AP117" s="1490">
        <v>4.8000000000000001E-2</v>
      </c>
      <c r="AQ117" s="53"/>
      <c r="AR117" s="43"/>
      <c r="AS117" s="359">
        <v>1</v>
      </c>
      <c r="AT117" s="53"/>
      <c r="AU117" s="124" t="b">
        <v>0</v>
      </c>
    </row>
    <row r="118" spans="1:47">
      <c r="A118" s="540" t="str">
        <f>Uebersetzung!D138</f>
        <v>Ticino</v>
      </c>
      <c r="B118" s="45">
        <v>19</v>
      </c>
      <c r="C118" s="45">
        <v>20</v>
      </c>
      <c r="D118" s="45">
        <v>22</v>
      </c>
      <c r="E118" s="249">
        <v>28</v>
      </c>
      <c r="F118" s="45">
        <v>31</v>
      </c>
      <c r="G118" s="45"/>
      <c r="J118" s="675">
        <f>IF(Dati!$F$39="",1,VLOOKUP(Dati!$F$39,Standardwerte!J113:N117,5,FALSE))</f>
        <v>1</v>
      </c>
      <c r="K118" s="676">
        <f>IF(Dati!$G$39="",1,VLOOKUP(Dati!$G$39,Standardwerte!K113:N117,4,FALSE))</f>
        <v>1</v>
      </c>
      <c r="L118" s="676">
        <f>IF(Dati!$H$39="",1,VLOOKUP(Dati!$H$39,Standardwerte!L113:N117,3,FALSE))</f>
        <v>1</v>
      </c>
      <c r="M118" s="676">
        <f>IF(Dati!$I$39="",1,VLOOKUP(Dati!$I$39,Standardwerte!M113:N117,2,FALSE))</f>
        <v>1</v>
      </c>
      <c r="S118" s="161">
        <v>46</v>
      </c>
      <c r="T118" s="43" t="str">
        <f t="shared" si="21"/>
        <v>Teleriscaldamento (&lt;=25% di energie non rinnovabili)</v>
      </c>
      <c r="U118" s="45">
        <v>11</v>
      </c>
      <c r="V118" s="53" t="str">
        <f>Uebersetzung!D211</f>
        <v>Teleriscaldamento (&lt;=50% non rinnovabili)</v>
      </c>
      <c r="W118" s="1045" t="str">
        <f>Uebersetzung!D166</f>
        <v>Teleriscaldamento (&lt;=50% di energie non rinnovabili)</v>
      </c>
      <c r="X118" s="964">
        <v>1</v>
      </c>
      <c r="Y118" s="964">
        <v>1</v>
      </c>
      <c r="Z118" s="964">
        <v>0.6</v>
      </c>
      <c r="AA118" s="1047">
        <v>1</v>
      </c>
      <c r="AB118" s="1048">
        <v>1</v>
      </c>
      <c r="AC118" s="1047">
        <v>12</v>
      </c>
      <c r="AD118" s="1046" t="str">
        <f>Uebersetzung!D247</f>
        <v>L'elettricità per la PdC ha un fattore di ponderazione g=2</v>
      </c>
      <c r="AE118" s="1046"/>
      <c r="AF118" s="1047" t="b">
        <v>0</v>
      </c>
      <c r="AG118" s="1047" t="b">
        <v>0</v>
      </c>
      <c r="AH118" s="1047" t="b">
        <v>0</v>
      </c>
      <c r="AI118" s="1047" t="b">
        <v>0</v>
      </c>
      <c r="AJ118" s="1047" t="b">
        <v>0</v>
      </c>
      <c r="AK118" s="1046">
        <f t="shared" si="20"/>
        <v>46</v>
      </c>
      <c r="AL118" s="1045">
        <v>2</v>
      </c>
      <c r="AM118" s="43"/>
      <c r="AN118" s="1473">
        <v>10</v>
      </c>
      <c r="AO118" s="43"/>
      <c r="AP118" s="1490">
        <v>0.09</v>
      </c>
      <c r="AQ118" s="53"/>
      <c r="AR118" s="43"/>
      <c r="AS118" s="1847">
        <v>0.7</v>
      </c>
      <c r="AT118" s="53"/>
      <c r="AU118" s="124" t="b">
        <v>0</v>
      </c>
    </row>
    <row r="119" spans="1:47">
      <c r="A119" s="540" t="str">
        <f>Uebersetzung!D139</f>
        <v>Uri</v>
      </c>
      <c r="B119" s="45">
        <v>4</v>
      </c>
      <c r="C119" s="45"/>
      <c r="D119" s="45"/>
      <c r="E119" s="249"/>
      <c r="F119" s="45"/>
      <c r="G119" s="45"/>
      <c r="S119" s="161">
        <v>11</v>
      </c>
      <c r="T119" s="43" t="str">
        <f t="shared" si="21"/>
        <v>Teleriscaldamento (&lt;=50% di energie non rinnovabili)</v>
      </c>
      <c r="U119" s="45">
        <v>12</v>
      </c>
      <c r="V119" s="53" t="str">
        <f>Uebersetzung!D212</f>
        <v>Riscaldamento elettrico diretto centralizzato</v>
      </c>
      <c r="W119" s="124" t="str">
        <f>Uebersetzung!D167</f>
        <v>Riscaldamento elettrico diretto centralizzato</v>
      </c>
      <c r="X119" s="250">
        <v>0.93</v>
      </c>
      <c r="Y119" s="250">
        <v>0.95</v>
      </c>
      <c r="Z119" s="250">
        <v>2</v>
      </c>
      <c r="AA119" s="258"/>
      <c r="AB119" s="56">
        <v>1</v>
      </c>
      <c r="AC119" s="45">
        <v>14</v>
      </c>
      <c r="AD119" s="458"/>
      <c r="AE119" s="458"/>
      <c r="AF119" s="45" t="b">
        <v>0</v>
      </c>
      <c r="AG119" s="45" t="b">
        <v>0</v>
      </c>
      <c r="AH119" s="45" t="b">
        <v>0</v>
      </c>
      <c r="AI119" s="45" t="b">
        <v>0</v>
      </c>
      <c r="AJ119" s="45" t="b">
        <v>0</v>
      </c>
      <c r="AK119" s="458">
        <f t="shared" si="20"/>
        <v>11</v>
      </c>
      <c r="AL119" s="124">
        <v>1</v>
      </c>
      <c r="AM119" s="43"/>
      <c r="AN119" s="1473">
        <v>12</v>
      </c>
      <c r="AO119" s="43"/>
      <c r="AP119" s="1490">
        <v>0.13900000000000001</v>
      </c>
      <c r="AQ119" s="53"/>
      <c r="AR119" s="43"/>
      <c r="AS119" s="359">
        <v>1</v>
      </c>
      <c r="AT119" s="53"/>
      <c r="AU119" s="124" t="b">
        <v>0</v>
      </c>
    </row>
    <row r="120" spans="1:47">
      <c r="A120" s="540" t="str">
        <f>Uebersetzung!D140</f>
        <v>Vaud</v>
      </c>
      <c r="B120" s="45">
        <v>25</v>
      </c>
      <c r="C120" s="45">
        <v>17</v>
      </c>
      <c r="D120" s="45">
        <v>2</v>
      </c>
      <c r="E120" s="249"/>
      <c r="F120" s="45"/>
      <c r="G120" s="45"/>
      <c r="S120" s="161">
        <v>45</v>
      </c>
      <c r="T120" s="43" t="str">
        <f t="shared" si="21"/>
        <v>Teleriscaldamento (&lt;=75% di energie non rinnovabili)</v>
      </c>
      <c r="U120" s="45">
        <v>13</v>
      </c>
      <c r="V120" s="53" t="str">
        <f>Uebersetzung!D213</f>
        <v>Elettrico diretto</v>
      </c>
      <c r="W120" s="124" t="str">
        <f>Uebersetzung!D168</f>
        <v>Elettrico diretto</v>
      </c>
      <c r="X120" s="250">
        <v>1</v>
      </c>
      <c r="Y120" s="250">
        <v>1</v>
      </c>
      <c r="Z120" s="250">
        <v>2</v>
      </c>
      <c r="AA120" s="258"/>
      <c r="AB120" s="56">
        <v>1</v>
      </c>
      <c r="AC120" s="45">
        <v>15</v>
      </c>
      <c r="AD120" s="458"/>
      <c r="AE120" s="458"/>
      <c r="AF120" s="45" t="b">
        <v>0</v>
      </c>
      <c r="AG120" s="45" t="b">
        <v>0</v>
      </c>
      <c r="AH120" s="45" t="b">
        <v>0</v>
      </c>
      <c r="AI120" s="45" t="b">
        <v>0</v>
      </c>
      <c r="AJ120" s="45" t="b">
        <v>0</v>
      </c>
      <c r="AK120" s="458">
        <f t="shared" si="20"/>
        <v>45</v>
      </c>
      <c r="AL120" s="124">
        <v>1</v>
      </c>
      <c r="AM120" s="43"/>
      <c r="AN120" s="1473">
        <v>13</v>
      </c>
      <c r="AO120" s="43"/>
      <c r="AP120" s="1490">
        <v>0.13900000000000001</v>
      </c>
      <c r="AQ120" s="53"/>
      <c r="AR120" s="43"/>
      <c r="AS120" s="359">
        <v>1</v>
      </c>
      <c r="AT120" s="53"/>
      <c r="AU120" s="124" t="b">
        <v>0</v>
      </c>
    </row>
    <row r="121" spans="1:47">
      <c r="A121" s="540" t="str">
        <f>Uebersetzung!D141</f>
        <v>Vallese</v>
      </c>
      <c r="B121" s="45">
        <v>35</v>
      </c>
      <c r="C121" s="45">
        <v>39</v>
      </c>
      <c r="D121" s="45">
        <v>23</v>
      </c>
      <c r="E121" s="249">
        <v>14</v>
      </c>
      <c r="F121" s="45"/>
      <c r="G121" s="45"/>
      <c r="S121" s="161">
        <v>44</v>
      </c>
      <c r="T121" s="43" t="str">
        <f t="shared" si="21"/>
        <v>Teleriscaldamento (&gt;75% di energie non rinnovabili)</v>
      </c>
      <c r="U121" s="45">
        <v>14</v>
      </c>
      <c r="V121" s="53" t="str">
        <f>Uebersetzung!D214</f>
        <v>Scaldacqua elettrico</v>
      </c>
      <c r="W121" s="124" t="str">
        <f>Uebersetzung!D169</f>
        <v>Scaldacqua elettrico</v>
      </c>
      <c r="X121" s="250">
        <v>0.9</v>
      </c>
      <c r="Y121" s="250">
        <v>0.95</v>
      </c>
      <c r="Z121" s="250">
        <v>2</v>
      </c>
      <c r="AA121" s="258">
        <v>1</v>
      </c>
      <c r="AB121" s="56"/>
      <c r="AC121" s="45">
        <v>16</v>
      </c>
      <c r="AD121" s="458"/>
      <c r="AE121" s="458"/>
      <c r="AF121" s="45" t="b">
        <v>0</v>
      </c>
      <c r="AG121" s="45" t="b">
        <v>0</v>
      </c>
      <c r="AH121" s="45" t="b">
        <v>0</v>
      </c>
      <c r="AI121" s="45" t="b">
        <v>0</v>
      </c>
      <c r="AJ121" s="45" t="b">
        <v>0</v>
      </c>
      <c r="AK121" s="458">
        <f t="shared" si="20"/>
        <v>44</v>
      </c>
      <c r="AL121" s="124">
        <v>1</v>
      </c>
      <c r="AM121" s="43"/>
      <c r="AN121" s="1473">
        <v>14</v>
      </c>
      <c r="AO121" s="43"/>
      <c r="AP121" s="1490">
        <v>0.13900000000000001</v>
      </c>
      <c r="AQ121" s="53"/>
      <c r="AR121" s="43"/>
      <c r="AS121" s="359">
        <v>1</v>
      </c>
      <c r="AT121" s="53"/>
      <c r="AU121" s="124" t="b">
        <v>0</v>
      </c>
    </row>
    <row r="122" spans="1:47" ht="13.8">
      <c r="A122" s="540" t="str">
        <f>Uebersetzung!D142</f>
        <v>Zugo</v>
      </c>
      <c r="B122" s="45">
        <v>21</v>
      </c>
      <c r="C122" s="45"/>
      <c r="D122" s="45"/>
      <c r="E122" s="249"/>
      <c r="F122" s="45"/>
      <c r="G122" s="45"/>
      <c r="I122" s="756" t="s">
        <v>785</v>
      </c>
      <c r="J122" s="752" t="s">
        <v>241</v>
      </c>
      <c r="K122" s="1077" t="s">
        <v>652</v>
      </c>
      <c r="L122" s="1059" t="s">
        <v>651</v>
      </c>
      <c r="M122" s="778"/>
      <c r="N122" s="2208" t="s">
        <v>789</v>
      </c>
      <c r="O122" s="2209"/>
      <c r="P122" s="2209"/>
      <c r="Q122" s="2210"/>
      <c r="R122" s="778"/>
      <c r="S122" s="161">
        <v>12</v>
      </c>
      <c r="T122" s="43" t="str">
        <f t="shared" si="21"/>
        <v>Riscaldamento elettrico diretto centralizzato</v>
      </c>
      <c r="U122" s="45">
        <v>15</v>
      </c>
      <c r="V122" s="53" t="str">
        <f>Uebersetzung!D215</f>
        <v>Cogenerazione - termico+elettrico</v>
      </c>
      <c r="W122" s="124" t="str">
        <f>Uebersetzung!D170</f>
        <v>Cogenerazione (fossile) - termico + elettrico</v>
      </c>
      <c r="X122" s="250">
        <v>0.8</v>
      </c>
      <c r="Y122" s="250">
        <v>0.9</v>
      </c>
      <c r="Z122" s="250">
        <v>1</v>
      </c>
      <c r="AA122" s="258">
        <v>1</v>
      </c>
      <c r="AB122" s="56">
        <v>1</v>
      </c>
      <c r="AC122" s="45">
        <v>17</v>
      </c>
      <c r="AD122" s="458" t="str">
        <f>Uebersetzung!D249</f>
        <v>Rendimento elettrico (allegare il calcolo)</v>
      </c>
      <c r="AE122" s="458"/>
      <c r="AF122" s="45" t="b">
        <v>1</v>
      </c>
      <c r="AG122" s="45" t="b">
        <v>0</v>
      </c>
      <c r="AH122" s="45" t="b">
        <v>0</v>
      </c>
      <c r="AI122" s="45" t="b">
        <v>0</v>
      </c>
      <c r="AJ122" s="45" t="b">
        <v>0</v>
      </c>
      <c r="AK122" s="458">
        <f t="shared" si="20"/>
        <v>12</v>
      </c>
      <c r="AL122" s="124">
        <v>1</v>
      </c>
      <c r="AM122" s="43"/>
      <c r="AN122" s="1473">
        <v>15</v>
      </c>
      <c r="AO122" s="43"/>
      <c r="AP122" s="1490">
        <v>0.249</v>
      </c>
      <c r="AQ122" s="53"/>
      <c r="AR122" s="43"/>
      <c r="AS122" s="359">
        <v>1</v>
      </c>
      <c r="AT122" s="53"/>
      <c r="AU122" s="124" t="b">
        <v>0</v>
      </c>
    </row>
    <row r="123" spans="1:47">
      <c r="A123" s="540" t="str">
        <f>Uebersetzung!D143</f>
        <v>Zurigo</v>
      </c>
      <c r="B123" s="45">
        <v>41</v>
      </c>
      <c r="C123" s="45"/>
      <c r="D123" s="45"/>
      <c r="E123" s="249"/>
      <c r="F123" s="45"/>
      <c r="G123" s="45"/>
      <c r="I123" s="1058">
        <v>2014</v>
      </c>
      <c r="J123" s="753"/>
      <c r="K123" s="786" t="s">
        <v>1731</v>
      </c>
      <c r="L123" s="785" t="s">
        <v>1731</v>
      </c>
      <c r="M123" s="779" t="s">
        <v>787</v>
      </c>
      <c r="N123" s="784" t="s">
        <v>556</v>
      </c>
      <c r="O123" s="786" t="s">
        <v>557</v>
      </c>
      <c r="P123" s="785" t="s">
        <v>234</v>
      </c>
      <c r="Q123" s="785" t="s">
        <v>235</v>
      </c>
      <c r="R123" s="779" t="s">
        <v>1728</v>
      </c>
      <c r="S123" s="161">
        <v>13</v>
      </c>
      <c r="T123" s="43" t="str">
        <f t="shared" si="21"/>
        <v>Elettrico diretto</v>
      </c>
      <c r="U123" s="45">
        <v>16</v>
      </c>
      <c r="V123" s="53" t="str">
        <f>Uebersetzung!D216</f>
        <v>Cogenerazione a legna - termico+elettrico</v>
      </c>
      <c r="W123" s="124" t="str">
        <f>Uebersetzung!D171</f>
        <v>Cogenerazione (legna) - termico + elettrico</v>
      </c>
      <c r="X123" s="250">
        <v>0.7</v>
      </c>
      <c r="Y123" s="250">
        <v>0.9</v>
      </c>
      <c r="Z123" s="964">
        <v>0.5</v>
      </c>
      <c r="AA123" s="258">
        <v>1</v>
      </c>
      <c r="AB123" s="56">
        <v>1</v>
      </c>
      <c r="AC123" s="45">
        <v>18</v>
      </c>
      <c r="AD123" s="458" t="str">
        <f>AD122</f>
        <v>Rendimento elettrico (allegare il calcolo)</v>
      </c>
      <c r="AE123" s="458"/>
      <c r="AF123" s="45" t="b">
        <v>1</v>
      </c>
      <c r="AG123" s="45" t="b">
        <v>0</v>
      </c>
      <c r="AH123" s="45" t="b">
        <v>1</v>
      </c>
      <c r="AI123" s="45" t="b">
        <v>0</v>
      </c>
      <c r="AJ123" s="45" t="b">
        <v>0</v>
      </c>
      <c r="AK123" s="458">
        <f t="shared" si="20"/>
        <v>13</v>
      </c>
      <c r="AL123" s="124">
        <v>1</v>
      </c>
      <c r="AM123" s="43"/>
      <c r="AN123" s="1473">
        <v>16</v>
      </c>
      <c r="AO123" s="43"/>
      <c r="AP123" s="1490">
        <v>0.02</v>
      </c>
      <c r="AQ123" s="53"/>
      <c r="AR123" s="43"/>
      <c r="AS123" s="359">
        <v>1</v>
      </c>
      <c r="AT123" s="53"/>
      <c r="AU123" s="124" t="b">
        <v>0</v>
      </c>
    </row>
    <row r="124" spans="1:47">
      <c r="A124" s="540" t="str">
        <f>Uebersetzung!D144</f>
        <v xml:space="preserve">Principato del Liechtenstein </v>
      </c>
      <c r="B124" s="45">
        <v>37</v>
      </c>
      <c r="C124" s="45">
        <v>11</v>
      </c>
      <c r="D124" s="45"/>
      <c r="E124" s="249"/>
      <c r="F124" s="45"/>
      <c r="G124" s="45"/>
      <c r="I124" s="754"/>
      <c r="J124" s="755" t="s">
        <v>633</v>
      </c>
      <c r="K124" s="1078" t="s">
        <v>1732</v>
      </c>
      <c r="L124" s="1076" t="s">
        <v>1732</v>
      </c>
      <c r="M124" s="780" t="s">
        <v>786</v>
      </c>
      <c r="N124" s="792" t="e">
        <f>IF(J103,INDEX($L$9:$L$21,Kategorie1,1),0)</f>
        <v>#VALUE!</v>
      </c>
      <c r="O124" s="792" t="e">
        <f>IF(K103,INDEX($L$9:$L$21,Kategorie2,1),0)</f>
        <v>#VALUE!</v>
      </c>
      <c r="P124" s="792" t="e">
        <f>IF(L103,INDEX($L$9:$L$21,Kategorie3,1),0)</f>
        <v>#VALUE!</v>
      </c>
      <c r="Q124" s="792" t="e">
        <f>IF(M103,INDEX($L$9:$L$21,Kategorie4,1),0)</f>
        <v>#VALUE!</v>
      </c>
      <c r="R124" s="780" t="s">
        <v>1729</v>
      </c>
      <c r="S124" s="161">
        <v>14</v>
      </c>
      <c r="T124" s="43" t="str">
        <f t="shared" si="21"/>
        <v>Scaldacqua elettrico</v>
      </c>
      <c r="U124" s="45">
        <v>17</v>
      </c>
      <c r="V124" s="53" t="str">
        <f>Uebersetzung!D217</f>
        <v>PdC ad aria, riscaldamento</v>
      </c>
      <c r="W124" s="124" t="str">
        <f>Uebersetzung!D172</f>
        <v>PdC aria-acqua, solo riscaldamento</v>
      </c>
      <c r="X124" s="630">
        <v>2.2999999999999998</v>
      </c>
      <c r="Y124" s="630">
        <v>6</v>
      </c>
      <c r="Z124" s="250">
        <v>2</v>
      </c>
      <c r="AA124" s="258"/>
      <c r="AB124" s="56">
        <v>1</v>
      </c>
      <c r="AC124" s="45">
        <v>19</v>
      </c>
      <c r="AD124" s="458"/>
      <c r="AE124" s="458"/>
      <c r="AF124" s="45" t="b">
        <v>0</v>
      </c>
      <c r="AG124" s="45" t="b">
        <v>0</v>
      </c>
      <c r="AH124" s="45" t="b">
        <v>0</v>
      </c>
      <c r="AI124" s="45" t="b">
        <v>0</v>
      </c>
      <c r="AJ124" s="45" t="b">
        <v>0</v>
      </c>
      <c r="AK124" s="458">
        <f t="shared" si="20"/>
        <v>14</v>
      </c>
      <c r="AL124" s="124">
        <v>1</v>
      </c>
      <c r="AM124" s="43"/>
      <c r="AN124" s="1473">
        <v>17</v>
      </c>
      <c r="AO124" s="43"/>
      <c r="AP124" s="1490">
        <v>0.13900000000000001</v>
      </c>
      <c r="AQ124" s="53"/>
      <c r="AR124" s="43"/>
      <c r="AS124" s="359">
        <v>1</v>
      </c>
      <c r="AT124" s="53"/>
      <c r="AU124" s="124" t="b">
        <v>1</v>
      </c>
    </row>
    <row r="125" spans="1:47">
      <c r="A125" s="541" t="str">
        <f>Uebersetzung!D145</f>
        <v>speciale</v>
      </c>
      <c r="B125" s="112"/>
      <c r="C125" s="112"/>
      <c r="D125" s="112"/>
      <c r="E125" s="556"/>
      <c r="F125" s="112"/>
      <c r="G125" s="49"/>
      <c r="H125" s="27">
        <v>1</v>
      </c>
      <c r="I125" s="43"/>
      <c r="J125" s="42"/>
      <c r="K125" s="124"/>
      <c r="L125" s="738"/>
      <c r="M125" s="36"/>
      <c r="N125" s="114"/>
      <c r="O125" s="40"/>
      <c r="P125" s="40"/>
      <c r="Q125" s="115"/>
      <c r="R125" s="40"/>
      <c r="S125" s="161">
        <v>15</v>
      </c>
      <c r="T125" s="43" t="str">
        <f t="shared" si="21"/>
        <v>Cogenerazione (fossile) - termico + elettrico</v>
      </c>
      <c r="U125" s="45">
        <v>18</v>
      </c>
      <c r="V125" s="53" t="str">
        <f>Uebersetzung!D218</f>
        <v>PdC ad aria, ACS</v>
      </c>
      <c r="W125" s="124" t="str">
        <f>Uebersetzung!D173</f>
        <v>PdC aria-acqua, solo ACS</v>
      </c>
      <c r="X125" s="630">
        <v>2.2999999999999998</v>
      </c>
      <c r="Y125" s="630">
        <v>5</v>
      </c>
      <c r="Z125" s="250">
        <v>2</v>
      </c>
      <c r="AA125" s="258">
        <v>1</v>
      </c>
      <c r="AB125" s="56"/>
      <c r="AC125" s="45">
        <v>20</v>
      </c>
      <c r="AD125" s="458"/>
      <c r="AE125" s="458"/>
      <c r="AF125" s="45" t="b">
        <v>0</v>
      </c>
      <c r="AG125" s="45" t="b">
        <v>0</v>
      </c>
      <c r="AH125" s="45" t="b">
        <v>0</v>
      </c>
      <c r="AI125" s="45" t="b">
        <v>0</v>
      </c>
      <c r="AJ125" s="45" t="b">
        <v>0</v>
      </c>
      <c r="AK125" s="458">
        <f t="shared" si="20"/>
        <v>15</v>
      </c>
      <c r="AL125" s="124">
        <v>1</v>
      </c>
      <c r="AM125" s="43"/>
      <c r="AN125" s="1473">
        <v>18</v>
      </c>
      <c r="AO125" s="43"/>
      <c r="AP125" s="1490">
        <v>0.13900000000000001</v>
      </c>
      <c r="AQ125" s="53"/>
      <c r="AR125" s="43"/>
      <c r="AS125" s="359">
        <v>1</v>
      </c>
      <c r="AT125" s="53"/>
      <c r="AU125" s="124" t="b">
        <v>1</v>
      </c>
    </row>
    <row r="126" spans="1:47">
      <c r="A126" s="546" t="str">
        <f t="shared" ref="A126:F126" si="23">IF(Kanton&gt;1,INDEX(A127:A155,Kanton,1),"")</f>
        <v/>
      </c>
      <c r="B126" s="546" t="str">
        <f t="shared" si="23"/>
        <v/>
      </c>
      <c r="C126" s="546" t="str">
        <f t="shared" si="23"/>
        <v/>
      </c>
      <c r="D126" s="546" t="str">
        <f t="shared" si="23"/>
        <v/>
      </c>
      <c r="E126" s="546" t="str">
        <f t="shared" si="23"/>
        <v/>
      </c>
      <c r="F126" s="546" t="str">
        <f t="shared" si="23"/>
        <v/>
      </c>
      <c r="G126" s="553"/>
      <c r="H126" s="27">
        <v>2</v>
      </c>
      <c r="I126" s="43" t="s">
        <v>49</v>
      </c>
      <c r="J126" s="42" t="s">
        <v>29</v>
      </c>
      <c r="K126" s="45">
        <v>60</v>
      </c>
      <c r="L126" s="738">
        <v>35</v>
      </c>
      <c r="M126" s="789">
        <f>L126+G157</f>
        <v>35</v>
      </c>
      <c r="N126" s="789">
        <f t="shared" ref="N126:N137" si="24">IF(Kategorie1=$H126,IF(Neubau1=3,$K126+$R126,$M126)-IF(J$103=FALSE,INDEX($L$9:$L$21,Kategorie1,1),0)/3.6,0)</f>
        <v>0</v>
      </c>
      <c r="O126" s="790">
        <f t="shared" ref="O126:O137" si="25">IF(Kategorie2=$H126,IF(Neubau2=3,$K126+$R126,$M126)-IF(K$103=FALSE,INDEX($L$9:$L$21,Kategorie2,1),0)/3.6,0)</f>
        <v>0</v>
      </c>
      <c r="P126" s="790">
        <f t="shared" ref="P126:P137" si="26">IF(Kategorie3=$H126,IF(Neubau3=3,$K126+$R126,$M126)-IF(L$103=FALSE,INDEX($L$9:$L$21,Kategorie3,1),0)/3.6,0)</f>
        <v>0</v>
      </c>
      <c r="Q126" s="793">
        <f t="shared" ref="Q126:Q137" si="27">IF(Kategorie4=$H126,IF(Neubau4=3,$K126+$R126,$M126)-IF(M$103=FALSE,INDEX($L$9:$L$21,Kategorie4,1),0)/3.6,0)</f>
        <v>0</v>
      </c>
      <c r="R126" s="790">
        <f>G157</f>
        <v>0</v>
      </c>
      <c r="S126" s="161">
        <v>16</v>
      </c>
      <c r="T126" s="43" t="str">
        <f t="shared" si="21"/>
        <v>Cogenerazione (legna) - termico + elettrico</v>
      </c>
      <c r="U126" s="45">
        <v>19</v>
      </c>
      <c r="V126" s="53" t="str">
        <f>Uebersetzung!D219</f>
        <v>PdC con sonde geotermiche, riscaldamento</v>
      </c>
      <c r="W126" s="124" t="str">
        <f>Uebersetzung!D174</f>
        <v>PdC con sonde geotermiche, solo riscaldamento</v>
      </c>
      <c r="X126" s="630">
        <v>3.1</v>
      </c>
      <c r="Y126" s="630">
        <v>10</v>
      </c>
      <c r="Z126" s="250">
        <v>2</v>
      </c>
      <c r="AA126" s="258"/>
      <c r="AB126" s="56">
        <v>1</v>
      </c>
      <c r="AC126" s="45">
        <v>21</v>
      </c>
      <c r="AD126" s="458"/>
      <c r="AE126" s="458"/>
      <c r="AF126" s="45" t="b">
        <v>0</v>
      </c>
      <c r="AG126" s="45" t="b">
        <v>0</v>
      </c>
      <c r="AH126" s="45" t="b">
        <v>0</v>
      </c>
      <c r="AI126" s="45" t="b">
        <v>0</v>
      </c>
      <c r="AJ126" s="45" t="b">
        <v>0</v>
      </c>
      <c r="AK126" s="458">
        <f t="shared" si="20"/>
        <v>16</v>
      </c>
      <c r="AL126" s="124">
        <v>1</v>
      </c>
      <c r="AM126" s="43"/>
      <c r="AN126" s="1473">
        <v>19</v>
      </c>
      <c r="AO126" s="43"/>
      <c r="AP126" s="1490">
        <v>0.13900000000000001</v>
      </c>
      <c r="AQ126" s="53"/>
      <c r="AR126" s="43"/>
      <c r="AS126" s="359">
        <v>1</v>
      </c>
      <c r="AT126" s="53"/>
      <c r="AU126" s="124" t="b">
        <v>1</v>
      </c>
    </row>
    <row r="127" spans="1:47">
      <c r="A127" s="545"/>
      <c r="B127" s="545"/>
      <c r="C127" s="545"/>
      <c r="D127" s="90"/>
      <c r="E127" s="40"/>
      <c r="F127" s="40"/>
      <c r="G127" s="89"/>
      <c r="H127" s="27">
        <v>3</v>
      </c>
      <c r="I127" s="43" t="s">
        <v>50</v>
      </c>
      <c r="J127" s="42" t="s">
        <v>0</v>
      </c>
      <c r="K127" s="45">
        <v>60</v>
      </c>
      <c r="L127" s="738">
        <v>35</v>
      </c>
      <c r="M127" s="789">
        <f>L127+O157</f>
        <v>35</v>
      </c>
      <c r="N127" s="789">
        <f t="shared" si="24"/>
        <v>0</v>
      </c>
      <c r="O127" s="790">
        <f t="shared" si="25"/>
        <v>0</v>
      </c>
      <c r="P127" s="790">
        <f t="shared" si="26"/>
        <v>0</v>
      </c>
      <c r="Q127" s="793">
        <f t="shared" si="27"/>
        <v>0</v>
      </c>
      <c r="R127" s="790">
        <f>O157</f>
        <v>0</v>
      </c>
      <c r="S127" s="161">
        <v>17</v>
      </c>
      <c r="T127" s="43" t="str">
        <f t="shared" si="21"/>
        <v>PdC aria-acqua, solo riscaldamento</v>
      </c>
      <c r="U127" s="45">
        <v>20</v>
      </c>
      <c r="V127" s="53" t="str">
        <f>Uebersetzung!D220</f>
        <v>PdC con sonde geotermiche, ACS</v>
      </c>
      <c r="W127" s="124" t="str">
        <f>Uebersetzung!D175</f>
        <v>PdC con sonde geotermiche, solo ACS</v>
      </c>
      <c r="X127" s="630">
        <v>2.7</v>
      </c>
      <c r="Y127" s="630">
        <v>7</v>
      </c>
      <c r="Z127" s="250">
        <v>2</v>
      </c>
      <c r="AA127" s="258">
        <v>1</v>
      </c>
      <c r="AB127" s="56"/>
      <c r="AC127" s="45">
        <v>22</v>
      </c>
      <c r="AD127" s="458"/>
      <c r="AE127" s="458"/>
      <c r="AF127" s="45" t="b">
        <v>0</v>
      </c>
      <c r="AG127" s="45" t="b">
        <v>0</v>
      </c>
      <c r="AH127" s="45" t="b">
        <v>0</v>
      </c>
      <c r="AI127" s="45" t="b">
        <v>0</v>
      </c>
      <c r="AJ127" s="45" t="b">
        <v>0</v>
      </c>
      <c r="AK127" s="458">
        <f t="shared" si="20"/>
        <v>17</v>
      </c>
      <c r="AL127" s="124">
        <v>1</v>
      </c>
      <c r="AM127" s="43"/>
      <c r="AN127" s="1473">
        <v>20</v>
      </c>
      <c r="AO127" s="43"/>
      <c r="AP127" s="1490">
        <v>0.13900000000000001</v>
      </c>
      <c r="AQ127" s="53"/>
      <c r="AR127" s="43"/>
      <c r="AS127" s="359">
        <v>1</v>
      </c>
      <c r="AT127" s="53"/>
      <c r="AU127" s="124" t="b">
        <v>1</v>
      </c>
    </row>
    <row r="128" spans="1:47">
      <c r="A128" s="91" t="str">
        <f t="shared" ref="A128:F137" si="28">IF(B98&gt;0,INDEX($A$54:$A$94,B98,1),"")</f>
        <v>Buchs Aarau</v>
      </c>
      <c r="B128" s="91" t="str">
        <f t="shared" si="28"/>
        <v>Basel-Binningen</v>
      </c>
      <c r="C128" s="91" t="str">
        <f t="shared" si="28"/>
        <v/>
      </c>
      <c r="D128" s="91" t="str">
        <f t="shared" si="28"/>
        <v/>
      </c>
      <c r="E128" s="91" t="str">
        <f t="shared" si="28"/>
        <v/>
      </c>
      <c r="F128" s="91" t="str">
        <f t="shared" si="28"/>
        <v/>
      </c>
      <c r="G128" s="124" t="str">
        <f>A126</f>
        <v/>
      </c>
      <c r="H128" s="27">
        <v>4</v>
      </c>
      <c r="I128" s="43" t="s">
        <v>5</v>
      </c>
      <c r="J128" s="42" t="s">
        <v>1</v>
      </c>
      <c r="K128" s="45">
        <v>55</v>
      </c>
      <c r="L128" s="738">
        <v>40</v>
      </c>
      <c r="M128" s="789">
        <f>L128+W157</f>
        <v>40</v>
      </c>
      <c r="N128" s="789">
        <f t="shared" si="24"/>
        <v>0</v>
      </c>
      <c r="O128" s="790">
        <f t="shared" si="25"/>
        <v>0</v>
      </c>
      <c r="P128" s="790">
        <f t="shared" si="26"/>
        <v>0</v>
      </c>
      <c r="Q128" s="793">
        <f t="shared" si="27"/>
        <v>0</v>
      </c>
      <c r="R128" s="790">
        <f>W157</f>
        <v>0</v>
      </c>
      <c r="S128" s="161">
        <v>18</v>
      </c>
      <c r="T128" s="43" t="str">
        <f t="shared" si="21"/>
        <v>PdC aria-acqua, solo ACS</v>
      </c>
      <c r="U128" s="45">
        <v>21</v>
      </c>
      <c r="V128" s="53" t="str">
        <f>Uebersetzung!D221</f>
        <v>PdC con acqua di scarico, riscaldamento</v>
      </c>
      <c r="W128" s="124" t="str">
        <f>Uebersetzung!D176</f>
        <v>PdC con acqua di scarico, solo riscaldamento</v>
      </c>
      <c r="X128" s="630">
        <v>2.7</v>
      </c>
      <c r="Y128" s="630">
        <v>10</v>
      </c>
      <c r="Z128" s="250">
        <v>2</v>
      </c>
      <c r="AA128" s="258"/>
      <c r="AB128" s="56">
        <v>1</v>
      </c>
      <c r="AC128" s="45">
        <v>23</v>
      </c>
      <c r="AD128" s="458"/>
      <c r="AE128" s="458"/>
      <c r="AF128" s="45" t="b">
        <v>0</v>
      </c>
      <c r="AG128" s="45" t="b">
        <v>0</v>
      </c>
      <c r="AH128" s="45" t="b">
        <v>0</v>
      </c>
      <c r="AI128" s="45" t="b">
        <v>0</v>
      </c>
      <c r="AJ128" s="45" t="b">
        <v>0</v>
      </c>
      <c r="AK128" s="458">
        <f t="shared" si="20"/>
        <v>18</v>
      </c>
      <c r="AL128" s="124">
        <v>1</v>
      </c>
      <c r="AM128" s="43"/>
      <c r="AN128" s="1473">
        <v>21</v>
      </c>
      <c r="AO128" s="43"/>
      <c r="AP128" s="1490">
        <v>0.13900000000000001</v>
      </c>
      <c r="AQ128" s="53"/>
      <c r="AR128" s="43"/>
      <c r="AS128" s="359">
        <v>1</v>
      </c>
      <c r="AT128" s="53"/>
      <c r="AU128" s="124" t="b">
        <v>1</v>
      </c>
    </row>
    <row r="129" spans="1:47">
      <c r="A129" s="91" t="str">
        <f t="shared" si="28"/>
        <v>St. Gallen</v>
      </c>
      <c r="B129" s="91" t="str">
        <f t="shared" si="28"/>
        <v/>
      </c>
      <c r="C129" s="91" t="str">
        <f t="shared" si="28"/>
        <v/>
      </c>
      <c r="D129" s="91" t="str">
        <f t="shared" si="28"/>
        <v/>
      </c>
      <c r="E129" s="91" t="str">
        <f t="shared" si="28"/>
        <v/>
      </c>
      <c r="F129" s="91" t="str">
        <f t="shared" si="28"/>
        <v/>
      </c>
      <c r="G129" s="124" t="str">
        <f>B126</f>
        <v/>
      </c>
      <c r="H129" s="27">
        <v>5</v>
      </c>
      <c r="I129" s="43" t="s">
        <v>7</v>
      </c>
      <c r="J129" s="42" t="s">
        <v>2</v>
      </c>
      <c r="K129" s="45">
        <v>55</v>
      </c>
      <c r="L129" s="738">
        <v>35</v>
      </c>
      <c r="M129" s="789">
        <f>L129+AE157</f>
        <v>35</v>
      </c>
      <c r="N129" s="789">
        <f t="shared" si="24"/>
        <v>0</v>
      </c>
      <c r="O129" s="790">
        <f t="shared" si="25"/>
        <v>0</v>
      </c>
      <c r="P129" s="790">
        <f t="shared" si="26"/>
        <v>0</v>
      </c>
      <c r="Q129" s="793">
        <f t="shared" si="27"/>
        <v>0</v>
      </c>
      <c r="R129" s="790">
        <f>AE157</f>
        <v>0</v>
      </c>
      <c r="S129" s="161">
        <v>19</v>
      </c>
      <c r="T129" s="43" t="str">
        <f t="shared" si="21"/>
        <v>PdC con sonde geotermiche, solo riscaldamento</v>
      </c>
      <c r="U129" s="45">
        <v>22</v>
      </c>
      <c r="V129" s="53" t="str">
        <f>Uebersetzung!D222</f>
        <v>PdC con acqua di scarico, ACS</v>
      </c>
      <c r="W129" s="124" t="str">
        <f>Uebersetzung!D177</f>
        <v>PdC con acqua di scarico, solo ACS</v>
      </c>
      <c r="X129" s="630">
        <v>2.8</v>
      </c>
      <c r="Y129" s="630">
        <v>7</v>
      </c>
      <c r="Z129" s="250">
        <v>2</v>
      </c>
      <c r="AA129" s="258">
        <v>1</v>
      </c>
      <c r="AB129" s="56"/>
      <c r="AC129" s="45">
        <v>24</v>
      </c>
      <c r="AD129" s="458"/>
      <c r="AE129" s="458"/>
      <c r="AF129" s="45" t="b">
        <v>0</v>
      </c>
      <c r="AG129" s="45" t="b">
        <v>0</v>
      </c>
      <c r="AH129" s="45" t="b">
        <v>0</v>
      </c>
      <c r="AI129" s="45" t="b">
        <v>0</v>
      </c>
      <c r="AJ129" s="45" t="b">
        <v>0</v>
      </c>
      <c r="AK129" s="458">
        <f t="shared" si="20"/>
        <v>19</v>
      </c>
      <c r="AL129" s="124">
        <v>1</v>
      </c>
      <c r="AM129" s="43"/>
      <c r="AN129" s="1473">
        <v>22</v>
      </c>
      <c r="AO129" s="43"/>
      <c r="AP129" s="1490">
        <v>0.13900000000000001</v>
      </c>
      <c r="AQ129" s="53"/>
      <c r="AR129" s="43"/>
      <c r="AS129" s="359">
        <v>1</v>
      </c>
      <c r="AT129" s="53"/>
      <c r="AU129" s="124" t="b">
        <v>1</v>
      </c>
    </row>
    <row r="130" spans="1:47">
      <c r="A130" s="91" t="str">
        <f t="shared" si="28"/>
        <v>St. Gallen</v>
      </c>
      <c r="B130" s="91" t="str">
        <f t="shared" si="28"/>
        <v/>
      </c>
      <c r="C130" s="91" t="str">
        <f t="shared" si="28"/>
        <v/>
      </c>
      <c r="D130" s="91" t="str">
        <f t="shared" si="28"/>
        <v/>
      </c>
      <c r="E130" s="91" t="str">
        <f t="shared" si="28"/>
        <v/>
      </c>
      <c r="F130" s="91" t="str">
        <f t="shared" si="28"/>
        <v/>
      </c>
      <c r="G130" s="124" t="str">
        <f>C126</f>
        <v/>
      </c>
      <c r="H130" s="27">
        <v>6</v>
      </c>
      <c r="I130" s="43" t="s">
        <v>9</v>
      </c>
      <c r="J130" s="42" t="s">
        <v>237</v>
      </c>
      <c r="K130" s="45">
        <v>55</v>
      </c>
      <c r="L130" s="738">
        <v>40</v>
      </c>
      <c r="M130" s="789">
        <f>L130+AM157</f>
        <v>40</v>
      </c>
      <c r="N130" s="789">
        <f t="shared" si="24"/>
        <v>0</v>
      </c>
      <c r="O130" s="790">
        <f t="shared" si="25"/>
        <v>0</v>
      </c>
      <c r="P130" s="790">
        <f t="shared" si="26"/>
        <v>0</v>
      </c>
      <c r="Q130" s="793">
        <f t="shared" si="27"/>
        <v>0</v>
      </c>
      <c r="R130" s="790">
        <f>AM157</f>
        <v>0</v>
      </c>
      <c r="S130" s="161">
        <v>20</v>
      </c>
      <c r="T130" s="43" t="str">
        <f t="shared" si="21"/>
        <v>PdC con sonde geotermiche, solo ACS</v>
      </c>
      <c r="U130" s="45">
        <v>23</v>
      </c>
      <c r="V130" s="53" t="str">
        <f>Uebersetzung!D223</f>
        <v>PdC ad acqua, riscaldamento</v>
      </c>
      <c r="W130" s="124" t="str">
        <f>Uebersetzung!D178</f>
        <v>PdC acqua-acqua, solo riscaldamento</v>
      </c>
      <c r="X130" s="630">
        <v>2.7</v>
      </c>
      <c r="Y130" s="630">
        <v>10</v>
      </c>
      <c r="Z130" s="250">
        <v>2</v>
      </c>
      <c r="AA130" s="258"/>
      <c r="AB130" s="56">
        <v>1</v>
      </c>
      <c r="AC130" s="45">
        <v>25</v>
      </c>
      <c r="AD130" s="458"/>
      <c r="AE130" s="458"/>
      <c r="AF130" s="45" t="b">
        <v>0</v>
      </c>
      <c r="AG130" s="45" t="b">
        <v>0</v>
      </c>
      <c r="AH130" s="45" t="b">
        <v>0</v>
      </c>
      <c r="AI130" s="45" t="b">
        <v>0</v>
      </c>
      <c r="AJ130" s="45" t="b">
        <v>0</v>
      </c>
      <c r="AK130" s="458">
        <f t="shared" si="20"/>
        <v>20</v>
      </c>
      <c r="AL130" s="124">
        <v>1</v>
      </c>
      <c r="AM130" s="43"/>
      <c r="AN130" s="1473">
        <v>23</v>
      </c>
      <c r="AO130" s="43"/>
      <c r="AP130" s="1490">
        <v>0.13900000000000001</v>
      </c>
      <c r="AQ130" s="53"/>
      <c r="AR130" s="43"/>
      <c r="AS130" s="359">
        <v>1</v>
      </c>
      <c r="AT130" s="53"/>
      <c r="AU130" s="124" t="b">
        <v>1</v>
      </c>
    </row>
    <row r="131" spans="1:47">
      <c r="A131" s="91" t="str">
        <f t="shared" si="28"/>
        <v>Bern  Liebefeld</v>
      </c>
      <c r="B131" s="91" t="str">
        <f t="shared" si="28"/>
        <v>Adelboden</v>
      </c>
      <c r="C131" s="91" t="str">
        <f t="shared" si="28"/>
        <v/>
      </c>
      <c r="D131" s="91" t="str">
        <f t="shared" si="28"/>
        <v/>
      </c>
      <c r="E131" s="91" t="str">
        <f t="shared" si="28"/>
        <v/>
      </c>
      <c r="F131" s="91" t="str">
        <f t="shared" si="28"/>
        <v/>
      </c>
      <c r="G131" s="124" t="str">
        <f>D126</f>
        <v/>
      </c>
      <c r="H131" s="27">
        <v>7</v>
      </c>
      <c r="I131" s="43" t="s">
        <v>10</v>
      </c>
      <c r="J131" s="42" t="s">
        <v>3</v>
      </c>
      <c r="K131" s="45">
        <v>65</v>
      </c>
      <c r="L131" s="738">
        <v>45</v>
      </c>
      <c r="M131" s="789">
        <f>L131+AU157</f>
        <v>45</v>
      </c>
      <c r="N131" s="789">
        <f t="shared" si="24"/>
        <v>0</v>
      </c>
      <c r="O131" s="790">
        <f t="shared" si="25"/>
        <v>0</v>
      </c>
      <c r="P131" s="790">
        <f t="shared" si="26"/>
        <v>0</v>
      </c>
      <c r="Q131" s="793">
        <f t="shared" si="27"/>
        <v>0</v>
      </c>
      <c r="R131" s="790">
        <f>AU157</f>
        <v>0</v>
      </c>
      <c r="S131" s="161">
        <v>21</v>
      </c>
      <c r="T131" s="43" t="str">
        <f t="shared" si="21"/>
        <v>PdC con acqua di scarico, solo riscaldamento</v>
      </c>
      <c r="U131" s="45">
        <v>24</v>
      </c>
      <c r="V131" s="53" t="str">
        <f>Uebersetzung!D224</f>
        <v>PdC ad acqua, ACS</v>
      </c>
      <c r="W131" s="124" t="str">
        <f>Uebersetzung!D179</f>
        <v>PdC acqua-acqua, solo ACS</v>
      </c>
      <c r="X131" s="630">
        <v>2.8</v>
      </c>
      <c r="Y131" s="630">
        <v>7</v>
      </c>
      <c r="Z131" s="250">
        <v>2</v>
      </c>
      <c r="AA131" s="258">
        <v>1</v>
      </c>
      <c r="AB131" s="491"/>
      <c r="AC131" s="45">
        <v>26</v>
      </c>
      <c r="AD131" s="458"/>
      <c r="AE131" s="458"/>
      <c r="AF131" s="45" t="b">
        <v>0</v>
      </c>
      <c r="AG131" s="45" t="b">
        <v>0</v>
      </c>
      <c r="AH131" s="45" t="b">
        <v>0</v>
      </c>
      <c r="AI131" s="45" t="b">
        <v>0</v>
      </c>
      <c r="AJ131" s="45" t="b">
        <v>0</v>
      </c>
      <c r="AK131" s="458">
        <f t="shared" si="20"/>
        <v>21</v>
      </c>
      <c r="AL131" s="124">
        <v>1</v>
      </c>
      <c r="AM131" s="43"/>
      <c r="AN131" s="1473">
        <v>24</v>
      </c>
      <c r="AO131" s="43"/>
      <c r="AP131" s="1490">
        <v>0.13900000000000001</v>
      </c>
      <c r="AQ131" s="53"/>
      <c r="AR131" s="43"/>
      <c r="AS131" s="359">
        <v>1</v>
      </c>
      <c r="AT131" s="53"/>
      <c r="AU131" s="124" t="b">
        <v>1</v>
      </c>
    </row>
    <row r="132" spans="1:47">
      <c r="A132" s="91" t="str">
        <f t="shared" si="28"/>
        <v>Basel-Binningen</v>
      </c>
      <c r="B132" s="91" t="str">
        <f t="shared" si="28"/>
        <v/>
      </c>
      <c r="C132" s="91" t="str">
        <f t="shared" si="28"/>
        <v/>
      </c>
      <c r="D132" s="91" t="str">
        <f t="shared" si="28"/>
        <v/>
      </c>
      <c r="E132" s="91" t="str">
        <f t="shared" si="28"/>
        <v/>
      </c>
      <c r="F132" s="91" t="str">
        <f t="shared" si="28"/>
        <v/>
      </c>
      <c r="G132" s="124" t="str">
        <f>E126</f>
        <v/>
      </c>
      <c r="H132" s="27">
        <v>8</v>
      </c>
      <c r="I132" s="43" t="s">
        <v>227</v>
      </c>
      <c r="J132" s="42" t="s">
        <v>784</v>
      </c>
      <c r="K132" s="45">
        <v>60</v>
      </c>
      <c r="L132" s="738">
        <v>40</v>
      </c>
      <c r="M132" s="789">
        <f>L132+BC157</f>
        <v>40</v>
      </c>
      <c r="N132" s="789">
        <f t="shared" si="24"/>
        <v>0</v>
      </c>
      <c r="O132" s="790">
        <f t="shared" si="25"/>
        <v>0</v>
      </c>
      <c r="P132" s="790">
        <f t="shared" si="26"/>
        <v>0</v>
      </c>
      <c r="Q132" s="793">
        <f t="shared" si="27"/>
        <v>0</v>
      </c>
      <c r="R132" s="790">
        <f>BC157</f>
        <v>0</v>
      </c>
      <c r="S132" s="161">
        <v>22</v>
      </c>
      <c r="T132" s="43" t="str">
        <f t="shared" si="21"/>
        <v>PdC con acqua di scarico, solo ACS</v>
      </c>
      <c r="U132" s="45">
        <v>25</v>
      </c>
      <c r="V132" s="53" t="str">
        <f>Uebersetzung!D225</f>
        <v>PdC con acqua di falda, diretto, riscaldamento</v>
      </c>
      <c r="W132" s="124" t="str">
        <f>Uebersetzung!D180</f>
        <v>PdC con acqua di falda, diretto, solo riscaldamento</v>
      </c>
      <c r="X132" s="630">
        <v>3.2</v>
      </c>
      <c r="Y132" s="630">
        <v>10</v>
      </c>
      <c r="Z132" s="250">
        <v>2</v>
      </c>
      <c r="AA132" s="258"/>
      <c r="AB132" s="56">
        <v>1</v>
      </c>
      <c r="AC132" s="45">
        <v>27</v>
      </c>
      <c r="AD132" s="458"/>
      <c r="AE132" s="458"/>
      <c r="AF132" s="45" t="b">
        <v>0</v>
      </c>
      <c r="AG132" s="45" t="b">
        <v>0</v>
      </c>
      <c r="AH132" s="45" t="b">
        <v>0</v>
      </c>
      <c r="AI132" s="45" t="b">
        <v>0</v>
      </c>
      <c r="AJ132" s="45" t="b">
        <v>0</v>
      </c>
      <c r="AK132" s="458">
        <f t="shared" si="20"/>
        <v>22</v>
      </c>
      <c r="AL132" s="124">
        <v>1</v>
      </c>
      <c r="AM132" s="43"/>
      <c r="AN132" s="1473">
        <v>25</v>
      </c>
      <c r="AO132" s="43"/>
      <c r="AP132" s="1490">
        <v>0.13900000000000001</v>
      </c>
      <c r="AQ132" s="53"/>
      <c r="AR132" s="43"/>
      <c r="AS132" s="359">
        <v>1</v>
      </c>
      <c r="AT132" s="53"/>
      <c r="AU132" s="124" t="b">
        <v>1</v>
      </c>
    </row>
    <row r="133" spans="1:47">
      <c r="A133" s="91" t="str">
        <f t="shared" si="28"/>
        <v>Basel-Binningen</v>
      </c>
      <c r="B133" s="91" t="str">
        <f t="shared" si="28"/>
        <v/>
      </c>
      <c r="C133" s="91" t="str">
        <f t="shared" si="28"/>
        <v/>
      </c>
      <c r="D133" s="91" t="str">
        <f t="shared" si="28"/>
        <v/>
      </c>
      <c r="E133" s="91" t="str">
        <f t="shared" si="28"/>
        <v/>
      </c>
      <c r="F133" s="91" t="str">
        <f t="shared" si="28"/>
        <v/>
      </c>
      <c r="G133" s="124" t="str">
        <f>F126</f>
        <v/>
      </c>
      <c r="H133" s="27">
        <v>9</v>
      </c>
      <c r="I133" s="43" t="s">
        <v>228</v>
      </c>
      <c r="J133" s="42" t="s">
        <v>238</v>
      </c>
      <c r="K133" s="45">
        <v>85</v>
      </c>
      <c r="L133" s="738">
        <v>70</v>
      </c>
      <c r="M133" s="789">
        <f>L133+BK157</f>
        <v>70</v>
      </c>
      <c r="N133" s="789">
        <f t="shared" si="24"/>
        <v>0</v>
      </c>
      <c r="O133" s="790">
        <f t="shared" si="25"/>
        <v>0</v>
      </c>
      <c r="P133" s="790">
        <f t="shared" si="26"/>
        <v>0</v>
      </c>
      <c r="Q133" s="793">
        <f t="shared" si="27"/>
        <v>0</v>
      </c>
      <c r="R133" s="790">
        <f>BK157</f>
        <v>0</v>
      </c>
      <c r="S133" s="161">
        <v>23</v>
      </c>
      <c r="T133" s="43" t="str">
        <f t="shared" si="21"/>
        <v>PdC acqua-acqua, solo riscaldamento</v>
      </c>
      <c r="U133" s="45">
        <v>26</v>
      </c>
      <c r="V133" s="53" t="str">
        <f>Uebersetzung!D226</f>
        <v>PdC con acqua di falda, diretto, ACS</v>
      </c>
      <c r="W133" s="124" t="str">
        <f>Uebersetzung!D181</f>
        <v>PdC con acqua di falda, diretto, solo ACS</v>
      </c>
      <c r="X133" s="630">
        <v>2.9</v>
      </c>
      <c r="Y133" s="630">
        <v>7</v>
      </c>
      <c r="Z133" s="250">
        <v>2</v>
      </c>
      <c r="AA133" s="258">
        <v>1</v>
      </c>
      <c r="AB133" s="56"/>
      <c r="AC133" s="45">
        <v>28</v>
      </c>
      <c r="AD133" s="458"/>
      <c r="AE133" s="458"/>
      <c r="AF133" s="45" t="b">
        <v>0</v>
      </c>
      <c r="AG133" s="45" t="b">
        <v>0</v>
      </c>
      <c r="AH133" s="45" t="b">
        <v>0</v>
      </c>
      <c r="AI133" s="45" t="b">
        <v>0</v>
      </c>
      <c r="AJ133" s="45" t="b">
        <v>0</v>
      </c>
      <c r="AK133" s="458">
        <f t="shared" si="20"/>
        <v>23</v>
      </c>
      <c r="AL133" s="124">
        <v>1</v>
      </c>
      <c r="AM133" s="43"/>
      <c r="AN133" s="1473">
        <v>26</v>
      </c>
      <c r="AO133" s="43"/>
      <c r="AP133" s="1490">
        <v>0.13900000000000001</v>
      </c>
      <c r="AQ133" s="53"/>
      <c r="AR133" s="43"/>
      <c r="AS133" s="359">
        <v>1</v>
      </c>
      <c r="AT133" s="53"/>
      <c r="AU133" s="124" t="b">
        <v>1</v>
      </c>
    </row>
    <row r="134" spans="1:47">
      <c r="A134" s="91" t="str">
        <f t="shared" si="28"/>
        <v>Bern  Liebefeld</v>
      </c>
      <c r="B134" s="91" t="str">
        <f t="shared" si="28"/>
        <v>Adelboden</v>
      </c>
      <c r="C134" s="91" t="str">
        <f t="shared" si="28"/>
        <v/>
      </c>
      <c r="D134" s="91" t="str">
        <f t="shared" si="28"/>
        <v/>
      </c>
      <c r="E134" s="91" t="str">
        <f t="shared" si="28"/>
        <v/>
      </c>
      <c r="F134" s="91" t="str">
        <f t="shared" si="28"/>
        <v/>
      </c>
      <c r="G134" s="124"/>
      <c r="H134" s="782">
        <v>10</v>
      </c>
      <c r="I134" s="43" t="s">
        <v>229</v>
      </c>
      <c r="J134" s="42" t="s">
        <v>492</v>
      </c>
      <c r="K134" s="45">
        <v>40</v>
      </c>
      <c r="L134" s="738">
        <v>20</v>
      </c>
      <c r="M134" s="789">
        <f>L134+BS157</f>
        <v>20</v>
      </c>
      <c r="N134" s="789">
        <f t="shared" si="24"/>
        <v>0</v>
      </c>
      <c r="O134" s="790">
        <f t="shared" si="25"/>
        <v>0</v>
      </c>
      <c r="P134" s="790">
        <f t="shared" si="26"/>
        <v>0</v>
      </c>
      <c r="Q134" s="793">
        <f t="shared" si="27"/>
        <v>0</v>
      </c>
      <c r="R134" s="790">
        <f>BS157</f>
        <v>0</v>
      </c>
      <c r="S134" s="161">
        <v>24</v>
      </c>
      <c r="T134" s="43" t="str">
        <f t="shared" si="21"/>
        <v>PdC acqua-acqua, solo ACS</v>
      </c>
      <c r="U134" s="45">
        <v>27</v>
      </c>
      <c r="V134" s="53" t="str">
        <f>Uebersetzung!D227</f>
        <v>PdC con acqua di falda, indiretto, riscaldamento</v>
      </c>
      <c r="W134" s="124" t="str">
        <f>Uebersetzung!D182</f>
        <v>PdC con acqua di falda, indiretto, solo riscaldamento</v>
      </c>
      <c r="X134" s="630">
        <v>2.7</v>
      </c>
      <c r="Y134" s="630">
        <v>8</v>
      </c>
      <c r="Z134" s="291">
        <v>2</v>
      </c>
      <c r="AA134" s="292"/>
      <c r="AB134" s="492">
        <v>1</v>
      </c>
      <c r="AC134" s="45">
        <v>29</v>
      </c>
      <c r="AD134" s="458"/>
      <c r="AE134" s="458"/>
      <c r="AF134" s="45" t="b">
        <v>0</v>
      </c>
      <c r="AG134" s="45" t="b">
        <v>0</v>
      </c>
      <c r="AH134" s="45" t="b">
        <v>0</v>
      </c>
      <c r="AI134" s="45" t="b">
        <v>0</v>
      </c>
      <c r="AJ134" s="45" t="b">
        <v>0</v>
      </c>
      <c r="AK134" s="458">
        <f t="shared" si="20"/>
        <v>24</v>
      </c>
      <c r="AL134" s="124">
        <v>1</v>
      </c>
      <c r="AM134" s="43"/>
      <c r="AN134" s="1473">
        <v>27</v>
      </c>
      <c r="AO134" s="43"/>
      <c r="AP134" s="1490">
        <v>0.13900000000000001</v>
      </c>
      <c r="AQ134" s="53"/>
      <c r="AR134" s="43"/>
      <c r="AS134" s="359">
        <v>1</v>
      </c>
      <c r="AT134" s="53"/>
      <c r="AU134" s="124" t="b">
        <v>1</v>
      </c>
    </row>
    <row r="135" spans="1:47">
      <c r="A135" s="91" t="str">
        <f t="shared" si="28"/>
        <v>Genève</v>
      </c>
      <c r="B135" s="91" t="str">
        <f t="shared" si="28"/>
        <v/>
      </c>
      <c r="C135" s="91" t="str">
        <f t="shared" si="28"/>
        <v/>
      </c>
      <c r="D135" s="91" t="str">
        <f t="shared" si="28"/>
        <v/>
      </c>
      <c r="E135" s="91" t="str">
        <f t="shared" si="28"/>
        <v/>
      </c>
      <c r="F135" s="91" t="str">
        <f t="shared" si="28"/>
        <v/>
      </c>
      <c r="G135" s="124"/>
      <c r="H135" s="788">
        <v>11</v>
      </c>
      <c r="I135" s="43" t="s">
        <v>230</v>
      </c>
      <c r="J135" s="42" t="s">
        <v>239</v>
      </c>
      <c r="K135" s="45">
        <v>35</v>
      </c>
      <c r="L135" s="738">
        <v>20</v>
      </c>
      <c r="M135" s="789">
        <f>L135+CA157</f>
        <v>20</v>
      </c>
      <c r="N135" s="789">
        <f t="shared" si="24"/>
        <v>0</v>
      </c>
      <c r="O135" s="790">
        <f t="shared" si="25"/>
        <v>0</v>
      </c>
      <c r="P135" s="790">
        <f t="shared" si="26"/>
        <v>0</v>
      </c>
      <c r="Q135" s="793">
        <f t="shared" si="27"/>
        <v>0</v>
      </c>
      <c r="R135" s="790">
        <f>CA157</f>
        <v>0</v>
      </c>
      <c r="S135" s="161">
        <v>25</v>
      </c>
      <c r="T135" s="43" t="str">
        <f t="shared" si="21"/>
        <v>PdC con acqua di falda, diretto, solo riscaldamento</v>
      </c>
      <c r="U135" s="45">
        <v>28</v>
      </c>
      <c r="V135" s="53" t="str">
        <f>Uebersetzung!D228</f>
        <v>PdC con acqua di falda, indiretto, ACS</v>
      </c>
      <c r="W135" s="124" t="str">
        <f>Uebersetzung!D183</f>
        <v>PdC con acqua di falda, indiretto, solo ACS</v>
      </c>
      <c r="X135" s="630">
        <v>2.7</v>
      </c>
      <c r="Y135" s="630">
        <v>6</v>
      </c>
      <c r="Z135" s="291">
        <v>2</v>
      </c>
      <c r="AA135" s="292">
        <v>1</v>
      </c>
      <c r="AB135" s="492"/>
      <c r="AC135" s="45">
        <v>30</v>
      </c>
      <c r="AD135" s="458"/>
      <c r="AE135" s="458"/>
      <c r="AF135" s="45" t="b">
        <v>0</v>
      </c>
      <c r="AG135" s="45" t="b">
        <v>0</v>
      </c>
      <c r="AH135" s="45" t="b">
        <v>0</v>
      </c>
      <c r="AI135" s="45" t="b">
        <v>0</v>
      </c>
      <c r="AJ135" s="45" t="b">
        <v>0</v>
      </c>
      <c r="AK135" s="458">
        <f t="shared" si="20"/>
        <v>25</v>
      </c>
      <c r="AL135" s="124">
        <v>1</v>
      </c>
      <c r="AM135" s="43"/>
      <c r="AN135" s="1473">
        <v>28</v>
      </c>
      <c r="AO135" s="43"/>
      <c r="AP135" s="1490">
        <v>0.13900000000000001</v>
      </c>
      <c r="AQ135" s="53"/>
      <c r="AR135" s="43"/>
      <c r="AS135" s="359">
        <v>1</v>
      </c>
      <c r="AT135" s="53"/>
      <c r="AU135" s="124" t="b">
        <v>1</v>
      </c>
    </row>
    <row r="136" spans="1:47">
      <c r="A136" s="91" t="str">
        <f t="shared" si="28"/>
        <v>Glarus</v>
      </c>
      <c r="B136" s="91" t="str">
        <f t="shared" si="28"/>
        <v/>
      </c>
      <c r="C136" s="91" t="str">
        <f t="shared" si="28"/>
        <v/>
      </c>
      <c r="D136" s="91" t="str">
        <f t="shared" si="28"/>
        <v/>
      </c>
      <c r="E136" s="91" t="str">
        <f t="shared" si="28"/>
        <v/>
      </c>
      <c r="F136" s="91" t="str">
        <f t="shared" si="28"/>
        <v/>
      </c>
      <c r="G136" s="124"/>
      <c r="H136" s="27">
        <v>12</v>
      </c>
      <c r="I136" s="43" t="s">
        <v>231</v>
      </c>
      <c r="J136" s="42" t="s">
        <v>6</v>
      </c>
      <c r="K136" s="45">
        <v>40</v>
      </c>
      <c r="L136" s="738">
        <v>25</v>
      </c>
      <c r="M136" s="789">
        <f>L136+CI157</f>
        <v>25</v>
      </c>
      <c r="N136" s="789">
        <f t="shared" si="24"/>
        <v>0</v>
      </c>
      <c r="O136" s="790">
        <f t="shared" si="25"/>
        <v>0</v>
      </c>
      <c r="P136" s="790">
        <f t="shared" si="26"/>
        <v>0</v>
      </c>
      <c r="Q136" s="793">
        <f t="shared" si="27"/>
        <v>0</v>
      </c>
      <c r="R136" s="790">
        <f>CI157</f>
        <v>0</v>
      </c>
      <c r="S136" s="161">
        <v>26</v>
      </c>
      <c r="T136" s="43" t="str">
        <f t="shared" si="21"/>
        <v>PdC con acqua di falda, diretto, solo ACS</v>
      </c>
      <c r="U136" s="45">
        <v>29</v>
      </c>
      <c r="V136" s="53" t="str">
        <f>Uebersetzung!D229</f>
        <v>PdC con fasci di tubi orizzontali, riscaldamento</v>
      </c>
      <c r="W136" s="124" t="str">
        <f>Uebersetzung!D184</f>
        <v>PdC con fasci di tubi orizzontali, solo riscaldamento</v>
      </c>
      <c r="X136" s="630">
        <v>2.9</v>
      </c>
      <c r="Y136" s="630">
        <v>8</v>
      </c>
      <c r="Z136" s="291">
        <v>2</v>
      </c>
      <c r="AA136" s="292"/>
      <c r="AB136" s="492">
        <v>1</v>
      </c>
      <c r="AC136" s="45">
        <v>31</v>
      </c>
      <c r="AD136" s="458"/>
      <c r="AE136" s="458"/>
      <c r="AF136" s="45" t="b">
        <v>0</v>
      </c>
      <c r="AG136" s="45" t="b">
        <v>0</v>
      </c>
      <c r="AH136" s="45" t="b">
        <v>0</v>
      </c>
      <c r="AI136" s="45" t="b">
        <v>0</v>
      </c>
      <c r="AJ136" s="45" t="b">
        <v>0</v>
      </c>
      <c r="AK136" s="458">
        <f t="shared" si="20"/>
        <v>26</v>
      </c>
      <c r="AL136" s="124">
        <v>1</v>
      </c>
      <c r="AM136" s="43"/>
      <c r="AN136" s="1473">
        <v>29</v>
      </c>
      <c r="AO136" s="43"/>
      <c r="AP136" s="1490">
        <v>0.13900000000000001</v>
      </c>
      <c r="AQ136" s="53"/>
      <c r="AR136" s="43"/>
      <c r="AS136" s="359">
        <v>1</v>
      </c>
      <c r="AT136" s="53"/>
      <c r="AU136" s="124" t="b">
        <v>1</v>
      </c>
    </row>
    <row r="137" spans="1:47">
      <c r="A137" s="91" t="str">
        <f t="shared" si="28"/>
        <v>Chur</v>
      </c>
      <c r="B137" s="91" t="str">
        <f t="shared" si="28"/>
        <v>Davos</v>
      </c>
      <c r="C137" s="91" t="str">
        <f t="shared" si="28"/>
        <v>Disentis</v>
      </c>
      <c r="D137" s="91" t="str">
        <f t="shared" si="28"/>
        <v>Robbia</v>
      </c>
      <c r="E137" s="91" t="str">
        <f t="shared" si="28"/>
        <v>Schuls</v>
      </c>
      <c r="F137" s="91" t="str">
        <f t="shared" si="28"/>
        <v>Samedan</v>
      </c>
      <c r="G137" s="124"/>
      <c r="H137" s="27">
        <v>13</v>
      </c>
      <c r="I137" s="95" t="s">
        <v>721</v>
      </c>
      <c r="J137" s="60" t="s">
        <v>8</v>
      </c>
      <c r="K137" s="49"/>
      <c r="L137" s="739">
        <v>0</v>
      </c>
      <c r="M137" s="791">
        <f>L137</f>
        <v>0</v>
      </c>
      <c r="N137" s="789">
        <f t="shared" si="24"/>
        <v>0</v>
      </c>
      <c r="O137" s="790">
        <f t="shared" si="25"/>
        <v>0</v>
      </c>
      <c r="P137" s="790">
        <f t="shared" si="26"/>
        <v>0</v>
      </c>
      <c r="Q137" s="793">
        <f t="shared" si="27"/>
        <v>0</v>
      </c>
      <c r="R137" s="49"/>
      <c r="S137" s="161">
        <v>27</v>
      </c>
      <c r="T137" s="43" t="str">
        <f t="shared" si="21"/>
        <v>PdC con acqua di falda, indiretto, solo riscaldamento</v>
      </c>
      <c r="U137" s="45">
        <v>30</v>
      </c>
      <c r="V137" s="53" t="str">
        <f>Uebersetzung!D230</f>
        <v>PdC con fasci di tubi orizzontali, ACS</v>
      </c>
      <c r="W137" s="124" t="str">
        <f>Uebersetzung!D185</f>
        <v>PdC con fasci di tubi orizzontali, solo ACS</v>
      </c>
      <c r="X137" s="630">
        <v>2.7</v>
      </c>
      <c r="Y137" s="630">
        <v>6</v>
      </c>
      <c r="Z137" s="291">
        <v>2</v>
      </c>
      <c r="AA137" s="292">
        <v>1</v>
      </c>
      <c r="AB137" s="492"/>
      <c r="AC137" s="45">
        <v>32</v>
      </c>
      <c r="AD137" s="458"/>
      <c r="AE137" s="458"/>
      <c r="AF137" s="45" t="b">
        <v>0</v>
      </c>
      <c r="AG137" s="45" t="b">
        <v>0</v>
      </c>
      <c r="AH137" s="45" t="b">
        <v>0</v>
      </c>
      <c r="AI137" s="45" t="b">
        <v>0</v>
      </c>
      <c r="AJ137" s="45" t="b">
        <v>0</v>
      </c>
      <c r="AK137" s="458">
        <f t="shared" si="20"/>
        <v>27</v>
      </c>
      <c r="AL137" s="124">
        <v>1</v>
      </c>
      <c r="AM137" s="43"/>
      <c r="AN137" s="1473">
        <v>30</v>
      </c>
      <c r="AO137" s="43"/>
      <c r="AP137" s="1490">
        <v>0.13900000000000001</v>
      </c>
      <c r="AQ137" s="53"/>
      <c r="AR137" s="43"/>
      <c r="AS137" s="359">
        <v>1</v>
      </c>
      <c r="AT137" s="53"/>
      <c r="AU137" s="124" t="b">
        <v>1</v>
      </c>
    </row>
    <row r="138" spans="1:47">
      <c r="A138" s="91" t="str">
        <f t="shared" ref="A138:F147" si="29">IF(B108&gt;0,INDEX($A$54:$A$94,B108,1),"")</f>
        <v>Basel-Binningen</v>
      </c>
      <c r="B138" s="91" t="str">
        <f t="shared" si="29"/>
        <v>La Chaux-de-Fonds</v>
      </c>
      <c r="C138" s="91" t="str">
        <f t="shared" si="29"/>
        <v/>
      </c>
      <c r="D138" s="91" t="str">
        <f t="shared" si="29"/>
        <v/>
      </c>
      <c r="E138" s="91" t="str">
        <f t="shared" si="29"/>
        <v/>
      </c>
      <c r="F138" s="91" t="str">
        <f t="shared" si="29"/>
        <v/>
      </c>
      <c r="G138" s="124"/>
      <c r="M138" s="1075" t="s">
        <v>1733</v>
      </c>
      <c r="N138" s="794">
        <f>SUM(N126:N137)</f>
        <v>0</v>
      </c>
      <c r="O138" s="794">
        <f t="shared" ref="O138:Q138" si="30">SUM(O126:O137)</f>
        <v>0</v>
      </c>
      <c r="P138" s="794">
        <f t="shared" si="30"/>
        <v>0</v>
      </c>
      <c r="Q138" s="794">
        <f t="shared" si="30"/>
        <v>0</v>
      </c>
      <c r="R138" s="795" t="s">
        <v>525</v>
      </c>
      <c r="S138" s="161">
        <v>28</v>
      </c>
      <c r="T138" s="43" t="str">
        <f t="shared" si="21"/>
        <v>PdC con acqua di falda, indiretto, solo ACS</v>
      </c>
      <c r="U138" s="45">
        <v>31</v>
      </c>
      <c r="V138" s="53" t="str">
        <f>Uebersetzung!D231</f>
        <v>Energia solare termica per riscaldamento</v>
      </c>
      <c r="W138" s="124" t="str">
        <f>Uebersetzung!D186</f>
        <v>Energia solare termica, solo riscaldamento</v>
      </c>
      <c r="X138" s="330">
        <v>1</v>
      </c>
      <c r="Y138" s="330">
        <v>1</v>
      </c>
      <c r="Z138" s="330">
        <v>0</v>
      </c>
      <c r="AA138" s="258"/>
      <c r="AB138" s="56">
        <v>1</v>
      </c>
      <c r="AC138" s="45">
        <v>39</v>
      </c>
      <c r="AD138" s="458" t="str">
        <f>Uebersetzung!D250</f>
        <v>Superficie dell'assorbitore [m2]</v>
      </c>
      <c r="AE138" s="998" t="str">
        <f>Uebersetzung!D252</f>
        <v>Produzione netta per m2 di assorbitore [kWh/m2]</v>
      </c>
      <c r="AF138" s="45" t="b">
        <v>0</v>
      </c>
      <c r="AG138" s="45" t="b">
        <v>0</v>
      </c>
      <c r="AH138" s="45" t="b">
        <v>0</v>
      </c>
      <c r="AI138" s="45" t="b">
        <v>1</v>
      </c>
      <c r="AJ138" s="45" t="b">
        <v>0</v>
      </c>
      <c r="AK138" s="458">
        <f t="shared" si="20"/>
        <v>28</v>
      </c>
      <c r="AL138" s="124">
        <v>1</v>
      </c>
      <c r="AM138" s="43"/>
      <c r="AN138" s="1473">
        <v>39</v>
      </c>
      <c r="AO138" s="43"/>
      <c r="AP138" s="1490">
        <v>3.9E-2</v>
      </c>
      <c r="AQ138" s="53"/>
      <c r="AR138" s="43"/>
      <c r="AS138" s="359">
        <v>1</v>
      </c>
      <c r="AT138" s="53"/>
      <c r="AU138" s="124" t="b">
        <v>0</v>
      </c>
    </row>
    <row r="139" spans="1:47">
      <c r="A139" s="91" t="str">
        <f t="shared" si="29"/>
        <v>Luzern</v>
      </c>
      <c r="B139" s="91" t="str">
        <f t="shared" si="29"/>
        <v/>
      </c>
      <c r="C139" s="91" t="str">
        <f t="shared" si="29"/>
        <v/>
      </c>
      <c r="D139" s="91" t="str">
        <f t="shared" si="29"/>
        <v/>
      </c>
      <c r="E139" s="91" t="str">
        <f t="shared" si="29"/>
        <v/>
      </c>
      <c r="F139" s="91" t="str">
        <f t="shared" si="29"/>
        <v/>
      </c>
      <c r="G139" s="124"/>
      <c r="M139" s="1075" t="s">
        <v>786</v>
      </c>
      <c r="N139" s="794">
        <f>INDEX($R$125:$R$137,Kategorie1,1)</f>
        <v>0</v>
      </c>
      <c r="O139" s="794">
        <f>INDEX($R$125:$R$137,Kategorie2,1)</f>
        <v>0</v>
      </c>
      <c r="P139" s="794">
        <f>INDEX($R$125:$R$137,Kategorie3,1)</f>
        <v>0</v>
      </c>
      <c r="Q139" s="794">
        <f>INDEX($R$125:$R$137,Kategorie3,1)</f>
        <v>0</v>
      </c>
      <c r="R139" s="795" t="s">
        <v>1730</v>
      </c>
      <c r="S139" s="161">
        <v>29</v>
      </c>
      <c r="T139" s="43" t="str">
        <f t="shared" si="21"/>
        <v>PdC con fasci di tubi orizzontali, solo riscaldamento</v>
      </c>
      <c r="U139" s="45">
        <v>32</v>
      </c>
      <c r="V139" s="53" t="str">
        <f>Uebersetzung!D232</f>
        <v>Energia solare termica per ACS</v>
      </c>
      <c r="W139" s="124" t="str">
        <f>Uebersetzung!D187</f>
        <v>Energia solare termica, solo ACS</v>
      </c>
      <c r="X139" s="330">
        <v>1</v>
      </c>
      <c r="Y139" s="330">
        <v>1</v>
      </c>
      <c r="Z139" s="330">
        <v>0</v>
      </c>
      <c r="AA139" s="258">
        <v>1</v>
      </c>
      <c r="AB139" s="56"/>
      <c r="AC139" s="45">
        <v>40</v>
      </c>
      <c r="AD139" s="458" t="str">
        <f>AD138</f>
        <v>Superficie dell'assorbitore [m2]</v>
      </c>
      <c r="AE139" s="458" t="str">
        <f>AE138</f>
        <v>Produzione netta per m2 di assorbitore [kWh/m2]</v>
      </c>
      <c r="AF139" s="45" t="b">
        <v>0</v>
      </c>
      <c r="AG139" s="45" t="b">
        <v>0</v>
      </c>
      <c r="AH139" s="45" t="b">
        <v>0</v>
      </c>
      <c r="AI139" s="45" t="b">
        <v>1</v>
      </c>
      <c r="AJ139" s="45" t="b">
        <v>0</v>
      </c>
      <c r="AK139" s="458">
        <f t="shared" si="20"/>
        <v>29</v>
      </c>
      <c r="AL139" s="124">
        <v>1</v>
      </c>
      <c r="AM139" s="43"/>
      <c r="AN139" s="1473">
        <v>40</v>
      </c>
      <c r="AO139" s="43"/>
      <c r="AP139" s="1490">
        <v>1.6E-2</v>
      </c>
      <c r="AQ139" s="53"/>
      <c r="AR139" s="43"/>
      <c r="AS139" s="359">
        <v>1</v>
      </c>
      <c r="AT139" s="53"/>
      <c r="AU139" s="124" t="b">
        <v>0</v>
      </c>
    </row>
    <row r="140" spans="1:47">
      <c r="A140" s="91" t="str">
        <f t="shared" si="29"/>
        <v>Neuchâtel</v>
      </c>
      <c r="B140" s="91" t="str">
        <f t="shared" si="29"/>
        <v>La Chaux-de-Fonds</v>
      </c>
      <c r="C140" s="91" t="str">
        <f t="shared" si="29"/>
        <v/>
      </c>
      <c r="D140" s="91" t="str">
        <f t="shared" si="29"/>
        <v/>
      </c>
      <c r="E140" s="91" t="str">
        <f t="shared" si="29"/>
        <v/>
      </c>
      <c r="F140" s="91" t="str">
        <f t="shared" si="29"/>
        <v/>
      </c>
      <c r="G140" s="124"/>
      <c r="Q140" s="161"/>
      <c r="S140" s="161">
        <v>30</v>
      </c>
      <c r="T140" s="43" t="str">
        <f t="shared" si="21"/>
        <v>PdC con fasci di tubi orizzontali, solo ACS</v>
      </c>
      <c r="U140" s="45">
        <v>33</v>
      </c>
      <c r="V140" s="53" t="str">
        <f>Uebersetzung!D233</f>
        <v>Energia solare per riscaldamento + ACS</v>
      </c>
      <c r="W140" s="124" t="str">
        <f>Uebersetzung!D188</f>
        <v>Energia solare termica, risc. + ACS</v>
      </c>
      <c r="X140" s="330">
        <v>1</v>
      </c>
      <c r="Y140" s="330">
        <v>1</v>
      </c>
      <c r="Z140" s="330">
        <v>0</v>
      </c>
      <c r="AA140" s="258">
        <v>1</v>
      </c>
      <c r="AB140" s="56">
        <v>1</v>
      </c>
      <c r="AC140" s="45">
        <v>41</v>
      </c>
      <c r="AD140" s="458" t="str">
        <f>AD138</f>
        <v>Superficie dell'assorbitore [m2]</v>
      </c>
      <c r="AE140" s="458" t="str">
        <f>AE138</f>
        <v>Produzione netta per m2 di assorbitore [kWh/m2]</v>
      </c>
      <c r="AF140" s="45" t="b">
        <v>0</v>
      </c>
      <c r="AG140" s="45" t="b">
        <v>0</v>
      </c>
      <c r="AH140" s="45" t="b">
        <v>0</v>
      </c>
      <c r="AI140" s="45" t="b">
        <v>1</v>
      </c>
      <c r="AJ140" s="45" t="b">
        <v>0</v>
      </c>
      <c r="AK140" s="458">
        <f t="shared" si="20"/>
        <v>30</v>
      </c>
      <c r="AL140" s="124">
        <v>1</v>
      </c>
      <c r="AM140" s="43"/>
      <c r="AN140" s="1473">
        <v>41</v>
      </c>
      <c r="AO140" s="43"/>
      <c r="AP140" s="1490">
        <v>3.9E-2</v>
      </c>
      <c r="AQ140" s="53"/>
      <c r="AR140" s="43"/>
      <c r="AS140" s="359">
        <v>1</v>
      </c>
      <c r="AT140" s="53"/>
      <c r="AU140" s="124" t="b">
        <v>0</v>
      </c>
    </row>
    <row r="141" spans="1:47">
      <c r="A141" s="91" t="str">
        <f t="shared" si="29"/>
        <v>Luzern</v>
      </c>
      <c r="B141" s="91" t="str">
        <f t="shared" si="29"/>
        <v/>
      </c>
      <c r="C141" s="91" t="str">
        <f t="shared" si="29"/>
        <v/>
      </c>
      <c r="D141" s="91" t="str">
        <f t="shared" si="29"/>
        <v/>
      </c>
      <c r="E141" s="91" t="str">
        <f t="shared" si="29"/>
        <v/>
      </c>
      <c r="F141" s="91" t="str">
        <f t="shared" si="29"/>
        <v/>
      </c>
      <c r="G141" s="124"/>
      <c r="Q141" s="161"/>
      <c r="S141" s="161">
        <v>37</v>
      </c>
      <c r="T141" s="43" t="str">
        <f t="shared" si="21"/>
        <v>Impianto di immissione e espulsione dell'aria con recupero di calore e PdC sull'aspirazione dell'aria</v>
      </c>
      <c r="U141" s="45">
        <v>34</v>
      </c>
      <c r="V141" s="53" t="str">
        <f>Uebersetzung!D466</f>
        <v>Cavi riscaldanti</v>
      </c>
      <c r="W141" s="124" t="str">
        <f>Uebersetzung!E466</f>
        <v>Begleitheizbänder</v>
      </c>
      <c r="X141" s="250">
        <v>1</v>
      </c>
      <c r="Y141" s="250">
        <v>1</v>
      </c>
      <c r="Z141" s="250">
        <v>2</v>
      </c>
      <c r="AA141" s="258">
        <v>1</v>
      </c>
      <c r="AB141" s="56"/>
      <c r="AC141" s="45">
        <v>42</v>
      </c>
      <c r="AD141" s="998"/>
      <c r="AE141" s="458"/>
      <c r="AF141" s="45" t="b">
        <v>0</v>
      </c>
      <c r="AG141" s="45" t="b">
        <v>0</v>
      </c>
      <c r="AH141" s="45" t="b">
        <v>0</v>
      </c>
      <c r="AI141" s="45" t="b">
        <v>0</v>
      </c>
      <c r="AJ141" s="45" t="b">
        <v>0</v>
      </c>
      <c r="AK141" s="458">
        <f t="shared" si="20"/>
        <v>37</v>
      </c>
      <c r="AL141" s="124">
        <v>1</v>
      </c>
      <c r="AM141" s="43"/>
      <c r="AN141" s="1545">
        <v>58</v>
      </c>
      <c r="AO141" s="43"/>
      <c r="AP141" s="1490">
        <v>0.13900000000000001</v>
      </c>
      <c r="AQ141" s="53"/>
      <c r="AR141" s="43"/>
      <c r="AS141" s="359">
        <v>1</v>
      </c>
      <c r="AT141" s="53"/>
      <c r="AU141" s="124" t="b">
        <v>0</v>
      </c>
    </row>
    <row r="142" spans="1:47">
      <c r="A142" s="91" t="str">
        <f t="shared" si="29"/>
        <v>Luzern</v>
      </c>
      <c r="B142" s="91" t="str">
        <f t="shared" si="29"/>
        <v>Engelberg</v>
      </c>
      <c r="C142" s="91" t="str">
        <f t="shared" si="29"/>
        <v/>
      </c>
      <c r="D142" s="91" t="str">
        <f t="shared" si="29"/>
        <v/>
      </c>
      <c r="E142" s="91" t="str">
        <f t="shared" si="29"/>
        <v/>
      </c>
      <c r="F142" s="91" t="str">
        <f t="shared" si="29"/>
        <v/>
      </c>
      <c r="G142" s="124"/>
      <c r="Q142" s="161"/>
      <c r="S142" s="161">
        <v>38</v>
      </c>
      <c r="T142" s="43" t="str">
        <f t="shared" si="21"/>
        <v>Impianto di immissione e espulsione dell'aria senza recupero di calore e con PdC sull'aspirazione dell'aria</v>
      </c>
      <c r="U142" s="45">
        <v>35</v>
      </c>
      <c r="V142" s="53" t="str">
        <f>Uebersetzung!D235</f>
        <v>Altro</v>
      </c>
      <c r="W142" s="124" t="str">
        <f>Uebersetzung!D190</f>
        <v>Altro</v>
      </c>
      <c r="X142" s="250"/>
      <c r="Y142" s="250"/>
      <c r="Z142" s="250">
        <v>1</v>
      </c>
      <c r="AA142" s="258">
        <v>1</v>
      </c>
      <c r="AB142" s="56">
        <v>1</v>
      </c>
      <c r="AC142" s="45">
        <v>44</v>
      </c>
      <c r="AD142" s="458"/>
      <c r="AE142" s="458"/>
      <c r="AF142" s="45" t="b">
        <v>0</v>
      </c>
      <c r="AG142" s="45" t="b">
        <v>0</v>
      </c>
      <c r="AH142" s="45" t="b">
        <v>0</v>
      </c>
      <c r="AI142" s="45" t="b">
        <v>0</v>
      </c>
      <c r="AJ142" s="45" t="b">
        <v>0</v>
      </c>
      <c r="AK142" s="458">
        <f t="shared" si="20"/>
        <v>38</v>
      </c>
      <c r="AL142" s="124">
        <v>1</v>
      </c>
      <c r="AM142" s="43"/>
      <c r="AN142" s="1473">
        <v>50</v>
      </c>
      <c r="AO142" s="43"/>
      <c r="AP142" s="1490">
        <v>0.2</v>
      </c>
      <c r="AQ142" s="53"/>
      <c r="AR142" s="43"/>
      <c r="AS142" s="359">
        <v>0</v>
      </c>
      <c r="AT142" s="53"/>
      <c r="AU142" s="124" t="b">
        <v>0</v>
      </c>
    </row>
    <row r="143" spans="1:47">
      <c r="A143" s="91" t="str">
        <f t="shared" si="29"/>
        <v>St. Gallen</v>
      </c>
      <c r="B143" s="91" t="str">
        <f t="shared" si="29"/>
        <v/>
      </c>
      <c r="C143" s="91" t="str">
        <f t="shared" si="29"/>
        <v/>
      </c>
      <c r="D143" s="91" t="str">
        <f t="shared" si="29"/>
        <v/>
      </c>
      <c r="E143" s="91" t="str">
        <f t="shared" si="29"/>
        <v/>
      </c>
      <c r="F143" s="91" t="str">
        <f t="shared" si="29"/>
        <v/>
      </c>
      <c r="G143" s="124"/>
      <c r="Q143" s="161"/>
      <c r="S143" s="161">
        <v>39</v>
      </c>
      <c r="T143" s="43" t="str">
        <f t="shared" si="21"/>
        <v>Impianto d'estrazione dell'aria, senza immissione, con PdC sull'aspirazione dell'aria.</v>
      </c>
      <c r="U143" s="45">
        <v>36</v>
      </c>
      <c r="V143" s="53" t="str">
        <f>Uebersetzung!D236</f>
        <v>Riporto</v>
      </c>
      <c r="W143" s="124" t="str">
        <f>Uebersetzung!D191</f>
        <v>Riporto</v>
      </c>
      <c r="X143" s="250"/>
      <c r="Y143" s="250"/>
      <c r="Z143" s="250">
        <v>1</v>
      </c>
      <c r="AA143" s="258">
        <v>1</v>
      </c>
      <c r="AB143" s="56">
        <v>1</v>
      </c>
      <c r="AC143" s="45">
        <v>45</v>
      </c>
      <c r="AD143" s="458"/>
      <c r="AE143" s="458"/>
      <c r="AF143" s="45" t="b">
        <v>0</v>
      </c>
      <c r="AG143" s="45" t="b">
        <v>0</v>
      </c>
      <c r="AH143" s="45" t="b">
        <v>0</v>
      </c>
      <c r="AI143" s="45" t="b">
        <v>0</v>
      </c>
      <c r="AJ143" s="45" t="b">
        <v>0</v>
      </c>
      <c r="AK143" s="458">
        <f t="shared" si="20"/>
        <v>39</v>
      </c>
      <c r="AL143" s="124">
        <v>1</v>
      </c>
      <c r="AM143" s="43"/>
      <c r="AN143" s="1473">
        <v>54</v>
      </c>
      <c r="AO143" s="43"/>
      <c r="AP143" s="1490"/>
      <c r="AQ143" s="53"/>
      <c r="AR143" s="43"/>
      <c r="AS143" s="359"/>
      <c r="AT143" s="53"/>
      <c r="AU143" s="124" t="b">
        <v>0</v>
      </c>
    </row>
    <row r="144" spans="1:47">
      <c r="A144" s="91" t="str">
        <f t="shared" si="29"/>
        <v>Schaffhausen</v>
      </c>
      <c r="B144" s="91" t="str">
        <f t="shared" si="29"/>
        <v/>
      </c>
      <c r="C144" s="91" t="str">
        <f t="shared" si="29"/>
        <v/>
      </c>
      <c r="D144" s="91" t="str">
        <f t="shared" si="29"/>
        <v/>
      </c>
      <c r="E144" s="91" t="str">
        <f t="shared" si="29"/>
        <v/>
      </c>
      <c r="F144" s="91" t="str">
        <f t="shared" si="29"/>
        <v/>
      </c>
      <c r="G144" s="124"/>
      <c r="N144" s="1423"/>
      <c r="Q144" s="161"/>
      <c r="S144" s="161">
        <v>40</v>
      </c>
      <c r="T144" s="43" t="str">
        <f t="shared" si="21"/>
        <v>PdC aria-acqua compatta con immissione e espulsione dell'aria, con recupero di calore</v>
      </c>
      <c r="U144" s="45">
        <v>37</v>
      </c>
      <c r="V144" s="53" t="str">
        <f>Uebersetzung!D237</f>
        <v>Impianto di immissione e espulsione dell'aria con recupero di calore e PdC sull'aspirazione dell'aria</v>
      </c>
      <c r="W144" s="124" t="str">
        <f>Uebersetzung!D192</f>
        <v>Impianto di immissione e espulsione dell'aria con recupero di calore e PdC sull'aspirazione dell'aria</v>
      </c>
      <c r="X144" s="250">
        <v>2.2999999999999998</v>
      </c>
      <c r="Y144" s="250">
        <f>X144+1.2</f>
        <v>3.5</v>
      </c>
      <c r="Z144" s="250">
        <v>2</v>
      </c>
      <c r="AA144" s="258"/>
      <c r="AB144" s="56">
        <v>1</v>
      </c>
      <c r="AC144" s="45">
        <v>33</v>
      </c>
      <c r="AD144" s="458"/>
      <c r="AE144" s="458"/>
      <c r="AF144" s="45" t="b">
        <v>0</v>
      </c>
      <c r="AG144" s="45" t="b">
        <v>0</v>
      </c>
      <c r="AH144" s="45" t="b">
        <v>0</v>
      </c>
      <c r="AI144" s="45" t="b">
        <v>0</v>
      </c>
      <c r="AJ144" s="45" t="b">
        <v>0</v>
      </c>
      <c r="AK144" s="458">
        <f t="shared" si="20"/>
        <v>40</v>
      </c>
      <c r="AL144" s="124">
        <v>1</v>
      </c>
      <c r="AM144" s="43"/>
      <c r="AN144" s="1473">
        <v>43</v>
      </c>
      <c r="AO144" s="43"/>
      <c r="AP144" s="1490">
        <v>0.13900000000000001</v>
      </c>
      <c r="AQ144" s="53"/>
      <c r="AR144" s="43"/>
      <c r="AS144" s="359">
        <v>1</v>
      </c>
      <c r="AT144" s="53"/>
      <c r="AU144" s="124" t="b">
        <v>0</v>
      </c>
    </row>
    <row r="145" spans="1:95">
      <c r="A145" s="91" t="str">
        <f t="shared" si="29"/>
        <v>Wynau</v>
      </c>
      <c r="B145" s="91" t="str">
        <f t="shared" si="29"/>
        <v/>
      </c>
      <c r="C145" s="91" t="str">
        <f t="shared" si="29"/>
        <v/>
      </c>
      <c r="D145" s="91" t="str">
        <f t="shared" si="29"/>
        <v/>
      </c>
      <c r="E145" s="91" t="str">
        <f t="shared" si="29"/>
        <v/>
      </c>
      <c r="F145" s="91" t="str">
        <f t="shared" si="29"/>
        <v/>
      </c>
      <c r="G145" s="124"/>
      <c r="Q145" s="161"/>
      <c r="S145" s="161">
        <v>41</v>
      </c>
      <c r="T145" s="43" t="str">
        <f t="shared" si="21"/>
        <v>PdC aria-acqua compatta con immissione e espulsione dell'aria, senza recupero di calore (solo riscaldamento)</v>
      </c>
      <c r="U145" s="45">
        <v>38</v>
      </c>
      <c r="V145" s="53" t="str">
        <f>Uebersetzung!D238</f>
        <v>Impianto di immissione e espulsione dell'aria senza recupero di calore e con PdC sull'aspirazione dell'aria</v>
      </c>
      <c r="W145" s="124" t="str">
        <f>Uebersetzung!D193</f>
        <v>Impianto di immissione e espulsione dell'aria senza recupero di calore e con PdC sull'aspirazione dell'aria</v>
      </c>
      <c r="X145" s="250">
        <v>2.7</v>
      </c>
      <c r="Y145" s="250">
        <f t="shared" ref="Y145:Y149" si="31">X145+1.2</f>
        <v>3.9000000000000004</v>
      </c>
      <c r="Z145" s="250">
        <v>2</v>
      </c>
      <c r="AA145" s="258"/>
      <c r="AB145" s="56">
        <v>1</v>
      </c>
      <c r="AC145" s="45">
        <v>34</v>
      </c>
      <c r="AD145" s="458"/>
      <c r="AE145" s="458"/>
      <c r="AF145" s="45" t="b">
        <v>0</v>
      </c>
      <c r="AG145" s="45" t="b">
        <v>0</v>
      </c>
      <c r="AH145" s="45" t="b">
        <v>0</v>
      </c>
      <c r="AI145" s="45" t="b">
        <v>0</v>
      </c>
      <c r="AJ145" s="45" t="b">
        <v>0</v>
      </c>
      <c r="AK145" s="458">
        <f t="shared" si="20"/>
        <v>41</v>
      </c>
      <c r="AL145" s="124">
        <v>1</v>
      </c>
      <c r="AM145" s="43"/>
      <c r="AN145" s="1473">
        <v>44</v>
      </c>
      <c r="AO145" s="43"/>
      <c r="AP145" s="1490">
        <v>0.13900000000000001</v>
      </c>
      <c r="AQ145" s="53"/>
      <c r="AR145" s="43"/>
      <c r="AS145" s="359">
        <v>1</v>
      </c>
      <c r="AT145" s="53"/>
      <c r="AU145" s="124" t="b">
        <v>0</v>
      </c>
    </row>
    <row r="146" spans="1:95">
      <c r="A146" s="91" t="str">
        <f t="shared" si="29"/>
        <v>Luzern</v>
      </c>
      <c r="B146" s="91" t="str">
        <f t="shared" si="29"/>
        <v>Zürich SMA</v>
      </c>
      <c r="C146" s="91" t="str">
        <f t="shared" si="29"/>
        <v/>
      </c>
      <c r="D146" s="91" t="str">
        <f t="shared" si="29"/>
        <v/>
      </c>
      <c r="E146" s="91" t="str">
        <f t="shared" si="29"/>
        <v/>
      </c>
      <c r="F146" s="91" t="str">
        <f t="shared" si="29"/>
        <v/>
      </c>
      <c r="G146" s="124"/>
      <c r="Q146" s="161"/>
      <c r="S146" s="161">
        <v>42</v>
      </c>
      <c r="T146" s="43" t="str">
        <f t="shared" si="21"/>
        <v>PdC aria-acqua compatta con immissione e espulsione dell'aria, senza recupero di calore (solo ACS)</v>
      </c>
      <c r="U146" s="45">
        <v>39</v>
      </c>
      <c r="V146" s="53" t="str">
        <f>Uebersetzung!D239</f>
        <v>Impianto d'estrazione dell'aria, senza immissione, con PdC sull'aspirazione dell'aria</v>
      </c>
      <c r="W146" s="124" t="str">
        <f>Uebersetzung!D194</f>
        <v>Impianto d'estrazione dell'aria, senza immissione, con PdC sull'aspirazione dell'aria.</v>
      </c>
      <c r="X146" s="250">
        <v>2.5</v>
      </c>
      <c r="Y146" s="250">
        <f t="shared" si="31"/>
        <v>3.7</v>
      </c>
      <c r="Z146" s="250">
        <v>2</v>
      </c>
      <c r="AA146" s="258">
        <v>1</v>
      </c>
      <c r="AB146" s="56">
        <v>1</v>
      </c>
      <c r="AC146" s="45">
        <v>35</v>
      </c>
      <c r="AD146" s="458"/>
      <c r="AE146" s="458"/>
      <c r="AF146" s="45" t="b">
        <v>0</v>
      </c>
      <c r="AG146" s="45" t="b">
        <v>0</v>
      </c>
      <c r="AH146" s="45" t="b">
        <v>0</v>
      </c>
      <c r="AI146" s="45" t="b">
        <v>0</v>
      </c>
      <c r="AJ146" s="45" t="b">
        <v>0</v>
      </c>
      <c r="AK146" s="458">
        <f t="shared" si="20"/>
        <v>42</v>
      </c>
      <c r="AL146" s="124">
        <v>1</v>
      </c>
      <c r="AM146" s="43"/>
      <c r="AN146" s="1473">
        <v>45</v>
      </c>
      <c r="AO146" s="43"/>
      <c r="AP146" s="1490">
        <v>0.13900000000000001</v>
      </c>
      <c r="AQ146" s="53"/>
      <c r="AR146" s="43"/>
      <c r="AS146" s="359">
        <v>1</v>
      </c>
      <c r="AT146" s="53"/>
      <c r="AU146" s="124" t="b">
        <v>1</v>
      </c>
    </row>
    <row r="147" spans="1:95">
      <c r="A147" s="91" t="str">
        <f t="shared" si="29"/>
        <v>Güttingen</v>
      </c>
      <c r="B147" s="91" t="str">
        <f t="shared" si="29"/>
        <v/>
      </c>
      <c r="C147" s="91" t="str">
        <f t="shared" si="29"/>
        <v/>
      </c>
      <c r="D147" s="91" t="str">
        <f t="shared" si="29"/>
        <v/>
      </c>
      <c r="E147" s="91" t="str">
        <f t="shared" si="29"/>
        <v/>
      </c>
      <c r="F147" s="91" t="str">
        <f t="shared" si="29"/>
        <v/>
      </c>
      <c r="G147" s="124"/>
      <c r="Q147" s="161"/>
      <c r="S147" s="161">
        <v>31</v>
      </c>
      <c r="T147" s="43" t="str">
        <f t="shared" si="21"/>
        <v>Energia solare termica, solo riscaldamento</v>
      </c>
      <c r="U147" s="45">
        <v>40</v>
      </c>
      <c r="V147" s="53" t="str">
        <f>Uebersetzung!D240</f>
        <v>PdC compatta + RC</v>
      </c>
      <c r="W147" s="124" t="str">
        <f>Uebersetzung!D195</f>
        <v>PdC aria-acqua compatta con immissione e espulsione dell'aria, con recupero di calore</v>
      </c>
      <c r="X147" s="250">
        <v>2.2999999999999998</v>
      </c>
      <c r="Y147" s="250">
        <f t="shared" si="31"/>
        <v>3.5</v>
      </c>
      <c r="Z147" s="250">
        <v>2</v>
      </c>
      <c r="AA147" s="258">
        <v>1</v>
      </c>
      <c r="AB147" s="56">
        <v>1</v>
      </c>
      <c r="AC147" s="45">
        <v>36</v>
      </c>
      <c r="AD147" s="458"/>
      <c r="AE147" s="458"/>
      <c r="AF147" s="45" t="b">
        <v>0</v>
      </c>
      <c r="AG147" s="45" t="b">
        <v>0</v>
      </c>
      <c r="AH147" s="45" t="b">
        <v>0</v>
      </c>
      <c r="AI147" s="45" t="b">
        <v>0</v>
      </c>
      <c r="AJ147" s="45" t="b">
        <v>0</v>
      </c>
      <c r="AK147" s="458">
        <f t="shared" si="20"/>
        <v>31</v>
      </c>
      <c r="AL147" s="124">
        <v>1</v>
      </c>
      <c r="AM147" s="43"/>
      <c r="AN147" s="1473">
        <v>46</v>
      </c>
      <c r="AO147" s="43"/>
      <c r="AP147" s="1490">
        <v>0.13900000000000001</v>
      </c>
      <c r="AQ147" s="53"/>
      <c r="AR147" s="43"/>
      <c r="AS147" s="359">
        <v>1</v>
      </c>
      <c r="AT147" s="53"/>
      <c r="AU147" s="124" t="b">
        <v>1</v>
      </c>
    </row>
    <row r="148" spans="1:95">
      <c r="A148" s="91" t="str">
        <f t="shared" ref="A148:F154" si="32">IF(B118&gt;0,INDEX($A$54:$A$94,B118,1),"")</f>
        <v>Locarno-Monti</v>
      </c>
      <c r="B148" s="91" t="str">
        <f t="shared" si="32"/>
        <v>Lugano</v>
      </c>
      <c r="C148" s="91" t="str">
        <f t="shared" si="32"/>
        <v>Magadino</v>
      </c>
      <c r="D148" s="91" t="str">
        <f t="shared" si="32"/>
        <v>Robbia</v>
      </c>
      <c r="E148" s="91" t="str">
        <f t="shared" si="32"/>
        <v>San Bernardino</v>
      </c>
      <c r="F148" s="91" t="str">
        <f t="shared" si="32"/>
        <v/>
      </c>
      <c r="G148" s="124"/>
      <c r="Q148" s="161"/>
      <c r="S148" s="161">
        <v>32</v>
      </c>
      <c r="T148" s="43" t="str">
        <f t="shared" si="21"/>
        <v>Energia solare termica, solo ACS</v>
      </c>
      <c r="U148" s="45">
        <v>41</v>
      </c>
      <c r="V148" s="53" t="str">
        <f>Uebersetzung!D241</f>
        <v>PdC compatta senza RC, risc.</v>
      </c>
      <c r="W148" s="124" t="str">
        <f>Uebersetzung!D196</f>
        <v>PdC aria-acqua compatta con immissione e espulsione dell'aria, senza recupero di calore (solo riscaldamento)</v>
      </c>
      <c r="X148" s="250">
        <v>2.7</v>
      </c>
      <c r="Y148" s="250">
        <f t="shared" si="31"/>
        <v>3.9000000000000004</v>
      </c>
      <c r="Z148" s="250">
        <v>2</v>
      </c>
      <c r="AA148" s="258"/>
      <c r="AB148" s="56">
        <v>1</v>
      </c>
      <c r="AC148" s="45">
        <v>37</v>
      </c>
      <c r="AD148" s="458"/>
      <c r="AE148" s="458"/>
      <c r="AF148" s="45" t="b">
        <v>0</v>
      </c>
      <c r="AG148" s="45" t="b">
        <v>0</v>
      </c>
      <c r="AH148" s="45" t="b">
        <v>0</v>
      </c>
      <c r="AI148" s="45" t="b">
        <v>0</v>
      </c>
      <c r="AJ148" s="45" t="b">
        <v>0</v>
      </c>
      <c r="AK148" s="458">
        <f t="shared" si="20"/>
        <v>32</v>
      </c>
      <c r="AL148" s="124">
        <v>1</v>
      </c>
      <c r="AM148" s="43"/>
      <c r="AN148" s="1473">
        <v>47</v>
      </c>
      <c r="AO148" s="43"/>
      <c r="AP148" s="1490">
        <v>0.13900000000000001</v>
      </c>
      <c r="AQ148" s="53"/>
      <c r="AR148" s="43"/>
      <c r="AS148" s="359">
        <v>1</v>
      </c>
      <c r="AT148" s="53"/>
      <c r="AU148" s="124" t="b">
        <v>1</v>
      </c>
    </row>
    <row r="149" spans="1:95">
      <c r="A149" s="91" t="str">
        <f t="shared" si="32"/>
        <v>Altdorf</v>
      </c>
      <c r="B149" s="91" t="str">
        <f t="shared" si="32"/>
        <v/>
      </c>
      <c r="C149" s="91" t="str">
        <f t="shared" si="32"/>
        <v/>
      </c>
      <c r="D149" s="91" t="str">
        <f t="shared" si="32"/>
        <v/>
      </c>
      <c r="E149" s="91" t="str">
        <f t="shared" si="32"/>
        <v/>
      </c>
      <c r="F149" s="91" t="str">
        <f t="shared" si="32"/>
        <v/>
      </c>
      <c r="G149" s="124"/>
      <c r="Q149" s="161"/>
      <c r="S149" s="161">
        <v>33</v>
      </c>
      <c r="T149" s="43" t="str">
        <f t="shared" si="21"/>
        <v>Energia solare termica, risc. + ACS</v>
      </c>
      <c r="U149" s="45">
        <v>42</v>
      </c>
      <c r="V149" s="53" t="str">
        <f>Uebersetzung!D242</f>
        <v>PdC compatta senza RC, ACS</v>
      </c>
      <c r="W149" s="124" t="str">
        <f>Uebersetzung!D197</f>
        <v>PdC aria-acqua compatta con immissione e espulsione dell'aria, senza recupero di calore (solo ACS)</v>
      </c>
      <c r="X149" s="250">
        <v>2.5</v>
      </c>
      <c r="Y149" s="250">
        <f t="shared" si="31"/>
        <v>3.7</v>
      </c>
      <c r="Z149" s="250">
        <v>2</v>
      </c>
      <c r="AA149" s="258">
        <v>1</v>
      </c>
      <c r="AB149" s="56"/>
      <c r="AC149" s="45">
        <v>45</v>
      </c>
      <c r="AD149" s="458"/>
      <c r="AE149" s="458"/>
      <c r="AF149" s="45" t="b">
        <v>0</v>
      </c>
      <c r="AG149" s="45" t="b">
        <v>0</v>
      </c>
      <c r="AH149" s="45" t="b">
        <v>0</v>
      </c>
      <c r="AI149" s="45" t="b">
        <v>0</v>
      </c>
      <c r="AJ149" s="45" t="b">
        <v>0</v>
      </c>
      <c r="AK149" s="458">
        <f t="shared" si="20"/>
        <v>33</v>
      </c>
      <c r="AL149" s="124">
        <v>1</v>
      </c>
      <c r="AM149" s="43"/>
      <c r="AN149" s="1473">
        <v>48</v>
      </c>
      <c r="AO149" s="43"/>
      <c r="AP149" s="1490">
        <v>0.13900000000000001</v>
      </c>
      <c r="AQ149" s="53"/>
      <c r="AR149" s="43"/>
      <c r="AS149" s="359">
        <v>1</v>
      </c>
      <c r="AT149" s="53"/>
      <c r="AU149" s="124" t="b">
        <v>1</v>
      </c>
    </row>
    <row r="150" spans="1:95">
      <c r="A150" s="91" t="str">
        <f t="shared" si="32"/>
        <v>Payerne</v>
      </c>
      <c r="B150" s="91" t="str">
        <f t="shared" si="32"/>
        <v>La Chaux-de-Fonds</v>
      </c>
      <c r="C150" s="91" t="str">
        <f t="shared" si="32"/>
        <v>Adelboden</v>
      </c>
      <c r="D150" s="91" t="str">
        <f t="shared" si="32"/>
        <v/>
      </c>
      <c r="E150" s="91" t="str">
        <f t="shared" si="32"/>
        <v/>
      </c>
      <c r="F150" s="91" t="str">
        <f t="shared" si="32"/>
        <v/>
      </c>
      <c r="G150" s="124"/>
      <c r="Q150" s="161"/>
      <c r="S150" s="161">
        <v>43</v>
      </c>
      <c r="T150" s="43" t="str">
        <f t="shared" si="21"/>
        <v>Biomassa, collegata alla rete idraulica</v>
      </c>
      <c r="U150" s="45">
        <v>43</v>
      </c>
      <c r="V150" s="53" t="str">
        <f>Uebersetzung!D243</f>
        <v>Biomassa, collegata</v>
      </c>
      <c r="W150" s="124" t="str">
        <f>Uebersetzung!D198</f>
        <v>Biomassa, collegata alla rete idraulica</v>
      </c>
      <c r="X150" s="250">
        <v>0.75</v>
      </c>
      <c r="Y150" s="250">
        <v>0.85</v>
      </c>
      <c r="Z150" s="964">
        <v>0.5</v>
      </c>
      <c r="AA150" s="258">
        <v>1</v>
      </c>
      <c r="AB150" s="56">
        <v>1</v>
      </c>
      <c r="AC150" s="45">
        <v>43</v>
      </c>
      <c r="AD150" s="458"/>
      <c r="AE150" s="458"/>
      <c r="AF150" s="45" t="b">
        <v>0</v>
      </c>
      <c r="AG150" s="45" t="b">
        <v>0</v>
      </c>
      <c r="AH150" s="45" t="b">
        <v>1</v>
      </c>
      <c r="AI150" s="45" t="b">
        <v>0</v>
      </c>
      <c r="AJ150" s="45" t="b">
        <v>0</v>
      </c>
      <c r="AK150" s="458">
        <f t="shared" si="20"/>
        <v>43</v>
      </c>
      <c r="AL150" s="124">
        <v>1</v>
      </c>
      <c r="AM150" s="43"/>
      <c r="AN150" s="1473">
        <v>53</v>
      </c>
      <c r="AO150" s="43"/>
      <c r="AP150" s="1490">
        <v>0.02</v>
      </c>
      <c r="AQ150" s="53"/>
      <c r="AR150" s="43"/>
      <c r="AS150" s="359">
        <v>1</v>
      </c>
      <c r="AT150" s="53"/>
      <c r="AU150" s="124" t="b">
        <v>0</v>
      </c>
    </row>
    <row r="151" spans="1:95">
      <c r="A151" s="91" t="str">
        <f t="shared" si="32"/>
        <v>Sion</v>
      </c>
      <c r="B151" s="91" t="str">
        <f t="shared" si="32"/>
        <v>Zermatt</v>
      </c>
      <c r="C151" s="91" t="str">
        <f t="shared" si="32"/>
        <v>Montana</v>
      </c>
      <c r="D151" s="91" t="str">
        <f t="shared" si="32"/>
        <v>Gr. St. Bernhard</v>
      </c>
      <c r="E151" s="91" t="str">
        <f t="shared" si="32"/>
        <v/>
      </c>
      <c r="F151" s="91" t="str">
        <f t="shared" si="32"/>
        <v/>
      </c>
      <c r="G151" s="124"/>
      <c r="Q151" s="161"/>
      <c r="S151" s="161">
        <v>34</v>
      </c>
      <c r="T151" s="43" t="str">
        <f t="shared" si="21"/>
        <v>Begleitheizbänder</v>
      </c>
      <c r="U151" s="45">
        <v>44</v>
      </c>
      <c r="V151" s="1823" t="str">
        <f>Uebersetzung!D244</f>
        <v>Teleriscaldamento (&gt;75% non rinnovabili)</v>
      </c>
      <c r="W151" s="965" t="str">
        <f>Uebersetzung!D199</f>
        <v>Teleriscaldamento (&gt;75% di energie non rinnovabili)</v>
      </c>
      <c r="X151" s="964">
        <v>1</v>
      </c>
      <c r="Y151" s="964">
        <v>1</v>
      </c>
      <c r="Z151" s="964">
        <v>1</v>
      </c>
      <c r="AA151" s="1047">
        <v>1</v>
      </c>
      <c r="AB151" s="1048">
        <v>1</v>
      </c>
      <c r="AC151" s="1047">
        <v>11</v>
      </c>
      <c r="AD151" s="1046" t="str">
        <f>AD118</f>
        <v>L'elettricità per la PdC ha un fattore di ponderazione g=2</v>
      </c>
      <c r="AE151" s="1046"/>
      <c r="AF151" s="1047" t="b">
        <v>0</v>
      </c>
      <c r="AG151" s="1047" t="b">
        <v>0</v>
      </c>
      <c r="AH151" s="1047" t="b">
        <v>0</v>
      </c>
      <c r="AI151" s="1047" t="b">
        <v>0</v>
      </c>
      <c r="AJ151" s="1047" t="b">
        <v>0</v>
      </c>
      <c r="AK151" s="1046">
        <f t="shared" si="20"/>
        <v>34</v>
      </c>
      <c r="AL151" s="1045">
        <v>2</v>
      </c>
      <c r="AM151" s="43"/>
      <c r="AN151" s="1473">
        <v>55</v>
      </c>
      <c r="AO151" s="43"/>
      <c r="AP151" s="1490">
        <v>0.36</v>
      </c>
      <c r="AQ151" s="53"/>
      <c r="AR151" s="43"/>
      <c r="AS151" s="1847">
        <v>0.1</v>
      </c>
      <c r="AT151" s="53"/>
      <c r="AU151" s="124" t="b">
        <v>0</v>
      </c>
    </row>
    <row r="152" spans="1:95">
      <c r="A152" s="91" t="str">
        <f t="shared" si="32"/>
        <v>Luzern</v>
      </c>
      <c r="B152" s="91" t="str">
        <f t="shared" si="32"/>
        <v/>
      </c>
      <c r="C152" s="91" t="str">
        <f t="shared" si="32"/>
        <v/>
      </c>
      <c r="D152" s="91" t="str">
        <f t="shared" si="32"/>
        <v/>
      </c>
      <c r="E152" s="91" t="str">
        <f t="shared" si="32"/>
        <v/>
      </c>
      <c r="F152" s="91" t="str">
        <f t="shared" si="32"/>
        <v/>
      </c>
      <c r="G152" s="124"/>
      <c r="Q152" s="161"/>
      <c r="S152" s="161">
        <v>47</v>
      </c>
      <c r="T152" s="43" t="str">
        <f t="shared" si="21"/>
        <v>Pompa di calore a gas, solo riscaldamento</v>
      </c>
      <c r="U152" s="45">
        <v>45</v>
      </c>
      <c r="V152" s="1823" t="str">
        <f>Uebersetzung!D245</f>
        <v>Teleriscaldamento (&lt;=75% non rinnovabili)</v>
      </c>
      <c r="W152" s="965" t="str">
        <f>Uebersetzung!D200</f>
        <v>Teleriscaldamento (&lt;=75% di energie non rinnovabili)</v>
      </c>
      <c r="X152" s="964">
        <v>1</v>
      </c>
      <c r="Y152" s="964">
        <v>1</v>
      </c>
      <c r="Z152" s="964">
        <v>0.8</v>
      </c>
      <c r="AA152" s="1047">
        <v>1</v>
      </c>
      <c r="AB152" s="1048">
        <v>1</v>
      </c>
      <c r="AC152" s="1047">
        <v>13</v>
      </c>
      <c r="AD152" s="1046" t="str">
        <f>AD118</f>
        <v>L'elettricità per la PdC ha un fattore di ponderazione g=2</v>
      </c>
      <c r="AE152" s="1046"/>
      <c r="AF152" s="1047" t="b">
        <v>0</v>
      </c>
      <c r="AG152" s="1047" t="b">
        <v>0</v>
      </c>
      <c r="AH152" s="1047" t="b">
        <v>0</v>
      </c>
      <c r="AI152" s="1047" t="b">
        <v>0</v>
      </c>
      <c r="AJ152" s="1047" t="b">
        <v>0</v>
      </c>
      <c r="AK152" s="1046">
        <f t="shared" si="20"/>
        <v>47</v>
      </c>
      <c r="AL152" s="1045">
        <v>2</v>
      </c>
      <c r="AM152" s="43"/>
      <c r="AN152" s="1473">
        <v>56</v>
      </c>
      <c r="AO152" s="43"/>
      <c r="AP152" s="1490">
        <v>0.16200000000000001</v>
      </c>
      <c r="AQ152" s="53"/>
      <c r="AR152" s="43"/>
      <c r="AS152" s="1847">
        <v>0.4</v>
      </c>
      <c r="AT152" s="53"/>
      <c r="AU152" s="124" t="b">
        <v>0</v>
      </c>
    </row>
    <row r="153" spans="1:95">
      <c r="A153" s="91" t="str">
        <f t="shared" si="32"/>
        <v>Zürich SMA</v>
      </c>
      <c r="B153" s="91" t="str">
        <f t="shared" si="32"/>
        <v/>
      </c>
      <c r="C153" s="91" t="str">
        <f t="shared" si="32"/>
        <v/>
      </c>
      <c r="D153" s="91" t="str">
        <f t="shared" si="32"/>
        <v/>
      </c>
      <c r="E153" s="91" t="str">
        <f t="shared" si="32"/>
        <v/>
      </c>
      <c r="F153" s="91" t="str">
        <f t="shared" si="32"/>
        <v/>
      </c>
      <c r="G153" s="124"/>
      <c r="Q153" s="161"/>
      <c r="S153" s="161">
        <v>48</v>
      </c>
      <c r="T153" s="43" t="str">
        <f t="shared" si="21"/>
        <v>Pompa di calore a gas, solo acqua calda</v>
      </c>
      <c r="U153" s="45">
        <v>46</v>
      </c>
      <c r="V153" s="965" t="str">
        <f>Uebersetzung!D246</f>
        <v>Teleriscaldamento (&lt;=25% non rinnovabili)</v>
      </c>
      <c r="W153" s="965" t="str">
        <f>Uebersetzung!D201</f>
        <v>Teleriscaldamento (&lt;=25% di energie non rinnovabili)</v>
      </c>
      <c r="X153" s="964">
        <v>1</v>
      </c>
      <c r="Y153" s="964">
        <v>1</v>
      </c>
      <c r="Z153" s="964">
        <v>0.4</v>
      </c>
      <c r="AA153" s="1545">
        <v>1</v>
      </c>
      <c r="AB153" s="1048">
        <v>1</v>
      </c>
      <c r="AC153" s="1047">
        <v>46</v>
      </c>
      <c r="AD153" s="1046" t="str">
        <f>AD118</f>
        <v>L'elettricità per la PdC ha un fattore di ponderazione g=2</v>
      </c>
      <c r="AE153" s="1046"/>
      <c r="AF153" s="1047" t="b">
        <v>0</v>
      </c>
      <c r="AG153" s="1047" t="b">
        <v>0</v>
      </c>
      <c r="AH153" s="1047" t="b">
        <v>0</v>
      </c>
      <c r="AI153" s="1047" t="b">
        <v>0</v>
      </c>
      <c r="AJ153" s="1047" t="b">
        <v>0</v>
      </c>
      <c r="AK153" s="1046">
        <f t="shared" si="20"/>
        <v>48</v>
      </c>
      <c r="AL153" s="1045">
        <v>2</v>
      </c>
      <c r="AM153" s="43"/>
      <c r="AN153" s="1813">
        <v>57</v>
      </c>
      <c r="AO153" s="43"/>
      <c r="AP153" s="1490">
        <v>4.7E-2</v>
      </c>
      <c r="AQ153" s="53"/>
      <c r="AR153" s="43"/>
      <c r="AS153" s="1847">
        <v>0.9</v>
      </c>
      <c r="AT153" s="53"/>
      <c r="AU153" s="124" t="b">
        <v>0</v>
      </c>
    </row>
    <row r="154" spans="1:95">
      <c r="A154" s="91" t="str">
        <f t="shared" si="32"/>
        <v>Vaduz</v>
      </c>
      <c r="B154" s="91" t="str">
        <f t="shared" si="32"/>
        <v>Engelberg</v>
      </c>
      <c r="C154" s="91" t="str">
        <f t="shared" si="32"/>
        <v/>
      </c>
      <c r="D154" s="91" t="str">
        <f t="shared" si="32"/>
        <v/>
      </c>
      <c r="E154" s="91" t="str">
        <f t="shared" si="32"/>
        <v/>
      </c>
      <c r="F154" s="91" t="str">
        <f t="shared" si="32"/>
        <v/>
      </c>
      <c r="G154" s="124"/>
      <c r="Q154" s="161"/>
      <c r="S154" s="161">
        <v>35</v>
      </c>
      <c r="T154" s="43" t="str">
        <f t="shared" si="21"/>
        <v>Altro</v>
      </c>
      <c r="U154" s="45">
        <v>47</v>
      </c>
      <c r="V154" s="53" t="str">
        <f>Uebersetzung!D523</f>
        <v>Pompa di calore a gas, riscaldamento</v>
      </c>
      <c r="W154" s="124" t="str">
        <f>Uebersetzung!D525</f>
        <v>Pompa di calore a gas, solo riscaldamento</v>
      </c>
      <c r="X154" s="250">
        <v>1.3</v>
      </c>
      <c r="Y154" s="250">
        <v>2</v>
      </c>
      <c r="Z154" s="250">
        <v>1</v>
      </c>
      <c r="AA154" s="258"/>
      <c r="AB154" s="1812">
        <v>1</v>
      </c>
      <c r="AC154" s="45">
        <v>47</v>
      </c>
      <c r="AD154" s="458"/>
      <c r="AE154" s="458"/>
      <c r="AF154" s="45" t="b">
        <v>0</v>
      </c>
      <c r="AG154" s="45" t="b">
        <v>0</v>
      </c>
      <c r="AH154" s="45" t="b">
        <v>0</v>
      </c>
      <c r="AI154" s="45" t="b">
        <v>0</v>
      </c>
      <c r="AJ154" s="45" t="b">
        <v>0</v>
      </c>
      <c r="AK154" s="458">
        <f t="shared" ref="AK154:AK155" si="33">S154</f>
        <v>35</v>
      </c>
      <c r="AL154" s="124">
        <v>1</v>
      </c>
      <c r="AM154" s="43"/>
      <c r="AN154" s="1545">
        <v>59</v>
      </c>
      <c r="AO154" s="43"/>
      <c r="AP154" s="1490">
        <v>0.249</v>
      </c>
      <c r="AQ154" s="53"/>
      <c r="AR154" s="43"/>
      <c r="AS154" s="359">
        <v>0</v>
      </c>
      <c r="AT154" s="53"/>
      <c r="AU154" s="124" t="b">
        <v>0</v>
      </c>
    </row>
    <row r="155" spans="1:95">
      <c r="A155" s="124"/>
      <c r="B155" s="124"/>
      <c r="C155" s="124"/>
      <c r="D155" s="124"/>
      <c r="E155" s="124"/>
      <c r="F155" s="124"/>
      <c r="G155" s="124"/>
      <c r="Q155" s="161"/>
      <c r="S155" s="161">
        <v>36</v>
      </c>
      <c r="T155" s="43" t="str">
        <f t="shared" si="21"/>
        <v>Riporto</v>
      </c>
      <c r="U155" s="49">
        <v>48</v>
      </c>
      <c r="V155" s="147" t="str">
        <f>Uebersetzung!D524</f>
        <v>Pompa di calore a gas, acqua calda sanitaria</v>
      </c>
      <c r="W155" s="147" t="str">
        <f>Uebersetzung!D526</f>
        <v>Pompa di calore a gas, solo acqua calda</v>
      </c>
      <c r="X155" s="251">
        <v>1.3</v>
      </c>
      <c r="Y155" s="251">
        <v>2</v>
      </c>
      <c r="Z155" s="251">
        <v>1</v>
      </c>
      <c r="AA155" s="1828">
        <v>1</v>
      </c>
      <c r="AB155" s="1814"/>
      <c r="AC155" s="49">
        <v>48</v>
      </c>
      <c r="AD155" s="1829"/>
      <c r="AE155" s="1829"/>
      <c r="AF155" s="49" t="b">
        <v>0</v>
      </c>
      <c r="AG155" s="49" t="b">
        <v>0</v>
      </c>
      <c r="AH155" s="49" t="b">
        <v>0</v>
      </c>
      <c r="AI155" s="49" t="b">
        <v>0</v>
      </c>
      <c r="AJ155" s="49" t="b">
        <v>0</v>
      </c>
      <c r="AK155" s="1829">
        <f t="shared" si="33"/>
        <v>36</v>
      </c>
      <c r="AL155" s="147">
        <v>1</v>
      </c>
      <c r="AM155" s="95"/>
      <c r="AN155" s="1548">
        <v>60</v>
      </c>
      <c r="AO155" s="95"/>
      <c r="AP155" s="1491">
        <v>0.249</v>
      </c>
      <c r="AQ155" s="120"/>
      <c r="AR155" s="95"/>
      <c r="AS155" s="360">
        <v>0</v>
      </c>
      <c r="AT155" s="120"/>
      <c r="AU155" s="147" t="b">
        <v>0</v>
      </c>
      <c r="AX155" s="537"/>
      <c r="AY155" s="538"/>
      <c r="AZ155" s="538"/>
      <c r="BA155" s="538"/>
      <c r="BB155" s="538"/>
      <c r="BC155" s="539"/>
    </row>
    <row r="156" spans="1:95">
      <c r="A156" s="808" t="s">
        <v>793</v>
      </c>
      <c r="B156" s="803"/>
      <c r="C156" s="804"/>
      <c r="D156" s="804"/>
      <c r="E156" s="804"/>
      <c r="F156" s="804"/>
      <c r="G156" s="805"/>
      <c r="I156" s="808" t="s">
        <v>793</v>
      </c>
      <c r="J156" s="803"/>
      <c r="K156" s="804"/>
      <c r="L156" s="804"/>
      <c r="M156" s="804"/>
      <c r="N156" s="804"/>
      <c r="O156" s="805"/>
      <c r="Q156" s="808" t="s">
        <v>793</v>
      </c>
      <c r="R156" s="803"/>
      <c r="S156" s="804"/>
      <c r="T156" s="1819"/>
      <c r="U156" s="1819"/>
      <c r="V156" s="1819"/>
      <c r="W156" s="1825"/>
      <c r="Y156" s="1826" t="s">
        <v>793</v>
      </c>
      <c r="Z156" s="1827"/>
      <c r="AA156" s="1819"/>
      <c r="AB156" s="1819"/>
      <c r="AC156" s="1819"/>
      <c r="AD156" s="1819"/>
      <c r="AE156" s="1825"/>
      <c r="AG156" s="1826" t="s">
        <v>793</v>
      </c>
      <c r="AH156" s="1827"/>
      <c r="AI156" s="1819"/>
      <c r="AJ156" s="1819"/>
      <c r="AK156" s="1819"/>
      <c r="AL156" s="1819"/>
      <c r="AM156" s="1825"/>
      <c r="AO156" s="1826" t="s">
        <v>793</v>
      </c>
      <c r="AP156" s="1827"/>
      <c r="AQ156" s="1819"/>
      <c r="AR156" s="1819"/>
      <c r="AS156" s="1819"/>
      <c r="AT156" s="1819"/>
      <c r="AU156" s="1825"/>
      <c r="AW156" s="808" t="s">
        <v>793</v>
      </c>
      <c r="AX156" s="803"/>
      <c r="AY156" s="804"/>
      <c r="AZ156" s="804"/>
      <c r="BA156" s="804"/>
      <c r="BB156" s="804"/>
      <c r="BC156" s="805"/>
      <c r="BE156" s="808" t="s">
        <v>793</v>
      </c>
      <c r="BF156" s="803"/>
      <c r="BG156" s="804"/>
      <c r="BH156" s="804"/>
      <c r="BI156" s="804"/>
      <c r="BJ156" s="804"/>
      <c r="BK156" s="805"/>
      <c r="BM156" s="808" t="s">
        <v>793</v>
      </c>
      <c r="BN156" s="803"/>
      <c r="BO156" s="804"/>
      <c r="BP156" s="804"/>
      <c r="BQ156" s="804"/>
      <c r="BR156" s="804"/>
      <c r="BS156" s="805"/>
      <c r="BU156" s="808" t="s">
        <v>793</v>
      </c>
      <c r="BV156" s="803"/>
      <c r="BW156" s="804"/>
      <c r="BX156" s="804"/>
      <c r="BY156" s="804"/>
      <c r="BZ156" s="804"/>
      <c r="CA156" s="805"/>
      <c r="CC156" s="808" t="s">
        <v>793</v>
      </c>
      <c r="CD156" s="803"/>
      <c r="CE156" s="804"/>
      <c r="CF156" s="804"/>
      <c r="CG156" s="804"/>
      <c r="CH156" s="804"/>
      <c r="CI156" s="805"/>
      <c r="CK156" s="808" t="s">
        <v>793</v>
      </c>
      <c r="CL156" s="803"/>
      <c r="CM156" s="804"/>
      <c r="CN156" s="804"/>
      <c r="CO156" s="804"/>
      <c r="CP156" s="804"/>
      <c r="CQ156" s="805"/>
    </row>
    <row r="157" spans="1:95">
      <c r="A157" s="809" t="s">
        <v>332</v>
      </c>
      <c r="B157" s="801" t="s">
        <v>792</v>
      </c>
      <c r="C157" s="802"/>
      <c r="D157" s="802"/>
      <c r="E157" s="802"/>
      <c r="F157" s="802"/>
      <c r="G157" s="810">
        <f>INDEX(A158:G158,1,Klima)</f>
        <v>0</v>
      </c>
      <c r="I157" s="809" t="s">
        <v>333</v>
      </c>
      <c r="J157" s="801" t="s">
        <v>792</v>
      </c>
      <c r="K157" s="802"/>
      <c r="L157" s="802"/>
      <c r="M157" s="802"/>
      <c r="N157" s="802"/>
      <c r="O157" s="810">
        <f>INDEX(I158:O158,1,Klima)</f>
        <v>0</v>
      </c>
      <c r="Q157" s="809" t="s">
        <v>1</v>
      </c>
      <c r="R157" s="801" t="s">
        <v>792</v>
      </c>
      <c r="S157" s="802"/>
      <c r="T157" s="802"/>
      <c r="U157" s="802"/>
      <c r="V157" s="802"/>
      <c r="W157" s="810">
        <f>INDEX(Q158:W158,1,Klima)</f>
        <v>0</v>
      </c>
      <c r="Y157" s="809" t="s">
        <v>2</v>
      </c>
      <c r="Z157" s="801" t="s">
        <v>792</v>
      </c>
      <c r="AA157" s="802"/>
      <c r="AB157" s="802"/>
      <c r="AC157" s="802"/>
      <c r="AD157" s="802"/>
      <c r="AE157" s="810">
        <f>INDEX(Y158:AE158,1,Klima)</f>
        <v>0</v>
      </c>
      <c r="AG157" s="809" t="s">
        <v>237</v>
      </c>
      <c r="AH157" s="801" t="s">
        <v>792</v>
      </c>
      <c r="AI157" s="802"/>
      <c r="AJ157" s="802"/>
      <c r="AK157" s="802"/>
      <c r="AL157" s="802"/>
      <c r="AM157" s="810">
        <f>INDEX(AG158:AM158,1,Klima)</f>
        <v>0</v>
      </c>
      <c r="AO157" s="809" t="s">
        <v>794</v>
      </c>
      <c r="AP157" s="801" t="s">
        <v>792</v>
      </c>
      <c r="AQ157" s="802"/>
      <c r="AR157" s="802"/>
      <c r="AS157" s="802"/>
      <c r="AT157" s="802"/>
      <c r="AU157" s="810">
        <f>INDEX(AO158:AU158,1,Klima)</f>
        <v>0</v>
      </c>
      <c r="AW157" s="809" t="s">
        <v>795</v>
      </c>
      <c r="AX157" s="801" t="s">
        <v>792</v>
      </c>
      <c r="AY157" s="802"/>
      <c r="AZ157" s="802"/>
      <c r="BA157" s="802"/>
      <c r="BB157" s="802"/>
      <c r="BC157" s="810">
        <f>INDEX(AW158:BC158,1,Klima)</f>
        <v>0</v>
      </c>
      <c r="BE157" s="809" t="s">
        <v>796</v>
      </c>
      <c r="BF157" s="801" t="s">
        <v>792</v>
      </c>
      <c r="BG157" s="802"/>
      <c r="BH157" s="802"/>
      <c r="BI157" s="802"/>
      <c r="BJ157" s="802"/>
      <c r="BK157" s="810">
        <f>INDEX(BE158:BK158,1,Klima)</f>
        <v>0</v>
      </c>
      <c r="BM157" s="809" t="s">
        <v>492</v>
      </c>
      <c r="BN157" s="801" t="s">
        <v>792</v>
      </c>
      <c r="BO157" s="802"/>
      <c r="BP157" s="802"/>
      <c r="BQ157" s="802"/>
      <c r="BR157" s="802"/>
      <c r="BS157" s="810">
        <f>INDEX(BM158:BS158,1,Klima)</f>
        <v>0</v>
      </c>
      <c r="BU157" s="809" t="s">
        <v>239</v>
      </c>
      <c r="BV157" s="801" t="s">
        <v>792</v>
      </c>
      <c r="BW157" s="802"/>
      <c r="BX157" s="802"/>
      <c r="BY157" s="802"/>
      <c r="BZ157" s="802"/>
      <c r="CA157" s="810">
        <f>INDEX(BU158:CA158,1,Klima)</f>
        <v>0</v>
      </c>
      <c r="CC157" s="809" t="s">
        <v>797</v>
      </c>
      <c r="CD157" s="801" t="s">
        <v>792</v>
      </c>
      <c r="CE157" s="802"/>
      <c r="CF157" s="802"/>
      <c r="CG157" s="802"/>
      <c r="CH157" s="802"/>
      <c r="CI157" s="810">
        <f>INDEX(CC158:CI158,1,Klima)</f>
        <v>0</v>
      </c>
      <c r="CK157" s="809" t="s">
        <v>798</v>
      </c>
      <c r="CL157" s="801" t="s">
        <v>792</v>
      </c>
      <c r="CM157" s="802"/>
      <c r="CN157" s="802"/>
      <c r="CO157" s="802"/>
      <c r="CP157" s="802"/>
      <c r="CQ157" s="810">
        <f>INDEX(CK158:CQ158,1,Klima)</f>
        <v>0</v>
      </c>
    </row>
    <row r="158" spans="1:95">
      <c r="A158" s="806">
        <v>0</v>
      </c>
      <c r="B158" s="807">
        <f t="shared" ref="B158:G158" si="34">IF(Kanton&gt;1,INDEX(B159:B187,Kanton,1),0)</f>
        <v>0</v>
      </c>
      <c r="C158" s="807">
        <f t="shared" si="34"/>
        <v>0</v>
      </c>
      <c r="D158" s="807">
        <f t="shared" si="34"/>
        <v>0</v>
      </c>
      <c r="E158" s="807">
        <f t="shared" si="34"/>
        <v>0</v>
      </c>
      <c r="F158" s="807">
        <f t="shared" si="34"/>
        <v>0</v>
      </c>
      <c r="G158" s="811">
        <f t="shared" si="34"/>
        <v>0</v>
      </c>
      <c r="I158" s="799">
        <v>0</v>
      </c>
      <c r="J158" s="800">
        <f t="shared" ref="J158:O158" si="35">IF(Kanton&gt;1,INDEX(J159:J187,Kanton,1),0)</f>
        <v>0</v>
      </c>
      <c r="K158" s="800">
        <f t="shared" si="35"/>
        <v>0</v>
      </c>
      <c r="L158" s="800">
        <f t="shared" si="35"/>
        <v>0</v>
      </c>
      <c r="M158" s="800">
        <f t="shared" si="35"/>
        <v>0</v>
      </c>
      <c r="N158" s="800">
        <f t="shared" si="35"/>
        <v>0</v>
      </c>
      <c r="O158" s="800">
        <f t="shared" si="35"/>
        <v>0</v>
      </c>
      <c r="Q158" s="799">
        <v>0</v>
      </c>
      <c r="R158" s="800">
        <f t="shared" ref="R158:W158" si="36">IF(Kanton&gt;1,INDEX(R159:R187,Kanton,1),0)</f>
        <v>0</v>
      </c>
      <c r="S158" s="800">
        <f t="shared" si="36"/>
        <v>0</v>
      </c>
      <c r="T158" s="800">
        <f t="shared" si="36"/>
        <v>0</v>
      </c>
      <c r="U158" s="800">
        <f t="shared" si="36"/>
        <v>0</v>
      </c>
      <c r="V158" s="800">
        <f t="shared" si="36"/>
        <v>0</v>
      </c>
      <c r="W158" s="800">
        <f t="shared" si="36"/>
        <v>0</v>
      </c>
      <c r="Y158" s="799">
        <v>0</v>
      </c>
      <c r="Z158" s="800">
        <f t="shared" ref="Z158:AE158" si="37">IF(Kanton&gt;1,INDEX(Z159:Z187,Kanton,1),0)</f>
        <v>0</v>
      </c>
      <c r="AA158" s="800">
        <f t="shared" si="37"/>
        <v>0</v>
      </c>
      <c r="AB158" s="800">
        <f t="shared" si="37"/>
        <v>0</v>
      </c>
      <c r="AC158" s="800">
        <f t="shared" si="37"/>
        <v>0</v>
      </c>
      <c r="AD158" s="800">
        <f t="shared" si="37"/>
        <v>0</v>
      </c>
      <c r="AE158" s="800">
        <f t="shared" si="37"/>
        <v>0</v>
      </c>
      <c r="AG158" s="799">
        <v>0</v>
      </c>
      <c r="AH158" s="800">
        <f t="shared" ref="AH158:AM158" si="38">IF(Kanton&gt;1,INDEX(AH159:AH187,Kanton,1),0)</f>
        <v>0</v>
      </c>
      <c r="AI158" s="800">
        <f t="shared" si="38"/>
        <v>0</v>
      </c>
      <c r="AJ158" s="800">
        <f t="shared" si="38"/>
        <v>0</v>
      </c>
      <c r="AK158" s="800">
        <f t="shared" si="38"/>
        <v>0</v>
      </c>
      <c r="AL158" s="800">
        <f t="shared" si="38"/>
        <v>0</v>
      </c>
      <c r="AM158" s="800">
        <f t="shared" si="38"/>
        <v>0</v>
      </c>
      <c r="AO158" s="799">
        <v>0</v>
      </c>
      <c r="AP158" s="800">
        <f t="shared" ref="AP158:AU158" si="39">IF(Kanton&gt;1,INDEX(AP159:AP187,Kanton,1),0)</f>
        <v>0</v>
      </c>
      <c r="AQ158" s="800">
        <f t="shared" si="39"/>
        <v>0</v>
      </c>
      <c r="AR158" s="800">
        <f t="shared" si="39"/>
        <v>0</v>
      </c>
      <c r="AS158" s="800">
        <f t="shared" si="39"/>
        <v>0</v>
      </c>
      <c r="AT158" s="800">
        <f t="shared" si="39"/>
        <v>0</v>
      </c>
      <c r="AU158" s="800">
        <f t="shared" si="39"/>
        <v>0</v>
      </c>
      <c r="AW158" s="799">
        <v>0</v>
      </c>
      <c r="AX158" s="800">
        <f t="shared" ref="AX158:BC158" si="40">IF(Kanton&gt;1,INDEX(AX159:AX187,Kanton,1),0)</f>
        <v>0</v>
      </c>
      <c r="AY158" s="800">
        <f t="shared" si="40"/>
        <v>0</v>
      </c>
      <c r="AZ158" s="800">
        <f t="shared" si="40"/>
        <v>0</v>
      </c>
      <c r="BA158" s="800">
        <f t="shared" si="40"/>
        <v>0</v>
      </c>
      <c r="BB158" s="800">
        <f t="shared" si="40"/>
        <v>0</v>
      </c>
      <c r="BC158" s="800">
        <f t="shared" si="40"/>
        <v>0</v>
      </c>
      <c r="BE158" s="799">
        <v>0</v>
      </c>
      <c r="BF158" s="800">
        <f t="shared" ref="BF158:BK158" si="41">IF(Kanton&gt;1,INDEX(BF159:BF187,Kanton,1),0)</f>
        <v>0</v>
      </c>
      <c r="BG158" s="800">
        <f t="shared" si="41"/>
        <v>0</v>
      </c>
      <c r="BH158" s="800">
        <f t="shared" si="41"/>
        <v>0</v>
      </c>
      <c r="BI158" s="800">
        <f t="shared" si="41"/>
        <v>0</v>
      </c>
      <c r="BJ158" s="800">
        <f t="shared" si="41"/>
        <v>0</v>
      </c>
      <c r="BK158" s="800">
        <f t="shared" si="41"/>
        <v>0</v>
      </c>
      <c r="BM158" s="799">
        <v>0</v>
      </c>
      <c r="BN158" s="800">
        <f t="shared" ref="BN158:BS158" si="42">IF(Kanton&gt;1,INDEX(BN159:BN187,Kanton,1),0)</f>
        <v>0</v>
      </c>
      <c r="BO158" s="800">
        <f t="shared" si="42"/>
        <v>0</v>
      </c>
      <c r="BP158" s="800">
        <f t="shared" si="42"/>
        <v>0</v>
      </c>
      <c r="BQ158" s="800">
        <f t="shared" si="42"/>
        <v>0</v>
      </c>
      <c r="BR158" s="800">
        <f t="shared" si="42"/>
        <v>0</v>
      </c>
      <c r="BS158" s="800">
        <f t="shared" si="42"/>
        <v>0</v>
      </c>
      <c r="BU158" s="799">
        <v>0</v>
      </c>
      <c r="BV158" s="800">
        <f t="shared" ref="BV158:CA158" si="43">IF(Kanton&gt;1,INDEX(BV159:BV187,Kanton,1),0)</f>
        <v>0</v>
      </c>
      <c r="BW158" s="800">
        <f t="shared" si="43"/>
        <v>0</v>
      </c>
      <c r="BX158" s="800">
        <f t="shared" si="43"/>
        <v>0</v>
      </c>
      <c r="BY158" s="800">
        <f t="shared" si="43"/>
        <v>0</v>
      </c>
      <c r="BZ158" s="800">
        <f t="shared" si="43"/>
        <v>0</v>
      </c>
      <c r="CA158" s="800">
        <f t="shared" si="43"/>
        <v>0</v>
      </c>
      <c r="CC158" s="799">
        <v>0</v>
      </c>
      <c r="CD158" s="800">
        <f t="shared" ref="CD158:CI158" si="44">IF(Kanton&gt;1,INDEX(CD159:CD187,Kanton,1),0)</f>
        <v>0</v>
      </c>
      <c r="CE158" s="800">
        <f t="shared" si="44"/>
        <v>0</v>
      </c>
      <c r="CF158" s="800">
        <f t="shared" si="44"/>
        <v>0</v>
      </c>
      <c r="CG158" s="800">
        <f t="shared" si="44"/>
        <v>0</v>
      </c>
      <c r="CH158" s="800">
        <f t="shared" si="44"/>
        <v>0</v>
      </c>
      <c r="CI158" s="800">
        <f t="shared" si="44"/>
        <v>0</v>
      </c>
      <c r="CK158" s="799">
        <v>0</v>
      </c>
      <c r="CL158" s="800">
        <f t="shared" ref="CL158:CQ158" si="45">IF(Kanton&gt;1,INDEX(CL159:CL187,Kanton,1),0)</f>
        <v>0</v>
      </c>
      <c r="CM158" s="800">
        <f t="shared" si="45"/>
        <v>0</v>
      </c>
      <c r="CN158" s="800">
        <f t="shared" si="45"/>
        <v>0</v>
      </c>
      <c r="CO158" s="800">
        <f t="shared" si="45"/>
        <v>0</v>
      </c>
      <c r="CP158" s="800">
        <f t="shared" si="45"/>
        <v>0</v>
      </c>
      <c r="CQ158" s="800">
        <f t="shared" si="45"/>
        <v>0</v>
      </c>
    </row>
    <row r="159" spans="1:95">
      <c r="A159" s="542" t="s">
        <v>199</v>
      </c>
      <c r="B159" s="545"/>
      <c r="C159" s="545"/>
      <c r="D159" s="545"/>
      <c r="E159" s="90"/>
      <c r="F159" s="40"/>
      <c r="G159" s="40"/>
      <c r="I159" s="542" t="s">
        <v>199</v>
      </c>
      <c r="J159" s="545"/>
      <c r="K159" s="545"/>
      <c r="L159" s="545"/>
      <c r="M159" s="90"/>
      <c r="N159" s="40"/>
      <c r="O159" s="40"/>
      <c r="Q159" s="542" t="s">
        <v>199</v>
      </c>
      <c r="R159" s="545"/>
      <c r="S159" s="545"/>
      <c r="T159" s="545"/>
      <c r="U159" s="90"/>
      <c r="V159" s="40"/>
      <c r="W159" s="40"/>
      <c r="Y159" s="542" t="s">
        <v>199</v>
      </c>
      <c r="Z159" s="545"/>
      <c r="AA159" s="545"/>
      <c r="AB159" s="545"/>
      <c r="AC159" s="90"/>
      <c r="AD159" s="40"/>
      <c r="AE159" s="40"/>
      <c r="AG159" s="542" t="s">
        <v>199</v>
      </c>
      <c r="AH159" s="545"/>
      <c r="AI159" s="545"/>
      <c r="AJ159" s="545"/>
      <c r="AK159" s="90"/>
      <c r="AL159" s="40"/>
      <c r="AM159" s="40"/>
      <c r="AO159" s="542" t="s">
        <v>199</v>
      </c>
      <c r="AP159" s="545"/>
      <c r="AQ159" s="545"/>
      <c r="AR159" s="545"/>
      <c r="AS159" s="90"/>
      <c r="AT159" s="40"/>
      <c r="AU159" s="40"/>
      <c r="AW159" s="542" t="s">
        <v>199</v>
      </c>
      <c r="AX159" s="545"/>
      <c r="AY159" s="545"/>
      <c r="AZ159" s="545"/>
      <c r="BA159" s="90"/>
      <c r="BB159" s="40"/>
      <c r="BC159" s="40"/>
      <c r="BE159" s="542" t="s">
        <v>199</v>
      </c>
      <c r="BF159" s="545"/>
      <c r="BG159" s="545"/>
      <c r="BH159" s="545"/>
      <c r="BI159" s="90"/>
      <c r="BJ159" s="40"/>
      <c r="BK159" s="40"/>
      <c r="BM159" s="542" t="s">
        <v>199</v>
      </c>
      <c r="BN159" s="545"/>
      <c r="BO159" s="545"/>
      <c r="BP159" s="545"/>
      <c r="BQ159" s="90"/>
      <c r="BR159" s="40"/>
      <c r="BS159" s="40"/>
      <c r="BU159" s="542" t="s">
        <v>199</v>
      </c>
      <c r="BV159" s="545"/>
      <c r="BW159" s="545"/>
      <c r="BX159" s="545"/>
      <c r="BY159" s="90"/>
      <c r="BZ159" s="40"/>
      <c r="CA159" s="40"/>
      <c r="CC159" s="542" t="s">
        <v>199</v>
      </c>
      <c r="CD159" s="545"/>
      <c r="CE159" s="545"/>
      <c r="CF159" s="545"/>
      <c r="CG159" s="90"/>
      <c r="CH159" s="40"/>
      <c r="CI159" s="40"/>
      <c r="CK159" s="542" t="s">
        <v>199</v>
      </c>
      <c r="CL159" s="545"/>
      <c r="CM159" s="545"/>
      <c r="CN159" s="545"/>
      <c r="CO159" s="90"/>
      <c r="CP159" s="40"/>
      <c r="CQ159" s="40"/>
    </row>
    <row r="160" spans="1:95">
      <c r="A160" s="540" t="s">
        <v>611</v>
      </c>
      <c r="B160" s="798">
        <f>IF(B98&gt;0,INDEX($D$54:$D$94,B98,1),"")</f>
        <v>0</v>
      </c>
      <c r="C160" s="798">
        <f t="shared" ref="C160:G160" si="46">IF(C98&gt;0,INDEX($D$54:$D$94,C98,1),"")</f>
        <v>0</v>
      </c>
      <c r="D160" s="798" t="str">
        <f t="shared" si="46"/>
        <v/>
      </c>
      <c r="E160" s="798" t="str">
        <f t="shared" si="46"/>
        <v/>
      </c>
      <c r="F160" s="798" t="str">
        <f t="shared" si="46"/>
        <v/>
      </c>
      <c r="G160" s="798" t="str">
        <f t="shared" si="46"/>
        <v/>
      </c>
      <c r="I160" s="540" t="s">
        <v>611</v>
      </c>
      <c r="J160" s="798">
        <f>IF(B98&gt;0,INDEX($D$54:$D$94,B98,1),"")</f>
        <v>0</v>
      </c>
      <c r="K160" s="798">
        <f t="shared" ref="K160:O160" si="47">IF(C98&gt;0,INDEX($D$54:$D$94,C98,1),"")</f>
        <v>0</v>
      </c>
      <c r="L160" s="798" t="str">
        <f t="shared" si="47"/>
        <v/>
      </c>
      <c r="M160" s="798" t="str">
        <f t="shared" si="47"/>
        <v/>
      </c>
      <c r="N160" s="798" t="str">
        <f t="shared" si="47"/>
        <v/>
      </c>
      <c r="O160" s="798" t="str">
        <f t="shared" si="47"/>
        <v/>
      </c>
      <c r="Q160" s="540" t="s">
        <v>611</v>
      </c>
      <c r="R160" s="798">
        <f>IF(B98&gt;0,INDEX($D$54:$D$94,B98,1),"")</f>
        <v>0</v>
      </c>
      <c r="S160" s="798">
        <f t="shared" ref="S160:W160" si="48">IF(C98&gt;0,INDEX($D$54:$D$94,C98,1),"")</f>
        <v>0</v>
      </c>
      <c r="T160" s="798" t="str">
        <f t="shared" si="48"/>
        <v/>
      </c>
      <c r="U160" s="798" t="str">
        <f t="shared" si="48"/>
        <v/>
      </c>
      <c r="V160" s="798" t="str">
        <f t="shared" si="48"/>
        <v/>
      </c>
      <c r="W160" s="798" t="str">
        <f t="shared" si="48"/>
        <v/>
      </c>
      <c r="Y160" s="540" t="s">
        <v>611</v>
      </c>
      <c r="Z160" s="798">
        <f>IF(B98&gt;0,INDEX($D$54:$D$94,B98,1),"")</f>
        <v>0</v>
      </c>
      <c r="AA160" s="798">
        <f t="shared" ref="AA160:AE160" si="49">IF(C98&gt;0,INDEX($D$54:$D$94,C98,1),"")</f>
        <v>0</v>
      </c>
      <c r="AB160" s="798" t="str">
        <f t="shared" si="49"/>
        <v/>
      </c>
      <c r="AC160" s="798" t="str">
        <f t="shared" si="49"/>
        <v/>
      </c>
      <c r="AD160" s="798" t="str">
        <f t="shared" si="49"/>
        <v/>
      </c>
      <c r="AE160" s="798" t="str">
        <f t="shared" si="49"/>
        <v/>
      </c>
      <c r="AG160" s="540" t="s">
        <v>611</v>
      </c>
      <c r="AH160" s="798">
        <f>IF(B98&gt;0,INDEX($D$54:$D$94,B98,1),"")</f>
        <v>0</v>
      </c>
      <c r="AI160" s="798">
        <f t="shared" ref="AI160:AM160" si="50">IF(C98&gt;0,INDEX($D$54:$D$94,C98,1),"")</f>
        <v>0</v>
      </c>
      <c r="AJ160" s="798" t="str">
        <f t="shared" si="50"/>
        <v/>
      </c>
      <c r="AK160" s="798" t="str">
        <f t="shared" si="50"/>
        <v/>
      </c>
      <c r="AL160" s="798" t="str">
        <f t="shared" si="50"/>
        <v/>
      </c>
      <c r="AM160" s="798" t="str">
        <f t="shared" si="50"/>
        <v/>
      </c>
      <c r="AO160" s="540" t="s">
        <v>611</v>
      </c>
      <c r="AP160" s="798">
        <f>IF(B98&gt;0,INDEX($D$54:$D$94,B98,1),"")</f>
        <v>0</v>
      </c>
      <c r="AQ160" s="798">
        <f t="shared" ref="AQ160:AU160" si="51">IF(C98&gt;0,INDEX($D$54:$D$94,C98,1),"")</f>
        <v>0</v>
      </c>
      <c r="AR160" s="798" t="str">
        <f t="shared" si="51"/>
        <v/>
      </c>
      <c r="AS160" s="798" t="str">
        <f t="shared" si="51"/>
        <v/>
      </c>
      <c r="AT160" s="798" t="str">
        <f t="shared" si="51"/>
        <v/>
      </c>
      <c r="AU160" s="798" t="str">
        <f t="shared" si="51"/>
        <v/>
      </c>
      <c r="AW160" s="540" t="s">
        <v>611</v>
      </c>
      <c r="AX160" s="798">
        <f>IF(B98&gt;0,INDEX($D$54:$D$94,B98,1),"")</f>
        <v>0</v>
      </c>
      <c r="AY160" s="798">
        <f t="shared" ref="AY160:BC160" si="52">IF(C98&gt;0,INDEX($D$54:$D$94,C98,1),"")</f>
        <v>0</v>
      </c>
      <c r="AZ160" s="798" t="str">
        <f t="shared" si="52"/>
        <v/>
      </c>
      <c r="BA160" s="798" t="str">
        <f t="shared" si="52"/>
        <v/>
      </c>
      <c r="BB160" s="798" t="str">
        <f t="shared" si="52"/>
        <v/>
      </c>
      <c r="BC160" s="798" t="str">
        <f t="shared" si="52"/>
        <v/>
      </c>
      <c r="BE160" s="540" t="s">
        <v>611</v>
      </c>
      <c r="BF160" s="798">
        <f>IF(B98&gt;0,INDEX($D$54:$D$94,B98,1),"")</f>
        <v>0</v>
      </c>
      <c r="BG160" s="798">
        <f t="shared" ref="BG160:BK160" si="53">IF(C98&gt;0,INDEX($D$54:$D$94,C98,1),"")</f>
        <v>0</v>
      </c>
      <c r="BH160" s="798" t="str">
        <f t="shared" si="53"/>
        <v/>
      </c>
      <c r="BI160" s="798" t="str">
        <f t="shared" si="53"/>
        <v/>
      </c>
      <c r="BJ160" s="798" t="str">
        <f t="shared" si="53"/>
        <v/>
      </c>
      <c r="BK160" s="798" t="str">
        <f t="shared" si="53"/>
        <v/>
      </c>
      <c r="BM160" s="540" t="s">
        <v>611</v>
      </c>
      <c r="BN160" s="798">
        <f>IF(B98&gt;0,INDEX($D$54:$D$94,B98,1),"")</f>
        <v>0</v>
      </c>
      <c r="BO160" s="798">
        <f t="shared" ref="BO160:BS160" si="54">IF(C98&gt;0,INDEX($D$54:$D$94,C98,1),"")</f>
        <v>0</v>
      </c>
      <c r="BP160" s="798" t="str">
        <f t="shared" si="54"/>
        <v/>
      </c>
      <c r="BQ160" s="798" t="str">
        <f t="shared" si="54"/>
        <v/>
      </c>
      <c r="BR160" s="798" t="str">
        <f t="shared" si="54"/>
        <v/>
      </c>
      <c r="BS160" s="798" t="str">
        <f t="shared" si="54"/>
        <v/>
      </c>
      <c r="BU160" s="540" t="s">
        <v>611</v>
      </c>
      <c r="BV160" s="798">
        <f>IF(B98&gt;0,INDEX($D$54:$D$94,B98,1),"")</f>
        <v>0</v>
      </c>
      <c r="BW160" s="798">
        <f t="shared" ref="BW160:CA160" si="55">IF(C98&gt;0,INDEX($D$54:$D$94,C98,1),"")</f>
        <v>0</v>
      </c>
      <c r="BX160" s="798" t="str">
        <f t="shared" si="55"/>
        <v/>
      </c>
      <c r="BY160" s="798" t="str">
        <f t="shared" si="55"/>
        <v/>
      </c>
      <c r="BZ160" s="798" t="str">
        <f t="shared" si="55"/>
        <v/>
      </c>
      <c r="CA160" s="798" t="str">
        <f t="shared" si="55"/>
        <v/>
      </c>
      <c r="CC160" s="540" t="s">
        <v>611</v>
      </c>
      <c r="CD160" s="798">
        <f>IF(B98&gt;0,INDEX($D$54:$D$94,B98,1),"")</f>
        <v>0</v>
      </c>
      <c r="CE160" s="798">
        <f t="shared" ref="CE160:CI160" si="56">IF(C98&gt;0,INDEX($D$54:$D$94,C98,1),"")</f>
        <v>0</v>
      </c>
      <c r="CF160" s="798" t="str">
        <f t="shared" si="56"/>
        <v/>
      </c>
      <c r="CG160" s="798" t="str">
        <f t="shared" si="56"/>
        <v/>
      </c>
      <c r="CH160" s="798" t="str">
        <f t="shared" si="56"/>
        <v/>
      </c>
      <c r="CI160" s="798" t="str">
        <f t="shared" si="56"/>
        <v/>
      </c>
      <c r="CK160" s="540" t="s">
        <v>611</v>
      </c>
      <c r="CL160" s="798">
        <f>IF(B98&gt;0,INDEX($D$54:$D$94,B98,1),"")</f>
        <v>0</v>
      </c>
      <c r="CM160" s="798">
        <f t="shared" ref="CM160:CQ160" si="57">IF(C98&gt;0,INDEX($D$54:$D$94,C98,1),"")</f>
        <v>0</v>
      </c>
      <c r="CN160" s="798" t="str">
        <f t="shared" si="57"/>
        <v/>
      </c>
      <c r="CO160" s="798" t="str">
        <f t="shared" si="57"/>
        <v/>
      </c>
      <c r="CP160" s="798" t="str">
        <f t="shared" si="57"/>
        <v/>
      </c>
      <c r="CQ160" s="798" t="str">
        <f t="shared" si="57"/>
        <v/>
      </c>
    </row>
    <row r="161" spans="1:95">
      <c r="A161" s="540" t="s">
        <v>612</v>
      </c>
      <c r="B161" s="798">
        <f t="shared" ref="B161:G161" si="58">IF(B99&gt;0,INDEX($D$54:$D$94,B99,1),"")</f>
        <v>0</v>
      </c>
      <c r="C161" s="798" t="str">
        <f t="shared" si="58"/>
        <v/>
      </c>
      <c r="D161" s="798" t="str">
        <f t="shared" si="58"/>
        <v/>
      </c>
      <c r="E161" s="798" t="str">
        <f t="shared" si="58"/>
        <v/>
      </c>
      <c r="F161" s="798" t="str">
        <f t="shared" si="58"/>
        <v/>
      </c>
      <c r="G161" s="798" t="str">
        <f t="shared" si="58"/>
        <v/>
      </c>
      <c r="I161" s="540" t="s">
        <v>612</v>
      </c>
      <c r="J161" s="798">
        <f t="shared" ref="J161:J186" si="59">IF(B99&gt;0,INDEX($D$54:$D$94,B99,1),"")</f>
        <v>0</v>
      </c>
      <c r="K161" s="798" t="str">
        <f t="shared" ref="K161:K186" si="60">IF(C99&gt;0,INDEX($D$54:$D$94,C99,1),"")</f>
        <v/>
      </c>
      <c r="L161" s="798" t="str">
        <f t="shared" ref="L161:L186" si="61">IF(D99&gt;0,INDEX($D$54:$D$94,D99,1),"")</f>
        <v/>
      </c>
      <c r="M161" s="798" t="str">
        <f t="shared" ref="M161:M186" si="62">IF(E99&gt;0,INDEX($D$54:$D$94,E99,1),"")</f>
        <v/>
      </c>
      <c r="N161" s="798" t="str">
        <f t="shared" ref="N161:N186" si="63">IF(F99&gt;0,INDEX($D$54:$D$94,F99,1),"")</f>
        <v/>
      </c>
      <c r="O161" s="798" t="str">
        <f t="shared" ref="O161:O186" si="64">IF(G99&gt;0,INDEX($D$54:$D$94,G99,1),"")</f>
        <v/>
      </c>
      <c r="Q161" s="540" t="s">
        <v>612</v>
      </c>
      <c r="R161" s="798">
        <f t="shared" ref="R161:R186" si="65">IF(B99&gt;0,INDEX($D$54:$D$94,B99,1),"")</f>
        <v>0</v>
      </c>
      <c r="S161" s="798" t="str">
        <f t="shared" ref="S161:S186" si="66">IF(C99&gt;0,INDEX($D$54:$D$94,C99,1),"")</f>
        <v/>
      </c>
      <c r="T161" s="798" t="str">
        <f t="shared" ref="T161:T186" si="67">IF(D99&gt;0,INDEX($D$54:$D$94,D99,1),"")</f>
        <v/>
      </c>
      <c r="U161" s="798" t="str">
        <f t="shared" ref="U161:U186" si="68">IF(E99&gt;0,INDEX($D$54:$D$94,E99,1),"")</f>
        <v/>
      </c>
      <c r="V161" s="798" t="str">
        <f t="shared" ref="V161:V186" si="69">IF(F99&gt;0,INDEX($D$54:$D$94,F99,1),"")</f>
        <v/>
      </c>
      <c r="W161" s="798" t="str">
        <f t="shared" ref="W161:W186" si="70">IF(G99&gt;0,INDEX($D$54:$D$94,G99,1),"")</f>
        <v/>
      </c>
      <c r="Y161" s="540" t="s">
        <v>612</v>
      </c>
      <c r="Z161" s="798">
        <f t="shared" ref="Z161:Z186" si="71">IF(B99&gt;0,INDEX($D$54:$D$94,B99,1),"")</f>
        <v>0</v>
      </c>
      <c r="AA161" s="798" t="str">
        <f t="shared" ref="AA161:AA186" si="72">IF(C99&gt;0,INDEX($D$54:$D$94,C99,1),"")</f>
        <v/>
      </c>
      <c r="AB161" s="798" t="str">
        <f t="shared" ref="AB161:AB186" si="73">IF(D99&gt;0,INDEX($D$54:$D$94,D99,1),"")</f>
        <v/>
      </c>
      <c r="AC161" s="798" t="str">
        <f t="shared" ref="AC161:AC186" si="74">IF(E99&gt;0,INDEX($D$54:$D$94,E99,1),"")</f>
        <v/>
      </c>
      <c r="AD161" s="798" t="str">
        <f t="shared" ref="AD161:AD186" si="75">IF(F99&gt;0,INDEX($D$54:$D$94,F99,1),"")</f>
        <v/>
      </c>
      <c r="AE161" s="798" t="str">
        <f t="shared" ref="AE161:AE186" si="76">IF(G99&gt;0,INDEX($D$54:$D$94,G99,1),"")</f>
        <v/>
      </c>
      <c r="AG161" s="540" t="s">
        <v>612</v>
      </c>
      <c r="AH161" s="798">
        <f t="shared" ref="AH161:AH186" si="77">IF(B99&gt;0,INDEX($D$54:$D$94,B99,1),"")</f>
        <v>0</v>
      </c>
      <c r="AI161" s="798" t="str">
        <f t="shared" ref="AI161:AI186" si="78">IF(C99&gt;0,INDEX($D$54:$D$94,C99,1),"")</f>
        <v/>
      </c>
      <c r="AJ161" s="798" t="str">
        <f t="shared" ref="AJ161:AJ186" si="79">IF(D99&gt;0,INDEX($D$54:$D$94,D99,1),"")</f>
        <v/>
      </c>
      <c r="AK161" s="798" t="str">
        <f t="shared" ref="AK161:AK186" si="80">IF(E99&gt;0,INDEX($D$54:$D$94,E99,1),"")</f>
        <v/>
      </c>
      <c r="AL161" s="798" t="str">
        <f t="shared" ref="AL161:AL186" si="81">IF(F99&gt;0,INDEX($D$54:$D$94,F99,1),"")</f>
        <v/>
      </c>
      <c r="AM161" s="798" t="str">
        <f t="shared" ref="AM161:AM186" si="82">IF(G99&gt;0,INDEX($D$54:$D$94,G99,1),"")</f>
        <v/>
      </c>
      <c r="AO161" s="540" t="s">
        <v>612</v>
      </c>
      <c r="AP161" s="798">
        <f t="shared" ref="AP161:AP186" si="83">IF(B99&gt;0,INDEX($D$54:$D$94,B99,1),"")</f>
        <v>0</v>
      </c>
      <c r="AQ161" s="798" t="str">
        <f t="shared" ref="AQ161:AQ186" si="84">IF(C99&gt;0,INDEX($D$54:$D$94,C99,1),"")</f>
        <v/>
      </c>
      <c r="AR161" s="798" t="str">
        <f t="shared" ref="AR161:AR186" si="85">IF(D99&gt;0,INDEX($D$54:$D$94,D99,1),"")</f>
        <v/>
      </c>
      <c r="AS161" s="798" t="str">
        <f t="shared" ref="AS161:AS186" si="86">IF(E99&gt;0,INDEX($D$54:$D$94,E99,1),"")</f>
        <v/>
      </c>
      <c r="AT161" s="798" t="str">
        <f t="shared" ref="AT161:AT186" si="87">IF(F99&gt;0,INDEX($D$54:$D$94,F99,1),"")</f>
        <v/>
      </c>
      <c r="AU161" s="798" t="str">
        <f t="shared" ref="AU161:AU186" si="88">IF(G99&gt;0,INDEX($D$54:$D$94,G99,1),"")</f>
        <v/>
      </c>
      <c r="AW161" s="540" t="s">
        <v>612</v>
      </c>
      <c r="AX161" s="798">
        <f t="shared" ref="AX161:AX186" si="89">IF(B99&gt;0,INDEX($D$54:$D$94,B99,1),"")</f>
        <v>0</v>
      </c>
      <c r="AY161" s="798" t="str">
        <f t="shared" ref="AY161:AY186" si="90">IF(C99&gt;0,INDEX($D$54:$D$94,C99,1),"")</f>
        <v/>
      </c>
      <c r="AZ161" s="798" t="str">
        <f t="shared" ref="AZ161:AZ186" si="91">IF(D99&gt;0,INDEX($D$54:$D$94,D99,1),"")</f>
        <v/>
      </c>
      <c r="BA161" s="798" t="str">
        <f t="shared" ref="BA161:BA186" si="92">IF(E99&gt;0,INDEX($D$54:$D$94,E99,1),"")</f>
        <v/>
      </c>
      <c r="BB161" s="798" t="str">
        <f t="shared" ref="BB161:BB186" si="93">IF(F99&gt;0,INDEX($D$54:$D$94,F99,1),"")</f>
        <v/>
      </c>
      <c r="BC161" s="798" t="str">
        <f t="shared" ref="BC161:BC186" si="94">IF(G99&gt;0,INDEX($D$54:$D$94,G99,1),"")</f>
        <v/>
      </c>
      <c r="BE161" s="540" t="s">
        <v>612</v>
      </c>
      <c r="BF161" s="798">
        <f t="shared" ref="BF161:BF186" si="95">IF(B99&gt;0,INDEX($D$54:$D$94,B99,1),"")</f>
        <v>0</v>
      </c>
      <c r="BG161" s="798" t="str">
        <f t="shared" ref="BG161:BG186" si="96">IF(C99&gt;0,INDEX($D$54:$D$94,C99,1),"")</f>
        <v/>
      </c>
      <c r="BH161" s="798" t="str">
        <f t="shared" ref="BH161:BH186" si="97">IF(D99&gt;0,INDEX($D$54:$D$94,D99,1),"")</f>
        <v/>
      </c>
      <c r="BI161" s="798" t="str">
        <f t="shared" ref="BI161:BI186" si="98">IF(E99&gt;0,INDEX($D$54:$D$94,E99,1),"")</f>
        <v/>
      </c>
      <c r="BJ161" s="798" t="str">
        <f t="shared" ref="BJ161:BJ186" si="99">IF(F99&gt;0,INDEX($D$54:$D$94,F99,1),"")</f>
        <v/>
      </c>
      <c r="BK161" s="798" t="str">
        <f t="shared" ref="BK161:BK186" si="100">IF(G99&gt;0,INDEX($D$54:$D$94,G99,1),"")</f>
        <v/>
      </c>
      <c r="BM161" s="540" t="s">
        <v>612</v>
      </c>
      <c r="BN161" s="798">
        <f t="shared" ref="BN161:BN186" si="101">IF(B99&gt;0,INDEX($D$54:$D$94,B99,1),"")</f>
        <v>0</v>
      </c>
      <c r="BO161" s="798" t="str">
        <f t="shared" ref="BO161:BO186" si="102">IF(C99&gt;0,INDEX($D$54:$D$94,C99,1),"")</f>
        <v/>
      </c>
      <c r="BP161" s="798" t="str">
        <f t="shared" ref="BP161:BP186" si="103">IF(D99&gt;0,INDEX($D$54:$D$94,D99,1),"")</f>
        <v/>
      </c>
      <c r="BQ161" s="798" t="str">
        <f t="shared" ref="BQ161:BQ186" si="104">IF(E99&gt;0,INDEX($D$54:$D$94,E99,1),"")</f>
        <v/>
      </c>
      <c r="BR161" s="798" t="str">
        <f t="shared" ref="BR161:BR186" si="105">IF(F99&gt;0,INDEX($D$54:$D$94,F99,1),"")</f>
        <v/>
      </c>
      <c r="BS161" s="798" t="str">
        <f t="shared" ref="BS161:BS186" si="106">IF(G99&gt;0,INDEX($D$54:$D$94,G99,1),"")</f>
        <v/>
      </c>
      <c r="BU161" s="540" t="s">
        <v>612</v>
      </c>
      <c r="BV161" s="798">
        <f t="shared" ref="BV161:BV186" si="107">IF(B99&gt;0,INDEX($D$54:$D$94,B99,1),"")</f>
        <v>0</v>
      </c>
      <c r="BW161" s="798" t="str">
        <f t="shared" ref="BW161:BW186" si="108">IF(C99&gt;0,INDEX($D$54:$D$94,C99,1),"")</f>
        <v/>
      </c>
      <c r="BX161" s="798" t="str">
        <f t="shared" ref="BX161:BX186" si="109">IF(D99&gt;0,INDEX($D$54:$D$94,D99,1),"")</f>
        <v/>
      </c>
      <c r="BY161" s="798" t="str">
        <f t="shared" ref="BY161:BY186" si="110">IF(E99&gt;0,INDEX($D$54:$D$94,E99,1),"")</f>
        <v/>
      </c>
      <c r="BZ161" s="798" t="str">
        <f t="shared" ref="BZ161:BZ186" si="111">IF(F99&gt;0,INDEX($D$54:$D$94,F99,1),"")</f>
        <v/>
      </c>
      <c r="CA161" s="798" t="str">
        <f t="shared" ref="CA161:CA186" si="112">IF(G99&gt;0,INDEX($D$54:$D$94,G99,1),"")</f>
        <v/>
      </c>
      <c r="CC161" s="540" t="s">
        <v>612</v>
      </c>
      <c r="CD161" s="798">
        <f t="shared" ref="CD161:CD186" si="113">IF(B99&gt;0,INDEX($D$54:$D$94,B99,1),"")</f>
        <v>0</v>
      </c>
      <c r="CE161" s="798" t="str">
        <f t="shared" ref="CE161:CE186" si="114">IF(C99&gt;0,INDEX($D$54:$D$94,C99,1),"")</f>
        <v/>
      </c>
      <c r="CF161" s="798" t="str">
        <f t="shared" ref="CF161:CF186" si="115">IF(D99&gt;0,INDEX($D$54:$D$94,D99,1),"")</f>
        <v/>
      </c>
      <c r="CG161" s="798" t="str">
        <f t="shared" ref="CG161:CG186" si="116">IF(E99&gt;0,INDEX($D$54:$D$94,E99,1),"")</f>
        <v/>
      </c>
      <c r="CH161" s="798" t="str">
        <f t="shared" ref="CH161:CH186" si="117">IF(F99&gt;0,INDEX($D$54:$D$94,F99,1),"")</f>
        <v/>
      </c>
      <c r="CI161" s="798" t="str">
        <f t="shared" ref="CI161:CI186" si="118">IF(G99&gt;0,INDEX($D$54:$D$94,G99,1),"")</f>
        <v/>
      </c>
      <c r="CK161" s="540" t="s">
        <v>612</v>
      </c>
      <c r="CL161" s="798">
        <f t="shared" ref="CL161:CL186" si="119">IF(B99&gt;0,INDEX($D$54:$D$94,B99,1),"")</f>
        <v>0</v>
      </c>
      <c r="CM161" s="798" t="str">
        <f t="shared" ref="CM161:CM186" si="120">IF(C99&gt;0,INDEX($D$54:$D$94,C99,1),"")</f>
        <v/>
      </c>
      <c r="CN161" s="798" t="str">
        <f t="shared" ref="CN161:CN186" si="121">IF(D99&gt;0,INDEX($D$54:$D$94,D99,1),"")</f>
        <v/>
      </c>
      <c r="CO161" s="798" t="str">
        <f t="shared" ref="CO161:CO186" si="122">IF(E99&gt;0,INDEX($D$54:$D$94,E99,1),"")</f>
        <v/>
      </c>
      <c r="CP161" s="798" t="str">
        <f t="shared" ref="CP161:CP186" si="123">IF(F99&gt;0,INDEX($D$54:$D$94,F99,1),"")</f>
        <v/>
      </c>
      <c r="CQ161" s="798" t="str">
        <f t="shared" ref="CQ161:CQ186" si="124">IF(G99&gt;0,INDEX($D$54:$D$94,G99,1),"")</f>
        <v/>
      </c>
    </row>
    <row r="162" spans="1:95">
      <c r="A162" s="540" t="s">
        <v>613</v>
      </c>
      <c r="B162" s="798">
        <f t="shared" ref="B162:G162" si="125">IF(B100&gt;0,INDEX($D$54:$D$94,B100,1),"")</f>
        <v>0</v>
      </c>
      <c r="C162" s="798" t="str">
        <f t="shared" si="125"/>
        <v/>
      </c>
      <c r="D162" s="798" t="str">
        <f t="shared" si="125"/>
        <v/>
      </c>
      <c r="E162" s="798" t="str">
        <f t="shared" si="125"/>
        <v/>
      </c>
      <c r="F162" s="798" t="str">
        <f t="shared" si="125"/>
        <v/>
      </c>
      <c r="G162" s="798" t="str">
        <f t="shared" si="125"/>
        <v/>
      </c>
      <c r="I162" s="540" t="s">
        <v>613</v>
      </c>
      <c r="J162" s="798">
        <f t="shared" si="59"/>
        <v>0</v>
      </c>
      <c r="K162" s="798" t="str">
        <f t="shared" si="60"/>
        <v/>
      </c>
      <c r="L162" s="798" t="str">
        <f t="shared" si="61"/>
        <v/>
      </c>
      <c r="M162" s="798" t="str">
        <f t="shared" si="62"/>
        <v/>
      </c>
      <c r="N162" s="798" t="str">
        <f t="shared" si="63"/>
        <v/>
      </c>
      <c r="O162" s="798" t="str">
        <f t="shared" si="64"/>
        <v/>
      </c>
      <c r="Q162" s="540" t="s">
        <v>613</v>
      </c>
      <c r="R162" s="798">
        <f t="shared" si="65"/>
        <v>0</v>
      </c>
      <c r="S162" s="798" t="str">
        <f t="shared" si="66"/>
        <v/>
      </c>
      <c r="T162" s="798" t="str">
        <f t="shared" si="67"/>
        <v/>
      </c>
      <c r="U162" s="798" t="str">
        <f t="shared" si="68"/>
        <v/>
      </c>
      <c r="V162" s="798" t="str">
        <f t="shared" si="69"/>
        <v/>
      </c>
      <c r="W162" s="798" t="str">
        <f t="shared" si="70"/>
        <v/>
      </c>
      <c r="Y162" s="540" t="s">
        <v>613</v>
      </c>
      <c r="Z162" s="798">
        <f t="shared" si="71"/>
        <v>0</v>
      </c>
      <c r="AA162" s="798" t="str">
        <f t="shared" si="72"/>
        <v/>
      </c>
      <c r="AB162" s="798" t="str">
        <f t="shared" si="73"/>
        <v/>
      </c>
      <c r="AC162" s="798" t="str">
        <f t="shared" si="74"/>
        <v/>
      </c>
      <c r="AD162" s="798" t="str">
        <f t="shared" si="75"/>
        <v/>
      </c>
      <c r="AE162" s="798" t="str">
        <f t="shared" si="76"/>
        <v/>
      </c>
      <c r="AG162" s="540" t="s">
        <v>613</v>
      </c>
      <c r="AH162" s="798">
        <f t="shared" si="77"/>
        <v>0</v>
      </c>
      <c r="AI162" s="798" t="str">
        <f t="shared" si="78"/>
        <v/>
      </c>
      <c r="AJ162" s="798" t="str">
        <f t="shared" si="79"/>
        <v/>
      </c>
      <c r="AK162" s="798" t="str">
        <f t="shared" si="80"/>
        <v/>
      </c>
      <c r="AL162" s="798" t="str">
        <f t="shared" si="81"/>
        <v/>
      </c>
      <c r="AM162" s="798" t="str">
        <f t="shared" si="82"/>
        <v/>
      </c>
      <c r="AO162" s="540" t="s">
        <v>613</v>
      </c>
      <c r="AP162" s="798">
        <f t="shared" si="83"/>
        <v>0</v>
      </c>
      <c r="AQ162" s="798" t="str">
        <f t="shared" si="84"/>
        <v/>
      </c>
      <c r="AR162" s="798" t="str">
        <f t="shared" si="85"/>
        <v/>
      </c>
      <c r="AS162" s="798" t="str">
        <f t="shared" si="86"/>
        <v/>
      </c>
      <c r="AT162" s="798" t="str">
        <f t="shared" si="87"/>
        <v/>
      </c>
      <c r="AU162" s="798" t="str">
        <f t="shared" si="88"/>
        <v/>
      </c>
      <c r="AW162" s="540" t="s">
        <v>613</v>
      </c>
      <c r="AX162" s="798">
        <f t="shared" si="89"/>
        <v>0</v>
      </c>
      <c r="AY162" s="798" t="str">
        <f t="shared" si="90"/>
        <v/>
      </c>
      <c r="AZ162" s="798" t="str">
        <f t="shared" si="91"/>
        <v/>
      </c>
      <c r="BA162" s="798" t="str">
        <f t="shared" si="92"/>
        <v/>
      </c>
      <c r="BB162" s="798" t="str">
        <f t="shared" si="93"/>
        <v/>
      </c>
      <c r="BC162" s="798" t="str">
        <f t="shared" si="94"/>
        <v/>
      </c>
      <c r="BE162" s="540" t="s">
        <v>613</v>
      </c>
      <c r="BF162" s="798">
        <f t="shared" si="95"/>
        <v>0</v>
      </c>
      <c r="BG162" s="798" t="str">
        <f t="shared" si="96"/>
        <v/>
      </c>
      <c r="BH162" s="798" t="str">
        <f t="shared" si="97"/>
        <v/>
      </c>
      <c r="BI162" s="798" t="str">
        <f t="shared" si="98"/>
        <v/>
      </c>
      <c r="BJ162" s="798" t="str">
        <f t="shared" si="99"/>
        <v/>
      </c>
      <c r="BK162" s="798" t="str">
        <f t="shared" si="100"/>
        <v/>
      </c>
      <c r="BM162" s="540" t="s">
        <v>613</v>
      </c>
      <c r="BN162" s="798">
        <f t="shared" si="101"/>
        <v>0</v>
      </c>
      <c r="BO162" s="798" t="str">
        <f t="shared" si="102"/>
        <v/>
      </c>
      <c r="BP162" s="798" t="str">
        <f t="shared" si="103"/>
        <v/>
      </c>
      <c r="BQ162" s="798" t="str">
        <f t="shared" si="104"/>
        <v/>
      </c>
      <c r="BR162" s="798" t="str">
        <f t="shared" si="105"/>
        <v/>
      </c>
      <c r="BS162" s="798" t="str">
        <f t="shared" si="106"/>
        <v/>
      </c>
      <c r="BU162" s="540" t="s">
        <v>613</v>
      </c>
      <c r="BV162" s="798">
        <f t="shared" si="107"/>
        <v>0</v>
      </c>
      <c r="BW162" s="798" t="str">
        <f t="shared" si="108"/>
        <v/>
      </c>
      <c r="BX162" s="798" t="str">
        <f t="shared" si="109"/>
        <v/>
      </c>
      <c r="BY162" s="798" t="str">
        <f t="shared" si="110"/>
        <v/>
      </c>
      <c r="BZ162" s="798" t="str">
        <f t="shared" si="111"/>
        <v/>
      </c>
      <c r="CA162" s="798" t="str">
        <f t="shared" si="112"/>
        <v/>
      </c>
      <c r="CC162" s="540" t="s">
        <v>613</v>
      </c>
      <c r="CD162" s="798">
        <f t="shared" si="113"/>
        <v>0</v>
      </c>
      <c r="CE162" s="798" t="str">
        <f t="shared" si="114"/>
        <v/>
      </c>
      <c r="CF162" s="798" t="str">
        <f t="shared" si="115"/>
        <v/>
      </c>
      <c r="CG162" s="798" t="str">
        <f t="shared" si="116"/>
        <v/>
      </c>
      <c r="CH162" s="798" t="str">
        <f t="shared" si="117"/>
        <v/>
      </c>
      <c r="CI162" s="798" t="str">
        <f t="shared" si="118"/>
        <v/>
      </c>
      <c r="CK162" s="540" t="s">
        <v>613</v>
      </c>
      <c r="CL162" s="798">
        <f t="shared" si="119"/>
        <v>0</v>
      </c>
      <c r="CM162" s="798" t="str">
        <f t="shared" si="120"/>
        <v/>
      </c>
      <c r="CN162" s="798" t="str">
        <f t="shared" si="121"/>
        <v/>
      </c>
      <c r="CO162" s="798" t="str">
        <f t="shared" si="122"/>
        <v/>
      </c>
      <c r="CP162" s="798" t="str">
        <f t="shared" si="123"/>
        <v/>
      </c>
      <c r="CQ162" s="798" t="str">
        <f t="shared" si="124"/>
        <v/>
      </c>
    </row>
    <row r="163" spans="1:95">
      <c r="A163" s="540" t="s">
        <v>280</v>
      </c>
      <c r="B163" s="798">
        <f t="shared" ref="B163:G163" si="126">IF(B101&gt;0,INDEX($D$54:$D$94,B101,1),"")</f>
        <v>0</v>
      </c>
      <c r="C163" s="798">
        <f t="shared" si="126"/>
        <v>0</v>
      </c>
      <c r="D163" s="798" t="str">
        <f t="shared" si="126"/>
        <v/>
      </c>
      <c r="E163" s="798" t="str">
        <f t="shared" si="126"/>
        <v/>
      </c>
      <c r="F163" s="798" t="str">
        <f t="shared" si="126"/>
        <v/>
      </c>
      <c r="G163" s="798" t="str">
        <f t="shared" si="126"/>
        <v/>
      </c>
      <c r="I163" s="540" t="s">
        <v>280</v>
      </c>
      <c r="J163" s="798">
        <f t="shared" si="59"/>
        <v>0</v>
      </c>
      <c r="K163" s="798">
        <f t="shared" si="60"/>
        <v>0</v>
      </c>
      <c r="L163" s="798" t="str">
        <f t="shared" si="61"/>
        <v/>
      </c>
      <c r="M163" s="798" t="str">
        <f t="shared" si="62"/>
        <v/>
      </c>
      <c r="N163" s="798" t="str">
        <f t="shared" si="63"/>
        <v/>
      </c>
      <c r="O163" s="798" t="str">
        <f t="shared" si="64"/>
        <v/>
      </c>
      <c r="Q163" s="540" t="s">
        <v>280</v>
      </c>
      <c r="R163" s="798">
        <f t="shared" si="65"/>
        <v>0</v>
      </c>
      <c r="S163" s="798">
        <f t="shared" si="66"/>
        <v>0</v>
      </c>
      <c r="T163" s="798" t="str">
        <f t="shared" si="67"/>
        <v/>
      </c>
      <c r="U163" s="798" t="str">
        <f t="shared" si="68"/>
        <v/>
      </c>
      <c r="V163" s="798" t="str">
        <f t="shared" si="69"/>
        <v/>
      </c>
      <c r="W163" s="798" t="str">
        <f t="shared" si="70"/>
        <v/>
      </c>
      <c r="Y163" s="540" t="s">
        <v>280</v>
      </c>
      <c r="Z163" s="798">
        <f t="shared" si="71"/>
        <v>0</v>
      </c>
      <c r="AA163" s="798">
        <f t="shared" si="72"/>
        <v>0</v>
      </c>
      <c r="AB163" s="798" t="str">
        <f t="shared" si="73"/>
        <v/>
      </c>
      <c r="AC163" s="798" t="str">
        <f t="shared" si="74"/>
        <v/>
      </c>
      <c r="AD163" s="798" t="str">
        <f t="shared" si="75"/>
        <v/>
      </c>
      <c r="AE163" s="798" t="str">
        <f t="shared" si="76"/>
        <v/>
      </c>
      <c r="AG163" s="540" t="s">
        <v>280</v>
      </c>
      <c r="AH163" s="798">
        <f t="shared" si="77"/>
        <v>0</v>
      </c>
      <c r="AI163" s="798">
        <f t="shared" si="78"/>
        <v>0</v>
      </c>
      <c r="AJ163" s="798" t="str">
        <f t="shared" si="79"/>
        <v/>
      </c>
      <c r="AK163" s="798" t="str">
        <f t="shared" si="80"/>
        <v/>
      </c>
      <c r="AL163" s="798" t="str">
        <f t="shared" si="81"/>
        <v/>
      </c>
      <c r="AM163" s="798" t="str">
        <f t="shared" si="82"/>
        <v/>
      </c>
      <c r="AO163" s="540" t="s">
        <v>280</v>
      </c>
      <c r="AP163" s="798">
        <f t="shared" si="83"/>
        <v>0</v>
      </c>
      <c r="AQ163" s="798">
        <f t="shared" si="84"/>
        <v>0</v>
      </c>
      <c r="AR163" s="798" t="str">
        <f t="shared" si="85"/>
        <v/>
      </c>
      <c r="AS163" s="798" t="str">
        <f t="shared" si="86"/>
        <v/>
      </c>
      <c r="AT163" s="798" t="str">
        <f t="shared" si="87"/>
        <v/>
      </c>
      <c r="AU163" s="798" t="str">
        <f t="shared" si="88"/>
        <v/>
      </c>
      <c r="AW163" s="540" t="s">
        <v>280</v>
      </c>
      <c r="AX163" s="798">
        <f t="shared" si="89"/>
        <v>0</v>
      </c>
      <c r="AY163" s="798">
        <f t="shared" si="90"/>
        <v>0</v>
      </c>
      <c r="AZ163" s="798" t="str">
        <f t="shared" si="91"/>
        <v/>
      </c>
      <c r="BA163" s="798" t="str">
        <f t="shared" si="92"/>
        <v/>
      </c>
      <c r="BB163" s="798" t="str">
        <f t="shared" si="93"/>
        <v/>
      </c>
      <c r="BC163" s="798" t="str">
        <f t="shared" si="94"/>
        <v/>
      </c>
      <c r="BE163" s="540" t="s">
        <v>280</v>
      </c>
      <c r="BF163" s="798">
        <f t="shared" si="95"/>
        <v>0</v>
      </c>
      <c r="BG163" s="798">
        <f t="shared" si="96"/>
        <v>0</v>
      </c>
      <c r="BH163" s="798" t="str">
        <f t="shared" si="97"/>
        <v/>
      </c>
      <c r="BI163" s="798" t="str">
        <f t="shared" si="98"/>
        <v/>
      </c>
      <c r="BJ163" s="798" t="str">
        <f t="shared" si="99"/>
        <v/>
      </c>
      <c r="BK163" s="798" t="str">
        <f t="shared" si="100"/>
        <v/>
      </c>
      <c r="BM163" s="540" t="s">
        <v>280</v>
      </c>
      <c r="BN163" s="798">
        <f t="shared" si="101"/>
        <v>0</v>
      </c>
      <c r="BO163" s="798">
        <f t="shared" si="102"/>
        <v>0</v>
      </c>
      <c r="BP163" s="798" t="str">
        <f t="shared" si="103"/>
        <v/>
      </c>
      <c r="BQ163" s="798" t="str">
        <f t="shared" si="104"/>
        <v/>
      </c>
      <c r="BR163" s="798" t="str">
        <f t="shared" si="105"/>
        <v/>
      </c>
      <c r="BS163" s="798" t="str">
        <f t="shared" si="106"/>
        <v/>
      </c>
      <c r="BU163" s="540" t="s">
        <v>280</v>
      </c>
      <c r="BV163" s="798">
        <f t="shared" si="107"/>
        <v>0</v>
      </c>
      <c r="BW163" s="798">
        <f t="shared" si="108"/>
        <v>0</v>
      </c>
      <c r="BX163" s="798" t="str">
        <f t="shared" si="109"/>
        <v/>
      </c>
      <c r="BY163" s="798" t="str">
        <f t="shared" si="110"/>
        <v/>
      </c>
      <c r="BZ163" s="798" t="str">
        <f t="shared" si="111"/>
        <v/>
      </c>
      <c r="CA163" s="798" t="str">
        <f t="shared" si="112"/>
        <v/>
      </c>
      <c r="CC163" s="540" t="s">
        <v>280</v>
      </c>
      <c r="CD163" s="798">
        <f t="shared" si="113"/>
        <v>0</v>
      </c>
      <c r="CE163" s="798">
        <f t="shared" si="114"/>
        <v>0</v>
      </c>
      <c r="CF163" s="798" t="str">
        <f t="shared" si="115"/>
        <v/>
      </c>
      <c r="CG163" s="798" t="str">
        <f t="shared" si="116"/>
        <v/>
      </c>
      <c r="CH163" s="798" t="str">
        <f t="shared" si="117"/>
        <v/>
      </c>
      <c r="CI163" s="798" t="str">
        <f t="shared" si="118"/>
        <v/>
      </c>
      <c r="CK163" s="540" t="s">
        <v>280</v>
      </c>
      <c r="CL163" s="798">
        <f t="shared" si="119"/>
        <v>0</v>
      </c>
      <c r="CM163" s="798">
        <f t="shared" si="120"/>
        <v>0</v>
      </c>
      <c r="CN163" s="798" t="str">
        <f t="shared" si="121"/>
        <v/>
      </c>
      <c r="CO163" s="798" t="str">
        <f t="shared" si="122"/>
        <v/>
      </c>
      <c r="CP163" s="798" t="str">
        <f t="shared" si="123"/>
        <v/>
      </c>
      <c r="CQ163" s="798" t="str">
        <f t="shared" si="124"/>
        <v/>
      </c>
    </row>
    <row r="164" spans="1:95">
      <c r="A164" s="540" t="s">
        <v>614</v>
      </c>
      <c r="B164" s="798">
        <f t="shared" ref="B164:G164" si="127">IF(B102&gt;0,INDEX($D$54:$D$94,B102,1),"")</f>
        <v>0</v>
      </c>
      <c r="C164" s="798" t="str">
        <f t="shared" si="127"/>
        <v/>
      </c>
      <c r="D164" s="798" t="str">
        <f t="shared" si="127"/>
        <v/>
      </c>
      <c r="E164" s="798" t="str">
        <f t="shared" si="127"/>
        <v/>
      </c>
      <c r="F164" s="798" t="str">
        <f t="shared" si="127"/>
        <v/>
      </c>
      <c r="G164" s="798" t="str">
        <f t="shared" si="127"/>
        <v/>
      </c>
      <c r="I164" s="540" t="s">
        <v>614</v>
      </c>
      <c r="J164" s="798">
        <f t="shared" si="59"/>
        <v>0</v>
      </c>
      <c r="K164" s="798" t="str">
        <f t="shared" si="60"/>
        <v/>
      </c>
      <c r="L164" s="798" t="str">
        <f t="shared" si="61"/>
        <v/>
      </c>
      <c r="M164" s="798" t="str">
        <f t="shared" si="62"/>
        <v/>
      </c>
      <c r="N164" s="798" t="str">
        <f t="shared" si="63"/>
        <v/>
      </c>
      <c r="O164" s="798" t="str">
        <f t="shared" si="64"/>
        <v/>
      </c>
      <c r="Q164" s="540" t="s">
        <v>614</v>
      </c>
      <c r="R164" s="798">
        <f t="shared" si="65"/>
        <v>0</v>
      </c>
      <c r="S164" s="798" t="str">
        <f t="shared" si="66"/>
        <v/>
      </c>
      <c r="T164" s="798" t="str">
        <f t="shared" si="67"/>
        <v/>
      </c>
      <c r="U164" s="798" t="str">
        <f t="shared" si="68"/>
        <v/>
      </c>
      <c r="V164" s="798" t="str">
        <f t="shared" si="69"/>
        <v/>
      </c>
      <c r="W164" s="798" t="str">
        <f t="shared" si="70"/>
        <v/>
      </c>
      <c r="Y164" s="540" t="s">
        <v>614</v>
      </c>
      <c r="Z164" s="798">
        <f t="shared" si="71"/>
        <v>0</v>
      </c>
      <c r="AA164" s="798" t="str">
        <f t="shared" si="72"/>
        <v/>
      </c>
      <c r="AB164" s="798" t="str">
        <f t="shared" si="73"/>
        <v/>
      </c>
      <c r="AC164" s="798" t="str">
        <f t="shared" si="74"/>
        <v/>
      </c>
      <c r="AD164" s="798" t="str">
        <f t="shared" si="75"/>
        <v/>
      </c>
      <c r="AE164" s="798" t="str">
        <f t="shared" si="76"/>
        <v/>
      </c>
      <c r="AG164" s="540" t="s">
        <v>614</v>
      </c>
      <c r="AH164" s="798">
        <f t="shared" si="77"/>
        <v>0</v>
      </c>
      <c r="AI164" s="798" t="str">
        <f t="shared" si="78"/>
        <v/>
      </c>
      <c r="AJ164" s="798" t="str">
        <f t="shared" si="79"/>
        <v/>
      </c>
      <c r="AK164" s="798" t="str">
        <f t="shared" si="80"/>
        <v/>
      </c>
      <c r="AL164" s="798" t="str">
        <f t="shared" si="81"/>
        <v/>
      </c>
      <c r="AM164" s="798" t="str">
        <f t="shared" si="82"/>
        <v/>
      </c>
      <c r="AO164" s="540" t="s">
        <v>614</v>
      </c>
      <c r="AP164" s="798">
        <f t="shared" si="83"/>
        <v>0</v>
      </c>
      <c r="AQ164" s="798" t="str">
        <f t="shared" si="84"/>
        <v/>
      </c>
      <c r="AR164" s="798" t="str">
        <f t="shared" si="85"/>
        <v/>
      </c>
      <c r="AS164" s="798" t="str">
        <f t="shared" si="86"/>
        <v/>
      </c>
      <c r="AT164" s="798" t="str">
        <f t="shared" si="87"/>
        <v/>
      </c>
      <c r="AU164" s="798" t="str">
        <f t="shared" si="88"/>
        <v/>
      </c>
      <c r="AW164" s="540" t="s">
        <v>614</v>
      </c>
      <c r="AX164" s="798">
        <f t="shared" si="89"/>
        <v>0</v>
      </c>
      <c r="AY164" s="798" t="str">
        <f t="shared" si="90"/>
        <v/>
      </c>
      <c r="AZ164" s="798" t="str">
        <f t="shared" si="91"/>
        <v/>
      </c>
      <c r="BA164" s="798" t="str">
        <f t="shared" si="92"/>
        <v/>
      </c>
      <c r="BB164" s="798" t="str">
        <f t="shared" si="93"/>
        <v/>
      </c>
      <c r="BC164" s="798" t="str">
        <f t="shared" si="94"/>
        <v/>
      </c>
      <c r="BE164" s="540" t="s">
        <v>614</v>
      </c>
      <c r="BF164" s="798">
        <f t="shared" si="95"/>
        <v>0</v>
      </c>
      <c r="BG164" s="798" t="str">
        <f t="shared" si="96"/>
        <v/>
      </c>
      <c r="BH164" s="798" t="str">
        <f t="shared" si="97"/>
        <v/>
      </c>
      <c r="BI164" s="798" t="str">
        <f t="shared" si="98"/>
        <v/>
      </c>
      <c r="BJ164" s="798" t="str">
        <f t="shared" si="99"/>
        <v/>
      </c>
      <c r="BK164" s="798" t="str">
        <f t="shared" si="100"/>
        <v/>
      </c>
      <c r="BM164" s="540" t="s">
        <v>614</v>
      </c>
      <c r="BN164" s="798">
        <f t="shared" si="101"/>
        <v>0</v>
      </c>
      <c r="BO164" s="798" t="str">
        <f t="shared" si="102"/>
        <v/>
      </c>
      <c r="BP164" s="798" t="str">
        <f t="shared" si="103"/>
        <v/>
      </c>
      <c r="BQ164" s="798" t="str">
        <f t="shared" si="104"/>
        <v/>
      </c>
      <c r="BR164" s="798" t="str">
        <f t="shared" si="105"/>
        <v/>
      </c>
      <c r="BS164" s="798" t="str">
        <f t="shared" si="106"/>
        <v/>
      </c>
      <c r="BU164" s="540" t="s">
        <v>614</v>
      </c>
      <c r="BV164" s="798">
        <f t="shared" si="107"/>
        <v>0</v>
      </c>
      <c r="BW164" s="798" t="str">
        <f t="shared" si="108"/>
        <v/>
      </c>
      <c r="BX164" s="798" t="str">
        <f t="shared" si="109"/>
        <v/>
      </c>
      <c r="BY164" s="798" t="str">
        <f t="shared" si="110"/>
        <v/>
      </c>
      <c r="BZ164" s="798" t="str">
        <f t="shared" si="111"/>
        <v/>
      </c>
      <c r="CA164" s="798" t="str">
        <f t="shared" si="112"/>
        <v/>
      </c>
      <c r="CC164" s="540" t="s">
        <v>614</v>
      </c>
      <c r="CD164" s="798">
        <f t="shared" si="113"/>
        <v>0</v>
      </c>
      <c r="CE164" s="798" t="str">
        <f t="shared" si="114"/>
        <v/>
      </c>
      <c r="CF164" s="798" t="str">
        <f t="shared" si="115"/>
        <v/>
      </c>
      <c r="CG164" s="798" t="str">
        <f t="shared" si="116"/>
        <v/>
      </c>
      <c r="CH164" s="798" t="str">
        <f t="shared" si="117"/>
        <v/>
      </c>
      <c r="CI164" s="798" t="str">
        <f t="shared" si="118"/>
        <v/>
      </c>
      <c r="CK164" s="540" t="s">
        <v>614</v>
      </c>
      <c r="CL164" s="798">
        <f t="shared" si="119"/>
        <v>0</v>
      </c>
      <c r="CM164" s="798" t="str">
        <f t="shared" si="120"/>
        <v/>
      </c>
      <c r="CN164" s="798" t="str">
        <f t="shared" si="121"/>
        <v/>
      </c>
      <c r="CO164" s="798" t="str">
        <f t="shared" si="122"/>
        <v/>
      </c>
      <c r="CP164" s="798" t="str">
        <f t="shared" si="123"/>
        <v/>
      </c>
      <c r="CQ164" s="798" t="str">
        <f t="shared" si="124"/>
        <v/>
      </c>
    </row>
    <row r="165" spans="1:95">
      <c r="A165" s="540" t="s">
        <v>615</v>
      </c>
      <c r="B165" s="798">
        <f t="shared" ref="B165:G165" si="128">IF(B103&gt;0,INDEX($D$54:$D$94,B103,1),"")</f>
        <v>0</v>
      </c>
      <c r="C165" s="798" t="str">
        <f t="shared" si="128"/>
        <v/>
      </c>
      <c r="D165" s="798" t="str">
        <f t="shared" si="128"/>
        <v/>
      </c>
      <c r="E165" s="798" t="str">
        <f t="shared" si="128"/>
        <v/>
      </c>
      <c r="F165" s="798" t="str">
        <f t="shared" si="128"/>
        <v/>
      </c>
      <c r="G165" s="798" t="str">
        <f t="shared" si="128"/>
        <v/>
      </c>
      <c r="I165" s="540" t="s">
        <v>615</v>
      </c>
      <c r="J165" s="798">
        <f t="shared" si="59"/>
        <v>0</v>
      </c>
      <c r="K165" s="798" t="str">
        <f t="shared" si="60"/>
        <v/>
      </c>
      <c r="L165" s="798" t="str">
        <f t="shared" si="61"/>
        <v/>
      </c>
      <c r="M165" s="798" t="str">
        <f t="shared" si="62"/>
        <v/>
      </c>
      <c r="N165" s="798" t="str">
        <f t="shared" si="63"/>
        <v/>
      </c>
      <c r="O165" s="798" t="str">
        <f t="shared" si="64"/>
        <v/>
      </c>
      <c r="Q165" s="540" t="s">
        <v>615</v>
      </c>
      <c r="R165" s="798">
        <f t="shared" si="65"/>
        <v>0</v>
      </c>
      <c r="S165" s="798" t="str">
        <f t="shared" si="66"/>
        <v/>
      </c>
      <c r="T165" s="798" t="str">
        <f t="shared" si="67"/>
        <v/>
      </c>
      <c r="U165" s="798" t="str">
        <f t="shared" si="68"/>
        <v/>
      </c>
      <c r="V165" s="798" t="str">
        <f t="shared" si="69"/>
        <v/>
      </c>
      <c r="W165" s="798" t="str">
        <f t="shared" si="70"/>
        <v/>
      </c>
      <c r="Y165" s="540" t="s">
        <v>615</v>
      </c>
      <c r="Z165" s="798">
        <f t="shared" si="71"/>
        <v>0</v>
      </c>
      <c r="AA165" s="798" t="str">
        <f t="shared" si="72"/>
        <v/>
      </c>
      <c r="AB165" s="798" t="str">
        <f t="shared" si="73"/>
        <v/>
      </c>
      <c r="AC165" s="798" t="str">
        <f t="shared" si="74"/>
        <v/>
      </c>
      <c r="AD165" s="798" t="str">
        <f t="shared" si="75"/>
        <v/>
      </c>
      <c r="AE165" s="798" t="str">
        <f t="shared" si="76"/>
        <v/>
      </c>
      <c r="AG165" s="540" t="s">
        <v>615</v>
      </c>
      <c r="AH165" s="798">
        <f t="shared" si="77"/>
        <v>0</v>
      </c>
      <c r="AI165" s="798" t="str">
        <f t="shared" si="78"/>
        <v/>
      </c>
      <c r="AJ165" s="798" t="str">
        <f t="shared" si="79"/>
        <v/>
      </c>
      <c r="AK165" s="798" t="str">
        <f t="shared" si="80"/>
        <v/>
      </c>
      <c r="AL165" s="798" t="str">
        <f t="shared" si="81"/>
        <v/>
      </c>
      <c r="AM165" s="798" t="str">
        <f t="shared" si="82"/>
        <v/>
      </c>
      <c r="AO165" s="540" t="s">
        <v>615</v>
      </c>
      <c r="AP165" s="798">
        <f t="shared" si="83"/>
        <v>0</v>
      </c>
      <c r="AQ165" s="798" t="str">
        <f t="shared" si="84"/>
        <v/>
      </c>
      <c r="AR165" s="798" t="str">
        <f t="shared" si="85"/>
        <v/>
      </c>
      <c r="AS165" s="798" t="str">
        <f t="shared" si="86"/>
        <v/>
      </c>
      <c r="AT165" s="798" t="str">
        <f t="shared" si="87"/>
        <v/>
      </c>
      <c r="AU165" s="798" t="str">
        <f t="shared" si="88"/>
        <v/>
      </c>
      <c r="AW165" s="540" t="s">
        <v>615</v>
      </c>
      <c r="AX165" s="798">
        <f t="shared" si="89"/>
        <v>0</v>
      </c>
      <c r="AY165" s="798" t="str">
        <f t="shared" si="90"/>
        <v/>
      </c>
      <c r="AZ165" s="798" t="str">
        <f t="shared" si="91"/>
        <v/>
      </c>
      <c r="BA165" s="798" t="str">
        <f t="shared" si="92"/>
        <v/>
      </c>
      <c r="BB165" s="798" t="str">
        <f t="shared" si="93"/>
        <v/>
      </c>
      <c r="BC165" s="798" t="str">
        <f t="shared" si="94"/>
        <v/>
      </c>
      <c r="BE165" s="540" t="s">
        <v>615</v>
      </c>
      <c r="BF165" s="798">
        <f t="shared" si="95"/>
        <v>0</v>
      </c>
      <c r="BG165" s="798" t="str">
        <f t="shared" si="96"/>
        <v/>
      </c>
      <c r="BH165" s="798" t="str">
        <f t="shared" si="97"/>
        <v/>
      </c>
      <c r="BI165" s="798" t="str">
        <f t="shared" si="98"/>
        <v/>
      </c>
      <c r="BJ165" s="798" t="str">
        <f t="shared" si="99"/>
        <v/>
      </c>
      <c r="BK165" s="798" t="str">
        <f t="shared" si="100"/>
        <v/>
      </c>
      <c r="BM165" s="540" t="s">
        <v>615</v>
      </c>
      <c r="BN165" s="798">
        <f t="shared" si="101"/>
        <v>0</v>
      </c>
      <c r="BO165" s="798" t="str">
        <f t="shared" si="102"/>
        <v/>
      </c>
      <c r="BP165" s="798" t="str">
        <f t="shared" si="103"/>
        <v/>
      </c>
      <c r="BQ165" s="798" t="str">
        <f t="shared" si="104"/>
        <v/>
      </c>
      <c r="BR165" s="798" t="str">
        <f t="shared" si="105"/>
        <v/>
      </c>
      <c r="BS165" s="798" t="str">
        <f t="shared" si="106"/>
        <v/>
      </c>
      <c r="BU165" s="540" t="s">
        <v>615</v>
      </c>
      <c r="BV165" s="798">
        <f t="shared" si="107"/>
        <v>0</v>
      </c>
      <c r="BW165" s="798" t="str">
        <f t="shared" si="108"/>
        <v/>
      </c>
      <c r="BX165" s="798" t="str">
        <f t="shared" si="109"/>
        <v/>
      </c>
      <c r="BY165" s="798" t="str">
        <f t="shared" si="110"/>
        <v/>
      </c>
      <c r="BZ165" s="798" t="str">
        <f t="shared" si="111"/>
        <v/>
      </c>
      <c r="CA165" s="798" t="str">
        <f t="shared" si="112"/>
        <v/>
      </c>
      <c r="CC165" s="540" t="s">
        <v>615</v>
      </c>
      <c r="CD165" s="798">
        <f t="shared" si="113"/>
        <v>0</v>
      </c>
      <c r="CE165" s="798" t="str">
        <f t="shared" si="114"/>
        <v/>
      </c>
      <c r="CF165" s="798" t="str">
        <f t="shared" si="115"/>
        <v/>
      </c>
      <c r="CG165" s="798" t="str">
        <f t="shared" si="116"/>
        <v/>
      </c>
      <c r="CH165" s="798" t="str">
        <f t="shared" si="117"/>
        <v/>
      </c>
      <c r="CI165" s="798" t="str">
        <f t="shared" si="118"/>
        <v/>
      </c>
      <c r="CK165" s="540" t="s">
        <v>615</v>
      </c>
      <c r="CL165" s="798">
        <f t="shared" si="119"/>
        <v>0</v>
      </c>
      <c r="CM165" s="798" t="str">
        <f t="shared" si="120"/>
        <v/>
      </c>
      <c r="CN165" s="798" t="str">
        <f t="shared" si="121"/>
        <v/>
      </c>
      <c r="CO165" s="798" t="str">
        <f t="shared" si="122"/>
        <v/>
      </c>
      <c r="CP165" s="798" t="str">
        <f t="shared" si="123"/>
        <v/>
      </c>
      <c r="CQ165" s="798" t="str">
        <f t="shared" si="124"/>
        <v/>
      </c>
    </row>
    <row r="166" spans="1:95">
      <c r="A166" s="540" t="s">
        <v>283</v>
      </c>
      <c r="B166" s="798">
        <f t="shared" ref="B166:G166" si="129">IF(B104&gt;0,INDEX($D$54:$D$94,B104,1),"")</f>
        <v>0</v>
      </c>
      <c r="C166" s="798">
        <f t="shared" si="129"/>
        <v>0</v>
      </c>
      <c r="D166" s="798" t="str">
        <f t="shared" si="129"/>
        <v/>
      </c>
      <c r="E166" s="798" t="str">
        <f t="shared" si="129"/>
        <v/>
      </c>
      <c r="F166" s="798" t="str">
        <f t="shared" si="129"/>
        <v/>
      </c>
      <c r="G166" s="798" t="str">
        <f t="shared" si="129"/>
        <v/>
      </c>
      <c r="I166" s="540" t="s">
        <v>283</v>
      </c>
      <c r="J166" s="798">
        <f t="shared" si="59"/>
        <v>0</v>
      </c>
      <c r="K166" s="798">
        <f t="shared" si="60"/>
        <v>0</v>
      </c>
      <c r="L166" s="798" t="str">
        <f t="shared" si="61"/>
        <v/>
      </c>
      <c r="M166" s="798" t="str">
        <f t="shared" si="62"/>
        <v/>
      </c>
      <c r="N166" s="798" t="str">
        <f t="shared" si="63"/>
        <v/>
      </c>
      <c r="O166" s="798" t="str">
        <f t="shared" si="64"/>
        <v/>
      </c>
      <c r="Q166" s="540" t="s">
        <v>283</v>
      </c>
      <c r="R166" s="798">
        <f t="shared" si="65"/>
        <v>0</v>
      </c>
      <c r="S166" s="798">
        <f t="shared" si="66"/>
        <v>0</v>
      </c>
      <c r="T166" s="798" t="str">
        <f t="shared" si="67"/>
        <v/>
      </c>
      <c r="U166" s="798" t="str">
        <f t="shared" si="68"/>
        <v/>
      </c>
      <c r="V166" s="798" t="str">
        <f t="shared" si="69"/>
        <v/>
      </c>
      <c r="W166" s="798" t="str">
        <f t="shared" si="70"/>
        <v/>
      </c>
      <c r="Y166" s="540" t="s">
        <v>283</v>
      </c>
      <c r="Z166" s="798">
        <f t="shared" si="71"/>
        <v>0</v>
      </c>
      <c r="AA166" s="798">
        <f t="shared" si="72"/>
        <v>0</v>
      </c>
      <c r="AB166" s="798" t="str">
        <f t="shared" si="73"/>
        <v/>
      </c>
      <c r="AC166" s="798" t="str">
        <f t="shared" si="74"/>
        <v/>
      </c>
      <c r="AD166" s="798" t="str">
        <f t="shared" si="75"/>
        <v/>
      </c>
      <c r="AE166" s="798" t="str">
        <f t="shared" si="76"/>
        <v/>
      </c>
      <c r="AG166" s="540" t="s">
        <v>283</v>
      </c>
      <c r="AH166" s="798">
        <f t="shared" si="77"/>
        <v>0</v>
      </c>
      <c r="AI166" s="798">
        <f t="shared" si="78"/>
        <v>0</v>
      </c>
      <c r="AJ166" s="798" t="str">
        <f t="shared" si="79"/>
        <v/>
      </c>
      <c r="AK166" s="798" t="str">
        <f t="shared" si="80"/>
        <v/>
      </c>
      <c r="AL166" s="798" t="str">
        <f t="shared" si="81"/>
        <v/>
      </c>
      <c r="AM166" s="798" t="str">
        <f t="shared" si="82"/>
        <v/>
      </c>
      <c r="AO166" s="540" t="s">
        <v>283</v>
      </c>
      <c r="AP166" s="798">
        <f t="shared" si="83"/>
        <v>0</v>
      </c>
      <c r="AQ166" s="798">
        <f t="shared" si="84"/>
        <v>0</v>
      </c>
      <c r="AR166" s="798" t="str">
        <f t="shared" si="85"/>
        <v/>
      </c>
      <c r="AS166" s="798" t="str">
        <f t="shared" si="86"/>
        <v/>
      </c>
      <c r="AT166" s="798" t="str">
        <f t="shared" si="87"/>
        <v/>
      </c>
      <c r="AU166" s="798" t="str">
        <f t="shared" si="88"/>
        <v/>
      </c>
      <c r="AW166" s="540" t="s">
        <v>283</v>
      </c>
      <c r="AX166" s="798">
        <f t="shared" si="89"/>
        <v>0</v>
      </c>
      <c r="AY166" s="798">
        <f t="shared" si="90"/>
        <v>0</v>
      </c>
      <c r="AZ166" s="798" t="str">
        <f t="shared" si="91"/>
        <v/>
      </c>
      <c r="BA166" s="798" t="str">
        <f t="shared" si="92"/>
        <v/>
      </c>
      <c r="BB166" s="798" t="str">
        <f t="shared" si="93"/>
        <v/>
      </c>
      <c r="BC166" s="798" t="str">
        <f t="shared" si="94"/>
        <v/>
      </c>
      <c r="BE166" s="540" t="s">
        <v>283</v>
      </c>
      <c r="BF166" s="798">
        <f t="shared" si="95"/>
        <v>0</v>
      </c>
      <c r="BG166" s="798">
        <f t="shared" si="96"/>
        <v>0</v>
      </c>
      <c r="BH166" s="798" t="str">
        <f t="shared" si="97"/>
        <v/>
      </c>
      <c r="BI166" s="798" t="str">
        <f t="shared" si="98"/>
        <v/>
      </c>
      <c r="BJ166" s="798" t="str">
        <f t="shared" si="99"/>
        <v/>
      </c>
      <c r="BK166" s="798" t="str">
        <f t="shared" si="100"/>
        <v/>
      </c>
      <c r="BM166" s="540" t="s">
        <v>283</v>
      </c>
      <c r="BN166" s="798">
        <f t="shared" si="101"/>
        <v>0</v>
      </c>
      <c r="BO166" s="798">
        <f t="shared" si="102"/>
        <v>0</v>
      </c>
      <c r="BP166" s="798" t="str">
        <f t="shared" si="103"/>
        <v/>
      </c>
      <c r="BQ166" s="798" t="str">
        <f t="shared" si="104"/>
        <v/>
      </c>
      <c r="BR166" s="798" t="str">
        <f t="shared" si="105"/>
        <v/>
      </c>
      <c r="BS166" s="798" t="str">
        <f t="shared" si="106"/>
        <v/>
      </c>
      <c r="BU166" s="540" t="s">
        <v>283</v>
      </c>
      <c r="BV166" s="798">
        <f t="shared" si="107"/>
        <v>0</v>
      </c>
      <c r="BW166" s="798">
        <f t="shared" si="108"/>
        <v>0</v>
      </c>
      <c r="BX166" s="798" t="str">
        <f t="shared" si="109"/>
        <v/>
      </c>
      <c r="BY166" s="798" t="str">
        <f t="shared" si="110"/>
        <v/>
      </c>
      <c r="BZ166" s="798" t="str">
        <f t="shared" si="111"/>
        <v/>
      </c>
      <c r="CA166" s="798" t="str">
        <f t="shared" si="112"/>
        <v/>
      </c>
      <c r="CC166" s="540" t="s">
        <v>283</v>
      </c>
      <c r="CD166" s="798">
        <f t="shared" si="113"/>
        <v>0</v>
      </c>
      <c r="CE166" s="798">
        <f t="shared" si="114"/>
        <v>0</v>
      </c>
      <c r="CF166" s="798" t="str">
        <f t="shared" si="115"/>
        <v/>
      </c>
      <c r="CG166" s="798" t="str">
        <f t="shared" si="116"/>
        <v/>
      </c>
      <c r="CH166" s="798" t="str">
        <f t="shared" si="117"/>
        <v/>
      </c>
      <c r="CI166" s="798" t="str">
        <f t="shared" si="118"/>
        <v/>
      </c>
      <c r="CK166" s="540" t="s">
        <v>283</v>
      </c>
      <c r="CL166" s="798">
        <f t="shared" si="119"/>
        <v>0</v>
      </c>
      <c r="CM166" s="798">
        <f t="shared" si="120"/>
        <v>0</v>
      </c>
      <c r="CN166" s="798" t="str">
        <f t="shared" si="121"/>
        <v/>
      </c>
      <c r="CO166" s="798" t="str">
        <f t="shared" si="122"/>
        <v/>
      </c>
      <c r="CP166" s="798" t="str">
        <f t="shared" si="123"/>
        <v/>
      </c>
      <c r="CQ166" s="798" t="str">
        <f t="shared" si="124"/>
        <v/>
      </c>
    </row>
    <row r="167" spans="1:95">
      <c r="A167" s="540" t="s">
        <v>284</v>
      </c>
      <c r="B167" s="798">
        <f t="shared" ref="B167:G167" si="130">IF(B105&gt;0,INDEX($D$54:$D$94,B105,1),"")</f>
        <v>0</v>
      </c>
      <c r="C167" s="798" t="str">
        <f t="shared" si="130"/>
        <v/>
      </c>
      <c r="D167" s="798" t="str">
        <f t="shared" si="130"/>
        <v/>
      </c>
      <c r="E167" s="798" t="str">
        <f t="shared" si="130"/>
        <v/>
      </c>
      <c r="F167" s="798" t="str">
        <f t="shared" si="130"/>
        <v/>
      </c>
      <c r="G167" s="798" t="str">
        <f t="shared" si="130"/>
        <v/>
      </c>
      <c r="I167" s="540" t="s">
        <v>284</v>
      </c>
      <c r="J167" s="798">
        <f t="shared" si="59"/>
        <v>0</v>
      </c>
      <c r="K167" s="798" t="str">
        <f t="shared" si="60"/>
        <v/>
      </c>
      <c r="L167" s="798" t="str">
        <f t="shared" si="61"/>
        <v/>
      </c>
      <c r="M167" s="798" t="str">
        <f t="shared" si="62"/>
        <v/>
      </c>
      <c r="N167" s="798" t="str">
        <f t="shared" si="63"/>
        <v/>
      </c>
      <c r="O167" s="798" t="str">
        <f t="shared" si="64"/>
        <v/>
      </c>
      <c r="Q167" s="540" t="s">
        <v>284</v>
      </c>
      <c r="R167" s="798">
        <f t="shared" si="65"/>
        <v>0</v>
      </c>
      <c r="S167" s="798" t="str">
        <f t="shared" si="66"/>
        <v/>
      </c>
      <c r="T167" s="798" t="str">
        <f t="shared" si="67"/>
        <v/>
      </c>
      <c r="U167" s="798" t="str">
        <f t="shared" si="68"/>
        <v/>
      </c>
      <c r="V167" s="798" t="str">
        <f t="shared" si="69"/>
        <v/>
      </c>
      <c r="W167" s="798" t="str">
        <f t="shared" si="70"/>
        <v/>
      </c>
      <c r="Y167" s="540" t="s">
        <v>284</v>
      </c>
      <c r="Z167" s="798">
        <f t="shared" si="71"/>
        <v>0</v>
      </c>
      <c r="AA167" s="798" t="str">
        <f t="shared" si="72"/>
        <v/>
      </c>
      <c r="AB167" s="798" t="str">
        <f t="shared" si="73"/>
        <v/>
      </c>
      <c r="AC167" s="798" t="str">
        <f t="shared" si="74"/>
        <v/>
      </c>
      <c r="AD167" s="798" t="str">
        <f t="shared" si="75"/>
        <v/>
      </c>
      <c r="AE167" s="798" t="str">
        <f t="shared" si="76"/>
        <v/>
      </c>
      <c r="AG167" s="540" t="s">
        <v>284</v>
      </c>
      <c r="AH167" s="798">
        <f t="shared" si="77"/>
        <v>0</v>
      </c>
      <c r="AI167" s="798" t="str">
        <f t="shared" si="78"/>
        <v/>
      </c>
      <c r="AJ167" s="798" t="str">
        <f t="shared" si="79"/>
        <v/>
      </c>
      <c r="AK167" s="798" t="str">
        <f t="shared" si="80"/>
        <v/>
      </c>
      <c r="AL167" s="798" t="str">
        <f t="shared" si="81"/>
        <v/>
      </c>
      <c r="AM167" s="798" t="str">
        <f t="shared" si="82"/>
        <v/>
      </c>
      <c r="AO167" s="540" t="s">
        <v>284</v>
      </c>
      <c r="AP167" s="798">
        <f t="shared" si="83"/>
        <v>0</v>
      </c>
      <c r="AQ167" s="798" t="str">
        <f t="shared" si="84"/>
        <v/>
      </c>
      <c r="AR167" s="798" t="str">
        <f t="shared" si="85"/>
        <v/>
      </c>
      <c r="AS167" s="798" t="str">
        <f t="shared" si="86"/>
        <v/>
      </c>
      <c r="AT167" s="798" t="str">
        <f t="shared" si="87"/>
        <v/>
      </c>
      <c r="AU167" s="798" t="str">
        <f t="shared" si="88"/>
        <v/>
      </c>
      <c r="AW167" s="540" t="s">
        <v>284</v>
      </c>
      <c r="AX167" s="798">
        <f t="shared" si="89"/>
        <v>0</v>
      </c>
      <c r="AY167" s="798" t="str">
        <f t="shared" si="90"/>
        <v/>
      </c>
      <c r="AZ167" s="798" t="str">
        <f t="shared" si="91"/>
        <v/>
      </c>
      <c r="BA167" s="798" t="str">
        <f t="shared" si="92"/>
        <v/>
      </c>
      <c r="BB167" s="798" t="str">
        <f t="shared" si="93"/>
        <v/>
      </c>
      <c r="BC167" s="798" t="str">
        <f t="shared" si="94"/>
        <v/>
      </c>
      <c r="BE167" s="540" t="s">
        <v>284</v>
      </c>
      <c r="BF167" s="798">
        <f t="shared" si="95"/>
        <v>0</v>
      </c>
      <c r="BG167" s="798" t="str">
        <f t="shared" si="96"/>
        <v/>
      </c>
      <c r="BH167" s="798" t="str">
        <f t="shared" si="97"/>
        <v/>
      </c>
      <c r="BI167" s="798" t="str">
        <f t="shared" si="98"/>
        <v/>
      </c>
      <c r="BJ167" s="798" t="str">
        <f t="shared" si="99"/>
        <v/>
      </c>
      <c r="BK167" s="798" t="str">
        <f t="shared" si="100"/>
        <v/>
      </c>
      <c r="BM167" s="540" t="s">
        <v>284</v>
      </c>
      <c r="BN167" s="798">
        <f t="shared" si="101"/>
        <v>0</v>
      </c>
      <c r="BO167" s="798" t="str">
        <f t="shared" si="102"/>
        <v/>
      </c>
      <c r="BP167" s="798" t="str">
        <f t="shared" si="103"/>
        <v/>
      </c>
      <c r="BQ167" s="798" t="str">
        <f t="shared" si="104"/>
        <v/>
      </c>
      <c r="BR167" s="798" t="str">
        <f t="shared" si="105"/>
        <v/>
      </c>
      <c r="BS167" s="798" t="str">
        <f t="shared" si="106"/>
        <v/>
      </c>
      <c r="BU167" s="540" t="s">
        <v>284</v>
      </c>
      <c r="BV167" s="798">
        <f t="shared" si="107"/>
        <v>0</v>
      </c>
      <c r="BW167" s="798" t="str">
        <f t="shared" si="108"/>
        <v/>
      </c>
      <c r="BX167" s="798" t="str">
        <f t="shared" si="109"/>
        <v/>
      </c>
      <c r="BY167" s="798" t="str">
        <f t="shared" si="110"/>
        <v/>
      </c>
      <c r="BZ167" s="798" t="str">
        <f t="shared" si="111"/>
        <v/>
      </c>
      <c r="CA167" s="798" t="str">
        <f t="shared" si="112"/>
        <v/>
      </c>
      <c r="CC167" s="540" t="s">
        <v>284</v>
      </c>
      <c r="CD167" s="798">
        <f t="shared" si="113"/>
        <v>0</v>
      </c>
      <c r="CE167" s="798" t="str">
        <f t="shared" si="114"/>
        <v/>
      </c>
      <c r="CF167" s="798" t="str">
        <f t="shared" si="115"/>
        <v/>
      </c>
      <c r="CG167" s="798" t="str">
        <f t="shared" si="116"/>
        <v/>
      </c>
      <c r="CH167" s="798" t="str">
        <f t="shared" si="117"/>
        <v/>
      </c>
      <c r="CI167" s="798" t="str">
        <f t="shared" si="118"/>
        <v/>
      </c>
      <c r="CK167" s="540" t="s">
        <v>284</v>
      </c>
      <c r="CL167" s="798">
        <f t="shared" si="119"/>
        <v>0</v>
      </c>
      <c r="CM167" s="798" t="str">
        <f t="shared" si="120"/>
        <v/>
      </c>
      <c r="CN167" s="798" t="str">
        <f t="shared" si="121"/>
        <v/>
      </c>
      <c r="CO167" s="798" t="str">
        <f t="shared" si="122"/>
        <v/>
      </c>
      <c r="CP167" s="798" t="str">
        <f t="shared" si="123"/>
        <v/>
      </c>
      <c r="CQ167" s="798" t="str">
        <f t="shared" si="124"/>
        <v/>
      </c>
    </row>
    <row r="168" spans="1:95">
      <c r="A168" s="540" t="s">
        <v>288</v>
      </c>
      <c r="B168" s="798">
        <f t="shared" ref="B168:G168" si="131">IF(B106&gt;0,INDEX($D$54:$D$94,B106,1),"")</f>
        <v>0</v>
      </c>
      <c r="C168" s="798" t="str">
        <f t="shared" si="131"/>
        <v/>
      </c>
      <c r="D168" s="798" t="str">
        <f t="shared" si="131"/>
        <v/>
      </c>
      <c r="E168" s="798" t="str">
        <f t="shared" si="131"/>
        <v/>
      </c>
      <c r="F168" s="798" t="str">
        <f t="shared" si="131"/>
        <v/>
      </c>
      <c r="G168" s="798" t="str">
        <f t="shared" si="131"/>
        <v/>
      </c>
      <c r="I168" s="540" t="s">
        <v>288</v>
      </c>
      <c r="J168" s="798">
        <f t="shared" si="59"/>
        <v>0</v>
      </c>
      <c r="K168" s="798" t="str">
        <f t="shared" si="60"/>
        <v/>
      </c>
      <c r="L168" s="798" t="str">
        <f t="shared" si="61"/>
        <v/>
      </c>
      <c r="M168" s="798" t="str">
        <f t="shared" si="62"/>
        <v/>
      </c>
      <c r="N168" s="798" t="str">
        <f t="shared" si="63"/>
        <v/>
      </c>
      <c r="O168" s="798" t="str">
        <f t="shared" si="64"/>
        <v/>
      </c>
      <c r="Q168" s="540" t="s">
        <v>288</v>
      </c>
      <c r="R168" s="798">
        <f t="shared" si="65"/>
        <v>0</v>
      </c>
      <c r="S168" s="798" t="str">
        <f t="shared" si="66"/>
        <v/>
      </c>
      <c r="T168" s="798" t="str">
        <f t="shared" si="67"/>
        <v/>
      </c>
      <c r="U168" s="798" t="str">
        <f t="shared" si="68"/>
        <v/>
      </c>
      <c r="V168" s="798" t="str">
        <f t="shared" si="69"/>
        <v/>
      </c>
      <c r="W168" s="798" t="str">
        <f t="shared" si="70"/>
        <v/>
      </c>
      <c r="Y168" s="540" t="s">
        <v>288</v>
      </c>
      <c r="Z168" s="798">
        <f t="shared" si="71"/>
        <v>0</v>
      </c>
      <c r="AA168" s="798" t="str">
        <f t="shared" si="72"/>
        <v/>
      </c>
      <c r="AB168" s="798" t="str">
        <f t="shared" si="73"/>
        <v/>
      </c>
      <c r="AC168" s="798" t="str">
        <f t="shared" si="74"/>
        <v/>
      </c>
      <c r="AD168" s="798" t="str">
        <f t="shared" si="75"/>
        <v/>
      </c>
      <c r="AE168" s="798" t="str">
        <f t="shared" si="76"/>
        <v/>
      </c>
      <c r="AG168" s="540" t="s">
        <v>288</v>
      </c>
      <c r="AH168" s="798">
        <f t="shared" si="77"/>
        <v>0</v>
      </c>
      <c r="AI168" s="798" t="str">
        <f t="shared" si="78"/>
        <v/>
      </c>
      <c r="AJ168" s="798" t="str">
        <f t="shared" si="79"/>
        <v/>
      </c>
      <c r="AK168" s="798" t="str">
        <f t="shared" si="80"/>
        <v/>
      </c>
      <c r="AL168" s="798" t="str">
        <f t="shared" si="81"/>
        <v/>
      </c>
      <c r="AM168" s="798" t="str">
        <f t="shared" si="82"/>
        <v/>
      </c>
      <c r="AO168" s="540" t="s">
        <v>288</v>
      </c>
      <c r="AP168" s="798">
        <f t="shared" si="83"/>
        <v>0</v>
      </c>
      <c r="AQ168" s="798" t="str">
        <f t="shared" si="84"/>
        <v/>
      </c>
      <c r="AR168" s="798" t="str">
        <f t="shared" si="85"/>
        <v/>
      </c>
      <c r="AS168" s="798" t="str">
        <f t="shared" si="86"/>
        <v/>
      </c>
      <c r="AT168" s="798" t="str">
        <f t="shared" si="87"/>
        <v/>
      </c>
      <c r="AU168" s="798" t="str">
        <f t="shared" si="88"/>
        <v/>
      </c>
      <c r="AW168" s="540" t="s">
        <v>288</v>
      </c>
      <c r="AX168" s="798">
        <f t="shared" si="89"/>
        <v>0</v>
      </c>
      <c r="AY168" s="798" t="str">
        <f t="shared" si="90"/>
        <v/>
      </c>
      <c r="AZ168" s="798" t="str">
        <f t="shared" si="91"/>
        <v/>
      </c>
      <c r="BA168" s="798" t="str">
        <f t="shared" si="92"/>
        <v/>
      </c>
      <c r="BB168" s="798" t="str">
        <f t="shared" si="93"/>
        <v/>
      </c>
      <c r="BC168" s="798" t="str">
        <f t="shared" si="94"/>
        <v/>
      </c>
      <c r="BE168" s="540" t="s">
        <v>288</v>
      </c>
      <c r="BF168" s="798">
        <f t="shared" si="95"/>
        <v>0</v>
      </c>
      <c r="BG168" s="798" t="str">
        <f t="shared" si="96"/>
        <v/>
      </c>
      <c r="BH168" s="798" t="str">
        <f t="shared" si="97"/>
        <v/>
      </c>
      <c r="BI168" s="798" t="str">
        <f t="shared" si="98"/>
        <v/>
      </c>
      <c r="BJ168" s="798" t="str">
        <f t="shared" si="99"/>
        <v/>
      </c>
      <c r="BK168" s="798" t="str">
        <f t="shared" si="100"/>
        <v/>
      </c>
      <c r="BM168" s="540" t="s">
        <v>288</v>
      </c>
      <c r="BN168" s="798">
        <f t="shared" si="101"/>
        <v>0</v>
      </c>
      <c r="BO168" s="798" t="str">
        <f t="shared" si="102"/>
        <v/>
      </c>
      <c r="BP168" s="798" t="str">
        <f t="shared" si="103"/>
        <v/>
      </c>
      <c r="BQ168" s="798" t="str">
        <f t="shared" si="104"/>
        <v/>
      </c>
      <c r="BR168" s="798" t="str">
        <f t="shared" si="105"/>
        <v/>
      </c>
      <c r="BS168" s="798" t="str">
        <f t="shared" si="106"/>
        <v/>
      </c>
      <c r="BU168" s="540" t="s">
        <v>288</v>
      </c>
      <c r="BV168" s="798">
        <f t="shared" si="107"/>
        <v>0</v>
      </c>
      <c r="BW168" s="798" t="str">
        <f t="shared" si="108"/>
        <v/>
      </c>
      <c r="BX168" s="798" t="str">
        <f t="shared" si="109"/>
        <v/>
      </c>
      <c r="BY168" s="798" t="str">
        <f t="shared" si="110"/>
        <v/>
      </c>
      <c r="BZ168" s="798" t="str">
        <f t="shared" si="111"/>
        <v/>
      </c>
      <c r="CA168" s="798" t="str">
        <f t="shared" si="112"/>
        <v/>
      </c>
      <c r="CC168" s="540" t="s">
        <v>288</v>
      </c>
      <c r="CD168" s="798">
        <f t="shared" si="113"/>
        <v>0</v>
      </c>
      <c r="CE168" s="798" t="str">
        <f t="shared" si="114"/>
        <v/>
      </c>
      <c r="CF168" s="798" t="str">
        <f t="shared" si="115"/>
        <v/>
      </c>
      <c r="CG168" s="798" t="str">
        <f t="shared" si="116"/>
        <v/>
      </c>
      <c r="CH168" s="798" t="str">
        <f t="shared" si="117"/>
        <v/>
      </c>
      <c r="CI168" s="798" t="str">
        <f t="shared" si="118"/>
        <v/>
      </c>
      <c r="CK168" s="540" t="s">
        <v>288</v>
      </c>
      <c r="CL168" s="798">
        <f t="shared" si="119"/>
        <v>0</v>
      </c>
      <c r="CM168" s="798" t="str">
        <f t="shared" si="120"/>
        <v/>
      </c>
      <c r="CN168" s="798" t="str">
        <f t="shared" si="121"/>
        <v/>
      </c>
      <c r="CO168" s="798" t="str">
        <f t="shared" si="122"/>
        <v/>
      </c>
      <c r="CP168" s="798" t="str">
        <f t="shared" si="123"/>
        <v/>
      </c>
      <c r="CQ168" s="798" t="str">
        <f t="shared" si="124"/>
        <v/>
      </c>
    </row>
    <row r="169" spans="1:95">
      <c r="A169" s="540" t="s">
        <v>454</v>
      </c>
      <c r="B169" s="798">
        <f t="shared" ref="B169:G169" si="132">IF(B107&gt;0,INDEX($D$54:$D$94,B107,1),"")</f>
        <v>0</v>
      </c>
      <c r="C169" s="798">
        <f t="shared" si="132"/>
        <v>4</v>
      </c>
      <c r="D169" s="798">
        <f t="shared" si="132"/>
        <v>0</v>
      </c>
      <c r="E169" s="798">
        <f t="shared" si="132"/>
        <v>0</v>
      </c>
      <c r="F169" s="798">
        <f t="shared" si="132"/>
        <v>2</v>
      </c>
      <c r="G169" s="798">
        <f t="shared" si="132"/>
        <v>8</v>
      </c>
      <c r="I169" s="540" t="s">
        <v>454</v>
      </c>
      <c r="J169" s="798">
        <f t="shared" si="59"/>
        <v>0</v>
      </c>
      <c r="K169" s="798">
        <f t="shared" si="60"/>
        <v>4</v>
      </c>
      <c r="L169" s="798">
        <f t="shared" si="61"/>
        <v>0</v>
      </c>
      <c r="M169" s="798">
        <f t="shared" si="62"/>
        <v>0</v>
      </c>
      <c r="N169" s="798">
        <f t="shared" si="63"/>
        <v>2</v>
      </c>
      <c r="O169" s="798">
        <f t="shared" si="64"/>
        <v>8</v>
      </c>
      <c r="Q169" s="540" t="s">
        <v>454</v>
      </c>
      <c r="R169" s="798">
        <f t="shared" si="65"/>
        <v>0</v>
      </c>
      <c r="S169" s="798">
        <f t="shared" si="66"/>
        <v>4</v>
      </c>
      <c r="T169" s="798">
        <f t="shared" si="67"/>
        <v>0</v>
      </c>
      <c r="U169" s="798">
        <f t="shared" si="68"/>
        <v>0</v>
      </c>
      <c r="V169" s="798">
        <f t="shared" si="69"/>
        <v>2</v>
      </c>
      <c r="W169" s="798">
        <f t="shared" si="70"/>
        <v>8</v>
      </c>
      <c r="Y169" s="540" t="s">
        <v>454</v>
      </c>
      <c r="Z169" s="798">
        <f t="shared" si="71"/>
        <v>0</v>
      </c>
      <c r="AA169" s="798">
        <f t="shared" si="72"/>
        <v>4</v>
      </c>
      <c r="AB169" s="798">
        <f t="shared" si="73"/>
        <v>0</v>
      </c>
      <c r="AC169" s="798">
        <f t="shared" si="74"/>
        <v>0</v>
      </c>
      <c r="AD169" s="798">
        <f t="shared" si="75"/>
        <v>2</v>
      </c>
      <c r="AE169" s="798">
        <f t="shared" si="76"/>
        <v>8</v>
      </c>
      <c r="AG169" s="540" t="s">
        <v>454</v>
      </c>
      <c r="AH169" s="798">
        <f t="shared" si="77"/>
        <v>0</v>
      </c>
      <c r="AI169" s="798">
        <f t="shared" si="78"/>
        <v>4</v>
      </c>
      <c r="AJ169" s="798">
        <f t="shared" si="79"/>
        <v>0</v>
      </c>
      <c r="AK169" s="798">
        <f t="shared" si="80"/>
        <v>0</v>
      </c>
      <c r="AL169" s="798">
        <f t="shared" si="81"/>
        <v>2</v>
      </c>
      <c r="AM169" s="798">
        <f t="shared" si="82"/>
        <v>8</v>
      </c>
      <c r="AO169" s="540" t="s">
        <v>454</v>
      </c>
      <c r="AP169" s="798">
        <f t="shared" si="83"/>
        <v>0</v>
      </c>
      <c r="AQ169" s="798">
        <f t="shared" si="84"/>
        <v>4</v>
      </c>
      <c r="AR169" s="798">
        <f t="shared" si="85"/>
        <v>0</v>
      </c>
      <c r="AS169" s="798">
        <f t="shared" si="86"/>
        <v>0</v>
      </c>
      <c r="AT169" s="798">
        <f t="shared" si="87"/>
        <v>2</v>
      </c>
      <c r="AU169" s="798">
        <f t="shared" si="88"/>
        <v>8</v>
      </c>
      <c r="AW169" s="540" t="s">
        <v>454</v>
      </c>
      <c r="AX169" s="798">
        <f t="shared" si="89"/>
        <v>0</v>
      </c>
      <c r="AY169" s="798">
        <f t="shared" si="90"/>
        <v>4</v>
      </c>
      <c r="AZ169" s="798">
        <f t="shared" si="91"/>
        <v>0</v>
      </c>
      <c r="BA169" s="798">
        <f t="shared" si="92"/>
        <v>0</v>
      </c>
      <c r="BB169" s="798">
        <f t="shared" si="93"/>
        <v>2</v>
      </c>
      <c r="BC169" s="798">
        <f t="shared" si="94"/>
        <v>8</v>
      </c>
      <c r="BE169" s="540" t="s">
        <v>454</v>
      </c>
      <c r="BF169" s="798">
        <f t="shared" si="95"/>
        <v>0</v>
      </c>
      <c r="BG169" s="798">
        <f t="shared" si="96"/>
        <v>4</v>
      </c>
      <c r="BH169" s="798">
        <f t="shared" si="97"/>
        <v>0</v>
      </c>
      <c r="BI169" s="798">
        <f t="shared" si="98"/>
        <v>0</v>
      </c>
      <c r="BJ169" s="798">
        <f t="shared" si="99"/>
        <v>2</v>
      </c>
      <c r="BK169" s="798">
        <f t="shared" si="100"/>
        <v>8</v>
      </c>
      <c r="BM169" s="540" t="s">
        <v>454</v>
      </c>
      <c r="BN169" s="798">
        <f t="shared" si="101"/>
        <v>0</v>
      </c>
      <c r="BO169" s="798">
        <f t="shared" si="102"/>
        <v>4</v>
      </c>
      <c r="BP169" s="798">
        <f t="shared" si="103"/>
        <v>0</v>
      </c>
      <c r="BQ169" s="798">
        <f t="shared" si="104"/>
        <v>0</v>
      </c>
      <c r="BR169" s="798">
        <f t="shared" si="105"/>
        <v>2</v>
      </c>
      <c r="BS169" s="798">
        <f t="shared" si="106"/>
        <v>8</v>
      </c>
      <c r="BU169" s="540" t="s">
        <v>454</v>
      </c>
      <c r="BV169" s="798">
        <f t="shared" si="107"/>
        <v>0</v>
      </c>
      <c r="BW169" s="798">
        <f t="shared" si="108"/>
        <v>4</v>
      </c>
      <c r="BX169" s="798">
        <f t="shared" si="109"/>
        <v>0</v>
      </c>
      <c r="BY169" s="798">
        <f t="shared" si="110"/>
        <v>0</v>
      </c>
      <c r="BZ169" s="798">
        <f t="shared" si="111"/>
        <v>2</v>
      </c>
      <c r="CA169" s="798">
        <f t="shared" si="112"/>
        <v>8</v>
      </c>
      <c r="CC169" s="540" t="s">
        <v>454</v>
      </c>
      <c r="CD169" s="798">
        <f t="shared" si="113"/>
        <v>0</v>
      </c>
      <c r="CE169" s="798">
        <f t="shared" si="114"/>
        <v>4</v>
      </c>
      <c r="CF169" s="798">
        <f t="shared" si="115"/>
        <v>0</v>
      </c>
      <c r="CG169" s="798">
        <f t="shared" si="116"/>
        <v>0</v>
      </c>
      <c r="CH169" s="798">
        <f t="shared" si="117"/>
        <v>2</v>
      </c>
      <c r="CI169" s="798">
        <f t="shared" si="118"/>
        <v>8</v>
      </c>
      <c r="CK169" s="540" t="s">
        <v>454</v>
      </c>
      <c r="CL169" s="798">
        <f t="shared" si="119"/>
        <v>0</v>
      </c>
      <c r="CM169" s="798">
        <f t="shared" si="120"/>
        <v>4</v>
      </c>
      <c r="CN169" s="798">
        <f t="shared" si="121"/>
        <v>0</v>
      </c>
      <c r="CO169" s="798">
        <f t="shared" si="122"/>
        <v>0</v>
      </c>
      <c r="CP169" s="798">
        <f t="shared" si="123"/>
        <v>2</v>
      </c>
      <c r="CQ169" s="798">
        <f t="shared" si="124"/>
        <v>8</v>
      </c>
    </row>
    <row r="170" spans="1:95">
      <c r="A170" s="540" t="s">
        <v>436</v>
      </c>
      <c r="B170" s="798">
        <f t="shared" ref="B170:G170" si="133">IF(B108&gt;0,INDEX($D$54:$D$94,B108,1),"")</f>
        <v>0</v>
      </c>
      <c r="C170" s="798">
        <f t="shared" si="133"/>
        <v>0</v>
      </c>
      <c r="D170" s="798" t="str">
        <f t="shared" si="133"/>
        <v/>
      </c>
      <c r="E170" s="798" t="str">
        <f t="shared" si="133"/>
        <v/>
      </c>
      <c r="F170" s="798" t="str">
        <f t="shared" si="133"/>
        <v/>
      </c>
      <c r="G170" s="798" t="str">
        <f t="shared" si="133"/>
        <v/>
      </c>
      <c r="I170" s="540" t="s">
        <v>436</v>
      </c>
      <c r="J170" s="798">
        <f t="shared" si="59"/>
        <v>0</v>
      </c>
      <c r="K170" s="798">
        <f t="shared" si="60"/>
        <v>0</v>
      </c>
      <c r="L170" s="798" t="str">
        <f t="shared" si="61"/>
        <v/>
      </c>
      <c r="M170" s="798" t="str">
        <f t="shared" si="62"/>
        <v/>
      </c>
      <c r="N170" s="798" t="str">
        <f t="shared" si="63"/>
        <v/>
      </c>
      <c r="O170" s="798" t="str">
        <f t="shared" si="64"/>
        <v/>
      </c>
      <c r="Q170" s="540" t="s">
        <v>436</v>
      </c>
      <c r="R170" s="798">
        <f t="shared" si="65"/>
        <v>0</v>
      </c>
      <c r="S170" s="798">
        <f t="shared" si="66"/>
        <v>0</v>
      </c>
      <c r="T170" s="798" t="str">
        <f t="shared" si="67"/>
        <v/>
      </c>
      <c r="U170" s="798" t="str">
        <f t="shared" si="68"/>
        <v/>
      </c>
      <c r="V170" s="798" t="str">
        <f t="shared" si="69"/>
        <v/>
      </c>
      <c r="W170" s="798" t="str">
        <f t="shared" si="70"/>
        <v/>
      </c>
      <c r="Y170" s="540" t="s">
        <v>436</v>
      </c>
      <c r="Z170" s="798">
        <f t="shared" si="71"/>
        <v>0</v>
      </c>
      <c r="AA170" s="798">
        <f t="shared" si="72"/>
        <v>0</v>
      </c>
      <c r="AB170" s="798" t="str">
        <f t="shared" si="73"/>
        <v/>
      </c>
      <c r="AC170" s="798" t="str">
        <f t="shared" si="74"/>
        <v/>
      </c>
      <c r="AD170" s="798" t="str">
        <f t="shared" si="75"/>
        <v/>
      </c>
      <c r="AE170" s="798" t="str">
        <f t="shared" si="76"/>
        <v/>
      </c>
      <c r="AG170" s="540" t="s">
        <v>436</v>
      </c>
      <c r="AH170" s="798">
        <f t="shared" si="77"/>
        <v>0</v>
      </c>
      <c r="AI170" s="798">
        <f t="shared" si="78"/>
        <v>0</v>
      </c>
      <c r="AJ170" s="798" t="str">
        <f t="shared" si="79"/>
        <v/>
      </c>
      <c r="AK170" s="798" t="str">
        <f t="shared" si="80"/>
        <v/>
      </c>
      <c r="AL170" s="798" t="str">
        <f t="shared" si="81"/>
        <v/>
      </c>
      <c r="AM170" s="798" t="str">
        <f t="shared" si="82"/>
        <v/>
      </c>
      <c r="AO170" s="540" t="s">
        <v>436</v>
      </c>
      <c r="AP170" s="798">
        <f t="shared" si="83"/>
        <v>0</v>
      </c>
      <c r="AQ170" s="798">
        <f t="shared" si="84"/>
        <v>0</v>
      </c>
      <c r="AR170" s="798" t="str">
        <f t="shared" si="85"/>
        <v/>
      </c>
      <c r="AS170" s="798" t="str">
        <f t="shared" si="86"/>
        <v/>
      </c>
      <c r="AT170" s="798" t="str">
        <f t="shared" si="87"/>
        <v/>
      </c>
      <c r="AU170" s="798" t="str">
        <f t="shared" si="88"/>
        <v/>
      </c>
      <c r="AW170" s="540" t="s">
        <v>436</v>
      </c>
      <c r="AX170" s="798">
        <f t="shared" si="89"/>
        <v>0</v>
      </c>
      <c r="AY170" s="798">
        <f t="shared" si="90"/>
        <v>0</v>
      </c>
      <c r="AZ170" s="798" t="str">
        <f t="shared" si="91"/>
        <v/>
      </c>
      <c r="BA170" s="798" t="str">
        <f t="shared" si="92"/>
        <v/>
      </c>
      <c r="BB170" s="798" t="str">
        <f t="shared" si="93"/>
        <v/>
      </c>
      <c r="BC170" s="798" t="str">
        <f t="shared" si="94"/>
        <v/>
      </c>
      <c r="BE170" s="540" t="s">
        <v>436</v>
      </c>
      <c r="BF170" s="798">
        <f t="shared" si="95"/>
        <v>0</v>
      </c>
      <c r="BG170" s="798">
        <f t="shared" si="96"/>
        <v>0</v>
      </c>
      <c r="BH170" s="798" t="str">
        <f t="shared" si="97"/>
        <v/>
      </c>
      <c r="BI170" s="798" t="str">
        <f t="shared" si="98"/>
        <v/>
      </c>
      <c r="BJ170" s="798" t="str">
        <f t="shared" si="99"/>
        <v/>
      </c>
      <c r="BK170" s="798" t="str">
        <f t="shared" si="100"/>
        <v/>
      </c>
      <c r="BM170" s="540" t="s">
        <v>436</v>
      </c>
      <c r="BN170" s="798">
        <f t="shared" si="101"/>
        <v>0</v>
      </c>
      <c r="BO170" s="798">
        <f t="shared" si="102"/>
        <v>0</v>
      </c>
      <c r="BP170" s="798" t="str">
        <f t="shared" si="103"/>
        <v/>
      </c>
      <c r="BQ170" s="798" t="str">
        <f t="shared" si="104"/>
        <v/>
      </c>
      <c r="BR170" s="798" t="str">
        <f t="shared" si="105"/>
        <v/>
      </c>
      <c r="BS170" s="798" t="str">
        <f t="shared" si="106"/>
        <v/>
      </c>
      <c r="BU170" s="540" t="s">
        <v>436</v>
      </c>
      <c r="BV170" s="798">
        <f t="shared" si="107"/>
        <v>0</v>
      </c>
      <c r="BW170" s="798">
        <f t="shared" si="108"/>
        <v>0</v>
      </c>
      <c r="BX170" s="798" t="str">
        <f t="shared" si="109"/>
        <v/>
      </c>
      <c r="BY170" s="798" t="str">
        <f t="shared" si="110"/>
        <v/>
      </c>
      <c r="BZ170" s="798" t="str">
        <f t="shared" si="111"/>
        <v/>
      </c>
      <c r="CA170" s="798" t="str">
        <f t="shared" si="112"/>
        <v/>
      </c>
      <c r="CC170" s="540" t="s">
        <v>436</v>
      </c>
      <c r="CD170" s="798">
        <f t="shared" si="113"/>
        <v>0</v>
      </c>
      <c r="CE170" s="798">
        <f t="shared" si="114"/>
        <v>0</v>
      </c>
      <c r="CF170" s="798" t="str">
        <f t="shared" si="115"/>
        <v/>
      </c>
      <c r="CG170" s="798" t="str">
        <f t="shared" si="116"/>
        <v/>
      </c>
      <c r="CH170" s="798" t="str">
        <f t="shared" si="117"/>
        <v/>
      </c>
      <c r="CI170" s="798" t="str">
        <f t="shared" si="118"/>
        <v/>
      </c>
      <c r="CK170" s="540" t="s">
        <v>436</v>
      </c>
      <c r="CL170" s="798">
        <f t="shared" si="119"/>
        <v>0</v>
      </c>
      <c r="CM170" s="798">
        <f t="shared" si="120"/>
        <v>0</v>
      </c>
      <c r="CN170" s="798" t="str">
        <f t="shared" si="121"/>
        <v/>
      </c>
      <c r="CO170" s="798" t="str">
        <f t="shared" si="122"/>
        <v/>
      </c>
      <c r="CP170" s="798" t="str">
        <f t="shared" si="123"/>
        <v/>
      </c>
      <c r="CQ170" s="798" t="str">
        <f t="shared" si="124"/>
        <v/>
      </c>
    </row>
    <row r="171" spans="1:95">
      <c r="A171" s="540" t="s">
        <v>281</v>
      </c>
      <c r="B171" s="798">
        <f t="shared" ref="B171:G171" si="134">IF(B109&gt;0,INDEX($D$54:$D$94,B109,1),"")</f>
        <v>0</v>
      </c>
      <c r="C171" s="798" t="str">
        <f t="shared" si="134"/>
        <v/>
      </c>
      <c r="D171" s="798" t="str">
        <f t="shared" si="134"/>
        <v/>
      </c>
      <c r="E171" s="798" t="str">
        <f t="shared" si="134"/>
        <v/>
      </c>
      <c r="F171" s="798" t="str">
        <f t="shared" si="134"/>
        <v/>
      </c>
      <c r="G171" s="798" t="str">
        <f t="shared" si="134"/>
        <v/>
      </c>
      <c r="I171" s="540" t="s">
        <v>281</v>
      </c>
      <c r="J171" s="798">
        <f t="shared" si="59"/>
        <v>0</v>
      </c>
      <c r="K171" s="798" t="str">
        <f t="shared" si="60"/>
        <v/>
      </c>
      <c r="L171" s="798" t="str">
        <f t="shared" si="61"/>
        <v/>
      </c>
      <c r="M171" s="798" t="str">
        <f t="shared" si="62"/>
        <v/>
      </c>
      <c r="N171" s="798" t="str">
        <f t="shared" si="63"/>
        <v/>
      </c>
      <c r="O171" s="798" t="str">
        <f t="shared" si="64"/>
        <v/>
      </c>
      <c r="Q171" s="540" t="s">
        <v>281</v>
      </c>
      <c r="R171" s="798">
        <f t="shared" si="65"/>
        <v>0</v>
      </c>
      <c r="S171" s="798" t="str">
        <f t="shared" si="66"/>
        <v/>
      </c>
      <c r="T171" s="798" t="str">
        <f t="shared" si="67"/>
        <v/>
      </c>
      <c r="U171" s="798" t="str">
        <f t="shared" si="68"/>
        <v/>
      </c>
      <c r="V171" s="798" t="str">
        <f t="shared" si="69"/>
        <v/>
      </c>
      <c r="W171" s="798" t="str">
        <f t="shared" si="70"/>
        <v/>
      </c>
      <c r="Y171" s="540" t="s">
        <v>281</v>
      </c>
      <c r="Z171" s="798">
        <f t="shared" si="71"/>
        <v>0</v>
      </c>
      <c r="AA171" s="798" t="str">
        <f t="shared" si="72"/>
        <v/>
      </c>
      <c r="AB171" s="798" t="str">
        <f t="shared" si="73"/>
        <v/>
      </c>
      <c r="AC171" s="798" t="str">
        <f t="shared" si="74"/>
        <v/>
      </c>
      <c r="AD171" s="798" t="str">
        <f t="shared" si="75"/>
        <v/>
      </c>
      <c r="AE171" s="798" t="str">
        <f t="shared" si="76"/>
        <v/>
      </c>
      <c r="AG171" s="540" t="s">
        <v>281</v>
      </c>
      <c r="AH171" s="798">
        <f t="shared" si="77"/>
        <v>0</v>
      </c>
      <c r="AI171" s="798" t="str">
        <f t="shared" si="78"/>
        <v/>
      </c>
      <c r="AJ171" s="798" t="str">
        <f t="shared" si="79"/>
        <v/>
      </c>
      <c r="AK171" s="798" t="str">
        <f t="shared" si="80"/>
        <v/>
      </c>
      <c r="AL171" s="798" t="str">
        <f t="shared" si="81"/>
        <v/>
      </c>
      <c r="AM171" s="798" t="str">
        <f t="shared" si="82"/>
        <v/>
      </c>
      <c r="AO171" s="540" t="s">
        <v>281</v>
      </c>
      <c r="AP171" s="798">
        <f t="shared" si="83"/>
        <v>0</v>
      </c>
      <c r="AQ171" s="798" t="str">
        <f t="shared" si="84"/>
        <v/>
      </c>
      <c r="AR171" s="798" t="str">
        <f t="shared" si="85"/>
        <v/>
      </c>
      <c r="AS171" s="798" t="str">
        <f t="shared" si="86"/>
        <v/>
      </c>
      <c r="AT171" s="798" t="str">
        <f t="shared" si="87"/>
        <v/>
      </c>
      <c r="AU171" s="798" t="str">
        <f t="shared" si="88"/>
        <v/>
      </c>
      <c r="AW171" s="540" t="s">
        <v>281</v>
      </c>
      <c r="AX171" s="798">
        <f t="shared" si="89"/>
        <v>0</v>
      </c>
      <c r="AY171" s="798" t="str">
        <f t="shared" si="90"/>
        <v/>
      </c>
      <c r="AZ171" s="798" t="str">
        <f t="shared" si="91"/>
        <v/>
      </c>
      <c r="BA171" s="798" t="str">
        <f t="shared" si="92"/>
        <v/>
      </c>
      <c r="BB171" s="798" t="str">
        <f t="shared" si="93"/>
        <v/>
      </c>
      <c r="BC171" s="798" t="str">
        <f t="shared" si="94"/>
        <v/>
      </c>
      <c r="BE171" s="540" t="s">
        <v>281</v>
      </c>
      <c r="BF171" s="798">
        <f t="shared" si="95"/>
        <v>0</v>
      </c>
      <c r="BG171" s="798" t="str">
        <f t="shared" si="96"/>
        <v/>
      </c>
      <c r="BH171" s="798" t="str">
        <f t="shared" si="97"/>
        <v/>
      </c>
      <c r="BI171" s="798" t="str">
        <f t="shared" si="98"/>
        <v/>
      </c>
      <c r="BJ171" s="798" t="str">
        <f t="shared" si="99"/>
        <v/>
      </c>
      <c r="BK171" s="798" t="str">
        <f t="shared" si="100"/>
        <v/>
      </c>
      <c r="BM171" s="540" t="s">
        <v>281</v>
      </c>
      <c r="BN171" s="798">
        <f t="shared" si="101"/>
        <v>0</v>
      </c>
      <c r="BO171" s="798" t="str">
        <f t="shared" si="102"/>
        <v/>
      </c>
      <c r="BP171" s="798" t="str">
        <f t="shared" si="103"/>
        <v/>
      </c>
      <c r="BQ171" s="798" t="str">
        <f t="shared" si="104"/>
        <v/>
      </c>
      <c r="BR171" s="798" t="str">
        <f t="shared" si="105"/>
        <v/>
      </c>
      <c r="BS171" s="798" t="str">
        <f t="shared" si="106"/>
        <v/>
      </c>
      <c r="BU171" s="540" t="s">
        <v>281</v>
      </c>
      <c r="BV171" s="798">
        <f t="shared" si="107"/>
        <v>0</v>
      </c>
      <c r="BW171" s="798" t="str">
        <f t="shared" si="108"/>
        <v/>
      </c>
      <c r="BX171" s="798" t="str">
        <f t="shared" si="109"/>
        <v/>
      </c>
      <c r="BY171" s="798" t="str">
        <f t="shared" si="110"/>
        <v/>
      </c>
      <c r="BZ171" s="798" t="str">
        <f t="shared" si="111"/>
        <v/>
      </c>
      <c r="CA171" s="798" t="str">
        <f t="shared" si="112"/>
        <v/>
      </c>
      <c r="CC171" s="540" t="s">
        <v>281</v>
      </c>
      <c r="CD171" s="798">
        <f t="shared" si="113"/>
        <v>0</v>
      </c>
      <c r="CE171" s="798" t="str">
        <f t="shared" si="114"/>
        <v/>
      </c>
      <c r="CF171" s="798" t="str">
        <f t="shared" si="115"/>
        <v/>
      </c>
      <c r="CG171" s="798" t="str">
        <f t="shared" si="116"/>
        <v/>
      </c>
      <c r="CH171" s="798" t="str">
        <f t="shared" si="117"/>
        <v/>
      </c>
      <c r="CI171" s="798" t="str">
        <f t="shared" si="118"/>
        <v/>
      </c>
      <c r="CK171" s="540" t="s">
        <v>281</v>
      </c>
      <c r="CL171" s="798">
        <f t="shared" si="119"/>
        <v>0</v>
      </c>
      <c r="CM171" s="798" t="str">
        <f t="shared" si="120"/>
        <v/>
      </c>
      <c r="CN171" s="798" t="str">
        <f t="shared" si="121"/>
        <v/>
      </c>
      <c r="CO171" s="798" t="str">
        <f t="shared" si="122"/>
        <v/>
      </c>
      <c r="CP171" s="798" t="str">
        <f t="shared" si="123"/>
        <v/>
      </c>
      <c r="CQ171" s="798" t="str">
        <f t="shared" si="124"/>
        <v/>
      </c>
    </row>
    <row r="172" spans="1:95">
      <c r="A172" s="540" t="s">
        <v>437</v>
      </c>
      <c r="B172" s="798">
        <f t="shared" ref="B172:G172" si="135">IF(B110&gt;0,INDEX($D$54:$D$94,B110,1),"")</f>
        <v>0</v>
      </c>
      <c r="C172" s="798">
        <f t="shared" si="135"/>
        <v>0</v>
      </c>
      <c r="D172" s="798" t="str">
        <f t="shared" si="135"/>
        <v/>
      </c>
      <c r="E172" s="798" t="str">
        <f t="shared" si="135"/>
        <v/>
      </c>
      <c r="F172" s="798" t="str">
        <f t="shared" si="135"/>
        <v/>
      </c>
      <c r="G172" s="798" t="str">
        <f t="shared" si="135"/>
        <v/>
      </c>
      <c r="I172" s="540" t="s">
        <v>437</v>
      </c>
      <c r="J172" s="798">
        <f t="shared" si="59"/>
        <v>0</v>
      </c>
      <c r="K172" s="798">
        <f t="shared" si="60"/>
        <v>0</v>
      </c>
      <c r="L172" s="798" t="str">
        <f t="shared" si="61"/>
        <v/>
      </c>
      <c r="M172" s="798" t="str">
        <f t="shared" si="62"/>
        <v/>
      </c>
      <c r="N172" s="798" t="str">
        <f t="shared" si="63"/>
        <v/>
      </c>
      <c r="O172" s="798" t="str">
        <f t="shared" si="64"/>
        <v/>
      </c>
      <c r="Q172" s="540" t="s">
        <v>437</v>
      </c>
      <c r="R172" s="798">
        <f t="shared" si="65"/>
        <v>0</v>
      </c>
      <c r="S172" s="798">
        <f t="shared" si="66"/>
        <v>0</v>
      </c>
      <c r="T172" s="798" t="str">
        <f t="shared" si="67"/>
        <v/>
      </c>
      <c r="U172" s="798" t="str">
        <f t="shared" si="68"/>
        <v/>
      </c>
      <c r="V172" s="798" t="str">
        <f t="shared" si="69"/>
        <v/>
      </c>
      <c r="W172" s="798" t="str">
        <f t="shared" si="70"/>
        <v/>
      </c>
      <c r="Y172" s="540" t="s">
        <v>437</v>
      </c>
      <c r="Z172" s="798">
        <f t="shared" si="71"/>
        <v>0</v>
      </c>
      <c r="AA172" s="798">
        <f t="shared" si="72"/>
        <v>0</v>
      </c>
      <c r="AB172" s="798" t="str">
        <f t="shared" si="73"/>
        <v/>
      </c>
      <c r="AC172" s="798" t="str">
        <f t="shared" si="74"/>
        <v/>
      </c>
      <c r="AD172" s="798" t="str">
        <f t="shared" si="75"/>
        <v/>
      </c>
      <c r="AE172" s="798" t="str">
        <f t="shared" si="76"/>
        <v/>
      </c>
      <c r="AG172" s="540" t="s">
        <v>437</v>
      </c>
      <c r="AH172" s="798">
        <f t="shared" si="77"/>
        <v>0</v>
      </c>
      <c r="AI172" s="798">
        <f t="shared" si="78"/>
        <v>0</v>
      </c>
      <c r="AJ172" s="798" t="str">
        <f t="shared" si="79"/>
        <v/>
      </c>
      <c r="AK172" s="798" t="str">
        <f t="shared" si="80"/>
        <v/>
      </c>
      <c r="AL172" s="798" t="str">
        <f t="shared" si="81"/>
        <v/>
      </c>
      <c r="AM172" s="798" t="str">
        <f t="shared" si="82"/>
        <v/>
      </c>
      <c r="AO172" s="540" t="s">
        <v>437</v>
      </c>
      <c r="AP172" s="798">
        <f t="shared" si="83"/>
        <v>0</v>
      </c>
      <c r="AQ172" s="798">
        <f t="shared" si="84"/>
        <v>0</v>
      </c>
      <c r="AR172" s="798" t="str">
        <f t="shared" si="85"/>
        <v/>
      </c>
      <c r="AS172" s="798" t="str">
        <f t="shared" si="86"/>
        <v/>
      </c>
      <c r="AT172" s="798" t="str">
        <f t="shared" si="87"/>
        <v/>
      </c>
      <c r="AU172" s="798" t="str">
        <f t="shared" si="88"/>
        <v/>
      </c>
      <c r="AW172" s="540" t="s">
        <v>437</v>
      </c>
      <c r="AX172" s="798">
        <f t="shared" si="89"/>
        <v>0</v>
      </c>
      <c r="AY172" s="798">
        <f t="shared" si="90"/>
        <v>0</v>
      </c>
      <c r="AZ172" s="798" t="str">
        <f t="shared" si="91"/>
        <v/>
      </c>
      <c r="BA172" s="798" t="str">
        <f t="shared" si="92"/>
        <v/>
      </c>
      <c r="BB172" s="798" t="str">
        <f t="shared" si="93"/>
        <v/>
      </c>
      <c r="BC172" s="798" t="str">
        <f t="shared" si="94"/>
        <v/>
      </c>
      <c r="BE172" s="540" t="s">
        <v>437</v>
      </c>
      <c r="BF172" s="798">
        <f t="shared" si="95"/>
        <v>0</v>
      </c>
      <c r="BG172" s="798">
        <f t="shared" si="96"/>
        <v>0</v>
      </c>
      <c r="BH172" s="798" t="str">
        <f t="shared" si="97"/>
        <v/>
      </c>
      <c r="BI172" s="798" t="str">
        <f t="shared" si="98"/>
        <v/>
      </c>
      <c r="BJ172" s="798" t="str">
        <f t="shared" si="99"/>
        <v/>
      </c>
      <c r="BK172" s="798" t="str">
        <f t="shared" si="100"/>
        <v/>
      </c>
      <c r="BM172" s="540" t="s">
        <v>437</v>
      </c>
      <c r="BN172" s="798">
        <f t="shared" si="101"/>
        <v>0</v>
      </c>
      <c r="BO172" s="798">
        <f t="shared" si="102"/>
        <v>0</v>
      </c>
      <c r="BP172" s="798" t="str">
        <f t="shared" si="103"/>
        <v/>
      </c>
      <c r="BQ172" s="798" t="str">
        <f t="shared" si="104"/>
        <v/>
      </c>
      <c r="BR172" s="798" t="str">
        <f t="shared" si="105"/>
        <v/>
      </c>
      <c r="BS172" s="798" t="str">
        <f t="shared" si="106"/>
        <v/>
      </c>
      <c r="BU172" s="540" t="s">
        <v>437</v>
      </c>
      <c r="BV172" s="798">
        <f t="shared" si="107"/>
        <v>0</v>
      </c>
      <c r="BW172" s="798">
        <f t="shared" si="108"/>
        <v>0</v>
      </c>
      <c r="BX172" s="798" t="str">
        <f t="shared" si="109"/>
        <v/>
      </c>
      <c r="BY172" s="798" t="str">
        <f t="shared" si="110"/>
        <v/>
      </c>
      <c r="BZ172" s="798" t="str">
        <f t="shared" si="111"/>
        <v/>
      </c>
      <c r="CA172" s="798" t="str">
        <f t="shared" si="112"/>
        <v/>
      </c>
      <c r="CC172" s="540" t="s">
        <v>437</v>
      </c>
      <c r="CD172" s="798">
        <f t="shared" si="113"/>
        <v>0</v>
      </c>
      <c r="CE172" s="798">
        <f t="shared" si="114"/>
        <v>0</v>
      </c>
      <c r="CF172" s="798" t="str">
        <f t="shared" si="115"/>
        <v/>
      </c>
      <c r="CG172" s="798" t="str">
        <f t="shared" si="116"/>
        <v/>
      </c>
      <c r="CH172" s="798" t="str">
        <f t="shared" si="117"/>
        <v/>
      </c>
      <c r="CI172" s="798" t="str">
        <f t="shared" si="118"/>
        <v/>
      </c>
      <c r="CK172" s="540" t="s">
        <v>437</v>
      </c>
      <c r="CL172" s="798">
        <f t="shared" si="119"/>
        <v>0</v>
      </c>
      <c r="CM172" s="798">
        <f t="shared" si="120"/>
        <v>0</v>
      </c>
      <c r="CN172" s="798" t="str">
        <f t="shared" si="121"/>
        <v/>
      </c>
      <c r="CO172" s="798" t="str">
        <f t="shared" si="122"/>
        <v/>
      </c>
      <c r="CP172" s="798" t="str">
        <f t="shared" si="123"/>
        <v/>
      </c>
      <c r="CQ172" s="798" t="str">
        <f t="shared" si="124"/>
        <v/>
      </c>
    </row>
    <row r="173" spans="1:95">
      <c r="A173" s="540" t="s">
        <v>452</v>
      </c>
      <c r="B173" s="798">
        <f t="shared" ref="B173:G173" si="136">IF(B111&gt;0,INDEX($D$54:$D$94,B111,1),"")</f>
        <v>0</v>
      </c>
      <c r="C173" s="798" t="str">
        <f t="shared" si="136"/>
        <v/>
      </c>
      <c r="D173" s="798" t="str">
        <f t="shared" si="136"/>
        <v/>
      </c>
      <c r="E173" s="798" t="str">
        <f t="shared" si="136"/>
        <v/>
      </c>
      <c r="F173" s="798" t="str">
        <f t="shared" si="136"/>
        <v/>
      </c>
      <c r="G173" s="798" t="str">
        <f t="shared" si="136"/>
        <v/>
      </c>
      <c r="I173" s="540" t="s">
        <v>452</v>
      </c>
      <c r="J173" s="798">
        <f t="shared" si="59"/>
        <v>0</v>
      </c>
      <c r="K173" s="798" t="str">
        <f t="shared" si="60"/>
        <v/>
      </c>
      <c r="L173" s="798" t="str">
        <f t="shared" si="61"/>
        <v/>
      </c>
      <c r="M173" s="798" t="str">
        <f t="shared" si="62"/>
        <v/>
      </c>
      <c r="N173" s="798" t="str">
        <f t="shared" si="63"/>
        <v/>
      </c>
      <c r="O173" s="798" t="str">
        <f t="shared" si="64"/>
        <v/>
      </c>
      <c r="Q173" s="540" t="s">
        <v>452</v>
      </c>
      <c r="R173" s="798">
        <f t="shared" si="65"/>
        <v>0</v>
      </c>
      <c r="S173" s="798" t="str">
        <f t="shared" si="66"/>
        <v/>
      </c>
      <c r="T173" s="798" t="str">
        <f t="shared" si="67"/>
        <v/>
      </c>
      <c r="U173" s="798" t="str">
        <f t="shared" si="68"/>
        <v/>
      </c>
      <c r="V173" s="798" t="str">
        <f t="shared" si="69"/>
        <v/>
      </c>
      <c r="W173" s="798" t="str">
        <f t="shared" si="70"/>
        <v/>
      </c>
      <c r="Y173" s="540" t="s">
        <v>452</v>
      </c>
      <c r="Z173" s="798">
        <f t="shared" si="71"/>
        <v>0</v>
      </c>
      <c r="AA173" s="798" t="str">
        <f t="shared" si="72"/>
        <v/>
      </c>
      <c r="AB173" s="798" t="str">
        <f t="shared" si="73"/>
        <v/>
      </c>
      <c r="AC173" s="798" t="str">
        <f t="shared" si="74"/>
        <v/>
      </c>
      <c r="AD173" s="798" t="str">
        <f t="shared" si="75"/>
        <v/>
      </c>
      <c r="AE173" s="798" t="str">
        <f t="shared" si="76"/>
        <v/>
      </c>
      <c r="AG173" s="540" t="s">
        <v>452</v>
      </c>
      <c r="AH173" s="798">
        <f t="shared" si="77"/>
        <v>0</v>
      </c>
      <c r="AI173" s="798" t="str">
        <f t="shared" si="78"/>
        <v/>
      </c>
      <c r="AJ173" s="798" t="str">
        <f t="shared" si="79"/>
        <v/>
      </c>
      <c r="AK173" s="798" t="str">
        <f t="shared" si="80"/>
        <v/>
      </c>
      <c r="AL173" s="798" t="str">
        <f t="shared" si="81"/>
        <v/>
      </c>
      <c r="AM173" s="798" t="str">
        <f t="shared" si="82"/>
        <v/>
      </c>
      <c r="AO173" s="540" t="s">
        <v>452</v>
      </c>
      <c r="AP173" s="798">
        <f t="shared" si="83"/>
        <v>0</v>
      </c>
      <c r="AQ173" s="798" t="str">
        <f t="shared" si="84"/>
        <v/>
      </c>
      <c r="AR173" s="798" t="str">
        <f t="shared" si="85"/>
        <v/>
      </c>
      <c r="AS173" s="798" t="str">
        <f t="shared" si="86"/>
        <v/>
      </c>
      <c r="AT173" s="798" t="str">
        <f t="shared" si="87"/>
        <v/>
      </c>
      <c r="AU173" s="798" t="str">
        <f t="shared" si="88"/>
        <v/>
      </c>
      <c r="AW173" s="540" t="s">
        <v>452</v>
      </c>
      <c r="AX173" s="798">
        <f t="shared" si="89"/>
        <v>0</v>
      </c>
      <c r="AY173" s="798" t="str">
        <f t="shared" si="90"/>
        <v/>
      </c>
      <c r="AZ173" s="798" t="str">
        <f t="shared" si="91"/>
        <v/>
      </c>
      <c r="BA173" s="798" t="str">
        <f t="shared" si="92"/>
        <v/>
      </c>
      <c r="BB173" s="798" t="str">
        <f t="shared" si="93"/>
        <v/>
      </c>
      <c r="BC173" s="798" t="str">
        <f t="shared" si="94"/>
        <v/>
      </c>
      <c r="BE173" s="540" t="s">
        <v>452</v>
      </c>
      <c r="BF173" s="798">
        <f t="shared" si="95"/>
        <v>0</v>
      </c>
      <c r="BG173" s="798" t="str">
        <f t="shared" si="96"/>
        <v/>
      </c>
      <c r="BH173" s="798" t="str">
        <f t="shared" si="97"/>
        <v/>
      </c>
      <c r="BI173" s="798" t="str">
        <f t="shared" si="98"/>
        <v/>
      </c>
      <c r="BJ173" s="798" t="str">
        <f t="shared" si="99"/>
        <v/>
      </c>
      <c r="BK173" s="798" t="str">
        <f t="shared" si="100"/>
        <v/>
      </c>
      <c r="BM173" s="540" t="s">
        <v>452</v>
      </c>
      <c r="BN173" s="798">
        <f t="shared" si="101"/>
        <v>0</v>
      </c>
      <c r="BO173" s="798" t="str">
        <f t="shared" si="102"/>
        <v/>
      </c>
      <c r="BP173" s="798" t="str">
        <f t="shared" si="103"/>
        <v/>
      </c>
      <c r="BQ173" s="798" t="str">
        <f t="shared" si="104"/>
        <v/>
      </c>
      <c r="BR173" s="798" t="str">
        <f t="shared" si="105"/>
        <v/>
      </c>
      <c r="BS173" s="798" t="str">
        <f t="shared" si="106"/>
        <v/>
      </c>
      <c r="BU173" s="540" t="s">
        <v>452</v>
      </c>
      <c r="BV173" s="798">
        <f t="shared" si="107"/>
        <v>0</v>
      </c>
      <c r="BW173" s="798" t="str">
        <f t="shared" si="108"/>
        <v/>
      </c>
      <c r="BX173" s="798" t="str">
        <f t="shared" si="109"/>
        <v/>
      </c>
      <c r="BY173" s="798" t="str">
        <f t="shared" si="110"/>
        <v/>
      </c>
      <c r="BZ173" s="798" t="str">
        <f t="shared" si="111"/>
        <v/>
      </c>
      <c r="CA173" s="798" t="str">
        <f t="shared" si="112"/>
        <v/>
      </c>
      <c r="CC173" s="540" t="s">
        <v>452</v>
      </c>
      <c r="CD173" s="798">
        <f t="shared" si="113"/>
        <v>0</v>
      </c>
      <c r="CE173" s="798" t="str">
        <f t="shared" si="114"/>
        <v/>
      </c>
      <c r="CF173" s="798" t="str">
        <f t="shared" si="115"/>
        <v/>
      </c>
      <c r="CG173" s="798" t="str">
        <f t="shared" si="116"/>
        <v/>
      </c>
      <c r="CH173" s="798" t="str">
        <f t="shared" si="117"/>
        <v/>
      </c>
      <c r="CI173" s="798" t="str">
        <f t="shared" si="118"/>
        <v/>
      </c>
      <c r="CK173" s="540" t="s">
        <v>452</v>
      </c>
      <c r="CL173" s="798">
        <f t="shared" si="119"/>
        <v>0</v>
      </c>
      <c r="CM173" s="798" t="str">
        <f t="shared" si="120"/>
        <v/>
      </c>
      <c r="CN173" s="798" t="str">
        <f t="shared" si="121"/>
        <v/>
      </c>
      <c r="CO173" s="798" t="str">
        <f t="shared" si="122"/>
        <v/>
      </c>
      <c r="CP173" s="798" t="str">
        <f t="shared" si="123"/>
        <v/>
      </c>
      <c r="CQ173" s="798" t="str">
        <f t="shared" si="124"/>
        <v/>
      </c>
    </row>
    <row r="174" spans="1:95">
      <c r="A174" s="540" t="s">
        <v>451</v>
      </c>
      <c r="B174" s="798">
        <f t="shared" ref="B174:G174" si="137">IF(B112&gt;0,INDEX($D$54:$D$94,B112,1),"")</f>
        <v>0</v>
      </c>
      <c r="C174" s="798">
        <f t="shared" si="137"/>
        <v>2</v>
      </c>
      <c r="D174" s="798" t="str">
        <f t="shared" si="137"/>
        <v/>
      </c>
      <c r="E174" s="798" t="str">
        <f t="shared" si="137"/>
        <v/>
      </c>
      <c r="F174" s="798" t="str">
        <f t="shared" si="137"/>
        <v/>
      </c>
      <c r="G174" s="798" t="str">
        <f t="shared" si="137"/>
        <v/>
      </c>
      <c r="I174" s="540" t="s">
        <v>451</v>
      </c>
      <c r="J174" s="798">
        <f t="shared" si="59"/>
        <v>0</v>
      </c>
      <c r="K174" s="798">
        <f t="shared" si="60"/>
        <v>2</v>
      </c>
      <c r="L174" s="798" t="str">
        <f t="shared" si="61"/>
        <v/>
      </c>
      <c r="M174" s="798" t="str">
        <f t="shared" si="62"/>
        <v/>
      </c>
      <c r="N174" s="798" t="str">
        <f t="shared" si="63"/>
        <v/>
      </c>
      <c r="O174" s="798" t="str">
        <f t="shared" si="64"/>
        <v/>
      </c>
      <c r="Q174" s="540" t="s">
        <v>451</v>
      </c>
      <c r="R174" s="798">
        <f t="shared" si="65"/>
        <v>0</v>
      </c>
      <c r="S174" s="798">
        <f t="shared" si="66"/>
        <v>2</v>
      </c>
      <c r="T174" s="798" t="str">
        <f t="shared" si="67"/>
        <v/>
      </c>
      <c r="U174" s="798" t="str">
        <f t="shared" si="68"/>
        <v/>
      </c>
      <c r="V174" s="798" t="str">
        <f t="shared" si="69"/>
        <v/>
      </c>
      <c r="W174" s="798" t="str">
        <f t="shared" si="70"/>
        <v/>
      </c>
      <c r="Y174" s="540" t="s">
        <v>451</v>
      </c>
      <c r="Z174" s="798">
        <f t="shared" si="71"/>
        <v>0</v>
      </c>
      <c r="AA174" s="798">
        <f t="shared" si="72"/>
        <v>2</v>
      </c>
      <c r="AB174" s="798" t="str">
        <f t="shared" si="73"/>
        <v/>
      </c>
      <c r="AC174" s="798" t="str">
        <f t="shared" si="74"/>
        <v/>
      </c>
      <c r="AD174" s="798" t="str">
        <f t="shared" si="75"/>
        <v/>
      </c>
      <c r="AE174" s="798" t="str">
        <f t="shared" si="76"/>
        <v/>
      </c>
      <c r="AG174" s="540" t="s">
        <v>451</v>
      </c>
      <c r="AH174" s="798">
        <f t="shared" si="77"/>
        <v>0</v>
      </c>
      <c r="AI174" s="798">
        <f t="shared" si="78"/>
        <v>2</v>
      </c>
      <c r="AJ174" s="798" t="str">
        <f t="shared" si="79"/>
        <v/>
      </c>
      <c r="AK174" s="798" t="str">
        <f t="shared" si="80"/>
        <v/>
      </c>
      <c r="AL174" s="798" t="str">
        <f t="shared" si="81"/>
        <v/>
      </c>
      <c r="AM174" s="798" t="str">
        <f t="shared" si="82"/>
        <v/>
      </c>
      <c r="AO174" s="540" t="s">
        <v>451</v>
      </c>
      <c r="AP174" s="798">
        <f t="shared" si="83"/>
        <v>0</v>
      </c>
      <c r="AQ174" s="798">
        <f t="shared" si="84"/>
        <v>2</v>
      </c>
      <c r="AR174" s="798" t="str">
        <f t="shared" si="85"/>
        <v/>
      </c>
      <c r="AS174" s="798" t="str">
        <f t="shared" si="86"/>
        <v/>
      </c>
      <c r="AT174" s="798" t="str">
        <f t="shared" si="87"/>
        <v/>
      </c>
      <c r="AU174" s="798" t="str">
        <f t="shared" si="88"/>
        <v/>
      </c>
      <c r="AW174" s="540" t="s">
        <v>451</v>
      </c>
      <c r="AX174" s="798">
        <f t="shared" si="89"/>
        <v>0</v>
      </c>
      <c r="AY174" s="798">
        <f t="shared" si="90"/>
        <v>2</v>
      </c>
      <c r="AZ174" s="798" t="str">
        <f t="shared" si="91"/>
        <v/>
      </c>
      <c r="BA174" s="798" t="str">
        <f t="shared" si="92"/>
        <v/>
      </c>
      <c r="BB174" s="798" t="str">
        <f t="shared" si="93"/>
        <v/>
      </c>
      <c r="BC174" s="798" t="str">
        <f t="shared" si="94"/>
        <v/>
      </c>
      <c r="BE174" s="540" t="s">
        <v>451</v>
      </c>
      <c r="BF174" s="798">
        <f t="shared" si="95"/>
        <v>0</v>
      </c>
      <c r="BG174" s="798">
        <f t="shared" si="96"/>
        <v>2</v>
      </c>
      <c r="BH174" s="798" t="str">
        <f t="shared" si="97"/>
        <v/>
      </c>
      <c r="BI174" s="798" t="str">
        <f t="shared" si="98"/>
        <v/>
      </c>
      <c r="BJ174" s="798" t="str">
        <f t="shared" si="99"/>
        <v/>
      </c>
      <c r="BK174" s="798" t="str">
        <f t="shared" si="100"/>
        <v/>
      </c>
      <c r="BM174" s="540" t="s">
        <v>451</v>
      </c>
      <c r="BN174" s="798">
        <f t="shared" si="101"/>
        <v>0</v>
      </c>
      <c r="BO174" s="798">
        <f t="shared" si="102"/>
        <v>2</v>
      </c>
      <c r="BP174" s="798" t="str">
        <f t="shared" si="103"/>
        <v/>
      </c>
      <c r="BQ174" s="798" t="str">
        <f t="shared" si="104"/>
        <v/>
      </c>
      <c r="BR174" s="798" t="str">
        <f t="shared" si="105"/>
        <v/>
      </c>
      <c r="BS174" s="798" t="str">
        <f t="shared" si="106"/>
        <v/>
      </c>
      <c r="BU174" s="540" t="s">
        <v>451</v>
      </c>
      <c r="BV174" s="798">
        <f t="shared" si="107"/>
        <v>0</v>
      </c>
      <c r="BW174" s="798">
        <f t="shared" si="108"/>
        <v>2</v>
      </c>
      <c r="BX174" s="798" t="str">
        <f t="shared" si="109"/>
        <v/>
      </c>
      <c r="BY174" s="798" t="str">
        <f t="shared" si="110"/>
        <v/>
      </c>
      <c r="BZ174" s="798" t="str">
        <f t="shared" si="111"/>
        <v/>
      </c>
      <c r="CA174" s="798" t="str">
        <f t="shared" si="112"/>
        <v/>
      </c>
      <c r="CC174" s="540" t="s">
        <v>451</v>
      </c>
      <c r="CD174" s="798">
        <f t="shared" si="113"/>
        <v>0</v>
      </c>
      <c r="CE174" s="798">
        <f t="shared" si="114"/>
        <v>2</v>
      </c>
      <c r="CF174" s="798" t="str">
        <f t="shared" si="115"/>
        <v/>
      </c>
      <c r="CG174" s="798" t="str">
        <f t="shared" si="116"/>
        <v/>
      </c>
      <c r="CH174" s="798" t="str">
        <f t="shared" si="117"/>
        <v/>
      </c>
      <c r="CI174" s="798" t="str">
        <f t="shared" si="118"/>
        <v/>
      </c>
      <c r="CK174" s="540" t="s">
        <v>451</v>
      </c>
      <c r="CL174" s="798">
        <f t="shared" si="119"/>
        <v>0</v>
      </c>
      <c r="CM174" s="798">
        <f t="shared" si="120"/>
        <v>2</v>
      </c>
      <c r="CN174" s="798" t="str">
        <f t="shared" si="121"/>
        <v/>
      </c>
      <c r="CO174" s="798" t="str">
        <f t="shared" si="122"/>
        <v/>
      </c>
      <c r="CP174" s="798" t="str">
        <f t="shared" si="123"/>
        <v/>
      </c>
      <c r="CQ174" s="798" t="str">
        <f t="shared" si="124"/>
        <v/>
      </c>
    </row>
    <row r="175" spans="1:95">
      <c r="A175" s="540" t="s">
        <v>276</v>
      </c>
      <c r="B175" s="798">
        <f t="shared" ref="B175:G175" si="138">IF(B113&gt;0,INDEX($D$54:$D$94,B113,1),"")</f>
        <v>0</v>
      </c>
      <c r="C175" s="798" t="str">
        <f t="shared" si="138"/>
        <v/>
      </c>
      <c r="D175" s="798" t="str">
        <f t="shared" si="138"/>
        <v/>
      </c>
      <c r="E175" s="798" t="str">
        <f t="shared" si="138"/>
        <v/>
      </c>
      <c r="F175" s="798" t="str">
        <f t="shared" si="138"/>
        <v/>
      </c>
      <c r="G175" s="798" t="str">
        <f t="shared" si="138"/>
        <v/>
      </c>
      <c r="I175" s="540" t="s">
        <v>276</v>
      </c>
      <c r="J175" s="798">
        <f t="shared" si="59"/>
        <v>0</v>
      </c>
      <c r="K175" s="798" t="str">
        <f t="shared" si="60"/>
        <v/>
      </c>
      <c r="L175" s="798" t="str">
        <f t="shared" si="61"/>
        <v/>
      </c>
      <c r="M175" s="798" t="str">
        <f t="shared" si="62"/>
        <v/>
      </c>
      <c r="N175" s="798" t="str">
        <f t="shared" si="63"/>
        <v/>
      </c>
      <c r="O175" s="798" t="str">
        <f t="shared" si="64"/>
        <v/>
      </c>
      <c r="Q175" s="540" t="s">
        <v>276</v>
      </c>
      <c r="R175" s="798">
        <f t="shared" si="65"/>
        <v>0</v>
      </c>
      <c r="S175" s="798" t="str">
        <f t="shared" si="66"/>
        <v/>
      </c>
      <c r="T175" s="798" t="str">
        <f t="shared" si="67"/>
        <v/>
      </c>
      <c r="U175" s="798" t="str">
        <f t="shared" si="68"/>
        <v/>
      </c>
      <c r="V175" s="798" t="str">
        <f t="shared" si="69"/>
        <v/>
      </c>
      <c r="W175" s="798" t="str">
        <f t="shared" si="70"/>
        <v/>
      </c>
      <c r="Y175" s="540" t="s">
        <v>276</v>
      </c>
      <c r="Z175" s="798">
        <f t="shared" si="71"/>
        <v>0</v>
      </c>
      <c r="AA175" s="798" t="str">
        <f t="shared" si="72"/>
        <v/>
      </c>
      <c r="AB175" s="798" t="str">
        <f t="shared" si="73"/>
        <v/>
      </c>
      <c r="AC175" s="798" t="str">
        <f t="shared" si="74"/>
        <v/>
      </c>
      <c r="AD175" s="798" t="str">
        <f t="shared" si="75"/>
        <v/>
      </c>
      <c r="AE175" s="798" t="str">
        <f t="shared" si="76"/>
        <v/>
      </c>
      <c r="AG175" s="540" t="s">
        <v>276</v>
      </c>
      <c r="AH175" s="798">
        <f t="shared" si="77"/>
        <v>0</v>
      </c>
      <c r="AI175" s="798" t="str">
        <f t="shared" si="78"/>
        <v/>
      </c>
      <c r="AJ175" s="798" t="str">
        <f t="shared" si="79"/>
        <v/>
      </c>
      <c r="AK175" s="798" t="str">
        <f t="shared" si="80"/>
        <v/>
      </c>
      <c r="AL175" s="798" t="str">
        <f t="shared" si="81"/>
        <v/>
      </c>
      <c r="AM175" s="798" t="str">
        <f t="shared" si="82"/>
        <v/>
      </c>
      <c r="AO175" s="540" t="s">
        <v>276</v>
      </c>
      <c r="AP175" s="798">
        <f t="shared" si="83"/>
        <v>0</v>
      </c>
      <c r="AQ175" s="798" t="str">
        <f t="shared" si="84"/>
        <v/>
      </c>
      <c r="AR175" s="798" t="str">
        <f t="shared" si="85"/>
        <v/>
      </c>
      <c r="AS175" s="798" t="str">
        <f t="shared" si="86"/>
        <v/>
      </c>
      <c r="AT175" s="798" t="str">
        <f t="shared" si="87"/>
        <v/>
      </c>
      <c r="AU175" s="798" t="str">
        <f t="shared" si="88"/>
        <v/>
      </c>
      <c r="AW175" s="540" t="s">
        <v>276</v>
      </c>
      <c r="AX175" s="798">
        <f t="shared" si="89"/>
        <v>0</v>
      </c>
      <c r="AY175" s="798" t="str">
        <f t="shared" si="90"/>
        <v/>
      </c>
      <c r="AZ175" s="798" t="str">
        <f t="shared" si="91"/>
        <v/>
      </c>
      <c r="BA175" s="798" t="str">
        <f t="shared" si="92"/>
        <v/>
      </c>
      <c r="BB175" s="798" t="str">
        <f t="shared" si="93"/>
        <v/>
      </c>
      <c r="BC175" s="798" t="str">
        <f t="shared" si="94"/>
        <v/>
      </c>
      <c r="BE175" s="540" t="s">
        <v>276</v>
      </c>
      <c r="BF175" s="798">
        <f t="shared" si="95"/>
        <v>0</v>
      </c>
      <c r="BG175" s="798" t="str">
        <f t="shared" si="96"/>
        <v/>
      </c>
      <c r="BH175" s="798" t="str">
        <f t="shared" si="97"/>
        <v/>
      </c>
      <c r="BI175" s="798" t="str">
        <f t="shared" si="98"/>
        <v/>
      </c>
      <c r="BJ175" s="798" t="str">
        <f t="shared" si="99"/>
        <v/>
      </c>
      <c r="BK175" s="798" t="str">
        <f t="shared" si="100"/>
        <v/>
      </c>
      <c r="BM175" s="540" t="s">
        <v>276</v>
      </c>
      <c r="BN175" s="798">
        <f t="shared" si="101"/>
        <v>0</v>
      </c>
      <c r="BO175" s="798" t="str">
        <f t="shared" si="102"/>
        <v/>
      </c>
      <c r="BP175" s="798" t="str">
        <f t="shared" si="103"/>
        <v/>
      </c>
      <c r="BQ175" s="798" t="str">
        <f t="shared" si="104"/>
        <v/>
      </c>
      <c r="BR175" s="798" t="str">
        <f t="shared" si="105"/>
        <v/>
      </c>
      <c r="BS175" s="798" t="str">
        <f t="shared" si="106"/>
        <v/>
      </c>
      <c r="BU175" s="540" t="s">
        <v>276</v>
      </c>
      <c r="BV175" s="798">
        <f t="shared" si="107"/>
        <v>0</v>
      </c>
      <c r="BW175" s="798" t="str">
        <f t="shared" si="108"/>
        <v/>
      </c>
      <c r="BX175" s="798" t="str">
        <f t="shared" si="109"/>
        <v/>
      </c>
      <c r="BY175" s="798" t="str">
        <f t="shared" si="110"/>
        <v/>
      </c>
      <c r="BZ175" s="798" t="str">
        <f t="shared" si="111"/>
        <v/>
      </c>
      <c r="CA175" s="798" t="str">
        <f t="shared" si="112"/>
        <v/>
      </c>
      <c r="CC175" s="540" t="s">
        <v>276</v>
      </c>
      <c r="CD175" s="798">
        <f t="shared" si="113"/>
        <v>0</v>
      </c>
      <c r="CE175" s="798" t="str">
        <f t="shared" si="114"/>
        <v/>
      </c>
      <c r="CF175" s="798" t="str">
        <f t="shared" si="115"/>
        <v/>
      </c>
      <c r="CG175" s="798" t="str">
        <f t="shared" si="116"/>
        <v/>
      </c>
      <c r="CH175" s="798" t="str">
        <f t="shared" si="117"/>
        <v/>
      </c>
      <c r="CI175" s="798" t="str">
        <f t="shared" si="118"/>
        <v/>
      </c>
      <c r="CK175" s="540" t="s">
        <v>276</v>
      </c>
      <c r="CL175" s="798">
        <f t="shared" si="119"/>
        <v>0</v>
      </c>
      <c r="CM175" s="798" t="str">
        <f t="shared" si="120"/>
        <v/>
      </c>
      <c r="CN175" s="798" t="str">
        <f t="shared" si="121"/>
        <v/>
      </c>
      <c r="CO175" s="798" t="str">
        <f t="shared" si="122"/>
        <v/>
      </c>
      <c r="CP175" s="798" t="str">
        <f t="shared" si="123"/>
        <v/>
      </c>
      <c r="CQ175" s="798" t="str">
        <f t="shared" si="124"/>
        <v/>
      </c>
    </row>
    <row r="176" spans="1:95">
      <c r="A176" s="540" t="s">
        <v>274</v>
      </c>
      <c r="B176" s="798">
        <f t="shared" ref="B176:G176" si="139">IF(B114&gt;0,INDEX($D$54:$D$94,B114,1),"")</f>
        <v>0</v>
      </c>
      <c r="C176" s="798" t="str">
        <f t="shared" si="139"/>
        <v/>
      </c>
      <c r="D176" s="798" t="str">
        <f t="shared" si="139"/>
        <v/>
      </c>
      <c r="E176" s="798" t="str">
        <f t="shared" si="139"/>
        <v/>
      </c>
      <c r="F176" s="798" t="str">
        <f t="shared" si="139"/>
        <v/>
      </c>
      <c r="G176" s="798" t="str">
        <f t="shared" si="139"/>
        <v/>
      </c>
      <c r="I176" s="540" t="s">
        <v>274</v>
      </c>
      <c r="J176" s="798">
        <f t="shared" si="59"/>
        <v>0</v>
      </c>
      <c r="K176" s="798" t="str">
        <f t="shared" si="60"/>
        <v/>
      </c>
      <c r="L176" s="798" t="str">
        <f t="shared" si="61"/>
        <v/>
      </c>
      <c r="M176" s="798" t="str">
        <f t="shared" si="62"/>
        <v/>
      </c>
      <c r="N176" s="798" t="str">
        <f t="shared" si="63"/>
        <v/>
      </c>
      <c r="O176" s="798" t="str">
        <f t="shared" si="64"/>
        <v/>
      </c>
      <c r="Q176" s="540" t="s">
        <v>274</v>
      </c>
      <c r="R176" s="798">
        <f t="shared" si="65"/>
        <v>0</v>
      </c>
      <c r="S176" s="798" t="str">
        <f t="shared" si="66"/>
        <v/>
      </c>
      <c r="T176" s="798" t="str">
        <f t="shared" si="67"/>
        <v/>
      </c>
      <c r="U176" s="798" t="str">
        <f t="shared" si="68"/>
        <v/>
      </c>
      <c r="V176" s="798" t="str">
        <f t="shared" si="69"/>
        <v/>
      </c>
      <c r="W176" s="798" t="str">
        <f t="shared" si="70"/>
        <v/>
      </c>
      <c r="Y176" s="540" t="s">
        <v>274</v>
      </c>
      <c r="Z176" s="798">
        <f t="shared" si="71"/>
        <v>0</v>
      </c>
      <c r="AA176" s="798" t="str">
        <f t="shared" si="72"/>
        <v/>
      </c>
      <c r="AB176" s="798" t="str">
        <f t="shared" si="73"/>
        <v/>
      </c>
      <c r="AC176" s="798" t="str">
        <f t="shared" si="74"/>
        <v/>
      </c>
      <c r="AD176" s="798" t="str">
        <f t="shared" si="75"/>
        <v/>
      </c>
      <c r="AE176" s="798" t="str">
        <f t="shared" si="76"/>
        <v/>
      </c>
      <c r="AG176" s="540" t="s">
        <v>274</v>
      </c>
      <c r="AH176" s="798">
        <f t="shared" si="77"/>
        <v>0</v>
      </c>
      <c r="AI176" s="798" t="str">
        <f t="shared" si="78"/>
        <v/>
      </c>
      <c r="AJ176" s="798" t="str">
        <f t="shared" si="79"/>
        <v/>
      </c>
      <c r="AK176" s="798" t="str">
        <f t="shared" si="80"/>
        <v/>
      </c>
      <c r="AL176" s="798" t="str">
        <f t="shared" si="81"/>
        <v/>
      </c>
      <c r="AM176" s="798" t="str">
        <f t="shared" si="82"/>
        <v/>
      </c>
      <c r="AO176" s="540" t="s">
        <v>274</v>
      </c>
      <c r="AP176" s="798">
        <f t="shared" si="83"/>
        <v>0</v>
      </c>
      <c r="AQ176" s="798" t="str">
        <f t="shared" si="84"/>
        <v/>
      </c>
      <c r="AR176" s="798" t="str">
        <f t="shared" si="85"/>
        <v/>
      </c>
      <c r="AS176" s="798" t="str">
        <f t="shared" si="86"/>
        <v/>
      </c>
      <c r="AT176" s="798" t="str">
        <f t="shared" si="87"/>
        <v/>
      </c>
      <c r="AU176" s="798" t="str">
        <f t="shared" si="88"/>
        <v/>
      </c>
      <c r="AW176" s="540" t="s">
        <v>274</v>
      </c>
      <c r="AX176" s="798">
        <f t="shared" si="89"/>
        <v>0</v>
      </c>
      <c r="AY176" s="798" t="str">
        <f t="shared" si="90"/>
        <v/>
      </c>
      <c r="AZ176" s="798" t="str">
        <f t="shared" si="91"/>
        <v/>
      </c>
      <c r="BA176" s="798" t="str">
        <f t="shared" si="92"/>
        <v/>
      </c>
      <c r="BB176" s="798" t="str">
        <f t="shared" si="93"/>
        <v/>
      </c>
      <c r="BC176" s="798" t="str">
        <f t="shared" si="94"/>
        <v/>
      </c>
      <c r="BE176" s="540" t="s">
        <v>274</v>
      </c>
      <c r="BF176" s="798">
        <f t="shared" si="95"/>
        <v>0</v>
      </c>
      <c r="BG176" s="798" t="str">
        <f t="shared" si="96"/>
        <v/>
      </c>
      <c r="BH176" s="798" t="str">
        <f t="shared" si="97"/>
        <v/>
      </c>
      <c r="BI176" s="798" t="str">
        <f t="shared" si="98"/>
        <v/>
      </c>
      <c r="BJ176" s="798" t="str">
        <f t="shared" si="99"/>
        <v/>
      </c>
      <c r="BK176" s="798" t="str">
        <f t="shared" si="100"/>
        <v/>
      </c>
      <c r="BM176" s="540" t="s">
        <v>274</v>
      </c>
      <c r="BN176" s="798">
        <f t="shared" si="101"/>
        <v>0</v>
      </c>
      <c r="BO176" s="798" t="str">
        <f t="shared" si="102"/>
        <v/>
      </c>
      <c r="BP176" s="798" t="str">
        <f t="shared" si="103"/>
        <v/>
      </c>
      <c r="BQ176" s="798" t="str">
        <f t="shared" si="104"/>
        <v/>
      </c>
      <c r="BR176" s="798" t="str">
        <f t="shared" si="105"/>
        <v/>
      </c>
      <c r="BS176" s="798" t="str">
        <f t="shared" si="106"/>
        <v/>
      </c>
      <c r="BU176" s="540" t="s">
        <v>274</v>
      </c>
      <c r="BV176" s="798">
        <f t="shared" si="107"/>
        <v>0</v>
      </c>
      <c r="BW176" s="798" t="str">
        <f t="shared" si="108"/>
        <v/>
      </c>
      <c r="BX176" s="798" t="str">
        <f t="shared" si="109"/>
        <v/>
      </c>
      <c r="BY176" s="798" t="str">
        <f t="shared" si="110"/>
        <v/>
      </c>
      <c r="BZ176" s="798" t="str">
        <f t="shared" si="111"/>
        <v/>
      </c>
      <c r="CA176" s="798" t="str">
        <f t="shared" si="112"/>
        <v/>
      </c>
      <c r="CC176" s="540" t="s">
        <v>274</v>
      </c>
      <c r="CD176" s="798">
        <f t="shared" si="113"/>
        <v>0</v>
      </c>
      <c r="CE176" s="798" t="str">
        <f t="shared" si="114"/>
        <v/>
      </c>
      <c r="CF176" s="798" t="str">
        <f t="shared" si="115"/>
        <v/>
      </c>
      <c r="CG176" s="798" t="str">
        <f t="shared" si="116"/>
        <v/>
      </c>
      <c r="CH176" s="798" t="str">
        <f t="shared" si="117"/>
        <v/>
      </c>
      <c r="CI176" s="798" t="str">
        <f t="shared" si="118"/>
        <v/>
      </c>
      <c r="CK176" s="540" t="s">
        <v>274</v>
      </c>
      <c r="CL176" s="798">
        <f t="shared" si="119"/>
        <v>0</v>
      </c>
      <c r="CM176" s="798" t="str">
        <f t="shared" si="120"/>
        <v/>
      </c>
      <c r="CN176" s="798" t="str">
        <f t="shared" si="121"/>
        <v/>
      </c>
      <c r="CO176" s="798" t="str">
        <f t="shared" si="122"/>
        <v/>
      </c>
      <c r="CP176" s="798" t="str">
        <f t="shared" si="123"/>
        <v/>
      </c>
      <c r="CQ176" s="798" t="str">
        <f t="shared" si="124"/>
        <v/>
      </c>
    </row>
    <row r="177" spans="1:95">
      <c r="A177" s="540" t="s">
        <v>263</v>
      </c>
      <c r="B177" s="798">
        <f t="shared" ref="B177:G177" si="140">IF(B115&gt;0,INDEX($D$54:$D$94,B115,1),"")</f>
        <v>0</v>
      </c>
      <c r="C177" s="798" t="str">
        <f t="shared" si="140"/>
        <v/>
      </c>
      <c r="D177" s="798" t="str">
        <f t="shared" si="140"/>
        <v/>
      </c>
      <c r="E177" s="798" t="str">
        <f t="shared" si="140"/>
        <v/>
      </c>
      <c r="F177" s="798" t="str">
        <f t="shared" si="140"/>
        <v/>
      </c>
      <c r="G177" s="798" t="str">
        <f t="shared" si="140"/>
        <v/>
      </c>
      <c r="I177" s="540" t="s">
        <v>263</v>
      </c>
      <c r="J177" s="798">
        <f t="shared" si="59"/>
        <v>0</v>
      </c>
      <c r="K177" s="798" t="str">
        <f t="shared" si="60"/>
        <v/>
      </c>
      <c r="L177" s="798" t="str">
        <f t="shared" si="61"/>
        <v/>
      </c>
      <c r="M177" s="798" t="str">
        <f t="shared" si="62"/>
        <v/>
      </c>
      <c r="N177" s="798" t="str">
        <f t="shared" si="63"/>
        <v/>
      </c>
      <c r="O177" s="798" t="str">
        <f t="shared" si="64"/>
        <v/>
      </c>
      <c r="Q177" s="540" t="s">
        <v>263</v>
      </c>
      <c r="R177" s="798">
        <f t="shared" si="65"/>
        <v>0</v>
      </c>
      <c r="S177" s="798" t="str">
        <f t="shared" si="66"/>
        <v/>
      </c>
      <c r="T177" s="798" t="str">
        <f t="shared" si="67"/>
        <v/>
      </c>
      <c r="U177" s="798" t="str">
        <f t="shared" si="68"/>
        <v/>
      </c>
      <c r="V177" s="798" t="str">
        <f t="shared" si="69"/>
        <v/>
      </c>
      <c r="W177" s="798" t="str">
        <f t="shared" si="70"/>
        <v/>
      </c>
      <c r="Y177" s="540" t="s">
        <v>263</v>
      </c>
      <c r="Z177" s="798">
        <f t="shared" si="71"/>
        <v>0</v>
      </c>
      <c r="AA177" s="798" t="str">
        <f t="shared" si="72"/>
        <v/>
      </c>
      <c r="AB177" s="798" t="str">
        <f t="shared" si="73"/>
        <v/>
      </c>
      <c r="AC177" s="798" t="str">
        <f t="shared" si="74"/>
        <v/>
      </c>
      <c r="AD177" s="798" t="str">
        <f t="shared" si="75"/>
        <v/>
      </c>
      <c r="AE177" s="798" t="str">
        <f t="shared" si="76"/>
        <v/>
      </c>
      <c r="AG177" s="540" t="s">
        <v>263</v>
      </c>
      <c r="AH177" s="798">
        <f t="shared" si="77"/>
        <v>0</v>
      </c>
      <c r="AI177" s="798" t="str">
        <f t="shared" si="78"/>
        <v/>
      </c>
      <c r="AJ177" s="798" t="str">
        <f t="shared" si="79"/>
        <v/>
      </c>
      <c r="AK177" s="798" t="str">
        <f t="shared" si="80"/>
        <v/>
      </c>
      <c r="AL177" s="798" t="str">
        <f t="shared" si="81"/>
        <v/>
      </c>
      <c r="AM177" s="798" t="str">
        <f t="shared" si="82"/>
        <v/>
      </c>
      <c r="AO177" s="540" t="s">
        <v>263</v>
      </c>
      <c r="AP177" s="798">
        <f t="shared" si="83"/>
        <v>0</v>
      </c>
      <c r="AQ177" s="798" t="str">
        <f t="shared" si="84"/>
        <v/>
      </c>
      <c r="AR177" s="798" t="str">
        <f t="shared" si="85"/>
        <v/>
      </c>
      <c r="AS177" s="798" t="str">
        <f t="shared" si="86"/>
        <v/>
      </c>
      <c r="AT177" s="798" t="str">
        <f t="shared" si="87"/>
        <v/>
      </c>
      <c r="AU177" s="798" t="str">
        <f t="shared" si="88"/>
        <v/>
      </c>
      <c r="AW177" s="540" t="s">
        <v>263</v>
      </c>
      <c r="AX177" s="798">
        <f t="shared" si="89"/>
        <v>0</v>
      </c>
      <c r="AY177" s="798" t="str">
        <f t="shared" si="90"/>
        <v/>
      </c>
      <c r="AZ177" s="798" t="str">
        <f t="shared" si="91"/>
        <v/>
      </c>
      <c r="BA177" s="798" t="str">
        <f t="shared" si="92"/>
        <v/>
      </c>
      <c r="BB177" s="798" t="str">
        <f t="shared" si="93"/>
        <v/>
      </c>
      <c r="BC177" s="798" t="str">
        <f t="shared" si="94"/>
        <v/>
      </c>
      <c r="BE177" s="540" t="s">
        <v>263</v>
      </c>
      <c r="BF177" s="798">
        <f t="shared" si="95"/>
        <v>0</v>
      </c>
      <c r="BG177" s="798" t="str">
        <f t="shared" si="96"/>
        <v/>
      </c>
      <c r="BH177" s="798" t="str">
        <f t="shared" si="97"/>
        <v/>
      </c>
      <c r="BI177" s="798" t="str">
        <f t="shared" si="98"/>
        <v/>
      </c>
      <c r="BJ177" s="798" t="str">
        <f t="shared" si="99"/>
        <v/>
      </c>
      <c r="BK177" s="798" t="str">
        <f t="shared" si="100"/>
        <v/>
      </c>
      <c r="BM177" s="540" t="s">
        <v>263</v>
      </c>
      <c r="BN177" s="798">
        <f t="shared" si="101"/>
        <v>0</v>
      </c>
      <c r="BO177" s="798" t="str">
        <f t="shared" si="102"/>
        <v/>
      </c>
      <c r="BP177" s="798" t="str">
        <f t="shared" si="103"/>
        <v/>
      </c>
      <c r="BQ177" s="798" t="str">
        <f t="shared" si="104"/>
        <v/>
      </c>
      <c r="BR177" s="798" t="str">
        <f t="shared" si="105"/>
        <v/>
      </c>
      <c r="BS177" s="798" t="str">
        <f t="shared" si="106"/>
        <v/>
      </c>
      <c r="BU177" s="540" t="s">
        <v>263</v>
      </c>
      <c r="BV177" s="798">
        <f t="shared" si="107"/>
        <v>0</v>
      </c>
      <c r="BW177" s="798" t="str">
        <f t="shared" si="108"/>
        <v/>
      </c>
      <c r="BX177" s="798" t="str">
        <f t="shared" si="109"/>
        <v/>
      </c>
      <c r="BY177" s="798" t="str">
        <f t="shared" si="110"/>
        <v/>
      </c>
      <c r="BZ177" s="798" t="str">
        <f t="shared" si="111"/>
        <v/>
      </c>
      <c r="CA177" s="798" t="str">
        <f t="shared" si="112"/>
        <v/>
      </c>
      <c r="CC177" s="540" t="s">
        <v>263</v>
      </c>
      <c r="CD177" s="798">
        <f t="shared" si="113"/>
        <v>0</v>
      </c>
      <c r="CE177" s="798" t="str">
        <f t="shared" si="114"/>
        <v/>
      </c>
      <c r="CF177" s="798" t="str">
        <f t="shared" si="115"/>
        <v/>
      </c>
      <c r="CG177" s="798" t="str">
        <f t="shared" si="116"/>
        <v/>
      </c>
      <c r="CH177" s="798" t="str">
        <f t="shared" si="117"/>
        <v/>
      </c>
      <c r="CI177" s="798" t="str">
        <f t="shared" si="118"/>
        <v/>
      </c>
      <c r="CK177" s="540" t="s">
        <v>263</v>
      </c>
      <c r="CL177" s="798">
        <f t="shared" si="119"/>
        <v>0</v>
      </c>
      <c r="CM177" s="798" t="str">
        <f t="shared" si="120"/>
        <v/>
      </c>
      <c r="CN177" s="798" t="str">
        <f t="shared" si="121"/>
        <v/>
      </c>
      <c r="CO177" s="798" t="str">
        <f t="shared" si="122"/>
        <v/>
      </c>
      <c r="CP177" s="798" t="str">
        <f t="shared" si="123"/>
        <v/>
      </c>
      <c r="CQ177" s="798" t="str">
        <f t="shared" si="124"/>
        <v/>
      </c>
    </row>
    <row r="178" spans="1:95">
      <c r="A178" s="540" t="s">
        <v>450</v>
      </c>
      <c r="B178" s="798">
        <f t="shared" ref="B178:G178" si="141">IF(B116&gt;0,INDEX($D$54:$D$94,B116,1),"")</f>
        <v>0</v>
      </c>
      <c r="C178" s="798">
        <f t="shared" si="141"/>
        <v>0</v>
      </c>
      <c r="D178" s="798" t="str">
        <f t="shared" si="141"/>
        <v/>
      </c>
      <c r="E178" s="798" t="str">
        <f t="shared" si="141"/>
        <v/>
      </c>
      <c r="F178" s="798" t="str">
        <f t="shared" si="141"/>
        <v/>
      </c>
      <c r="G178" s="798" t="str">
        <f t="shared" si="141"/>
        <v/>
      </c>
      <c r="I178" s="540" t="s">
        <v>450</v>
      </c>
      <c r="J178" s="798">
        <f t="shared" si="59"/>
        <v>0</v>
      </c>
      <c r="K178" s="798">
        <f t="shared" si="60"/>
        <v>0</v>
      </c>
      <c r="L178" s="798" t="str">
        <f t="shared" si="61"/>
        <v/>
      </c>
      <c r="M178" s="798" t="str">
        <f t="shared" si="62"/>
        <v/>
      </c>
      <c r="N178" s="798" t="str">
        <f t="shared" si="63"/>
        <v/>
      </c>
      <c r="O178" s="798" t="str">
        <f t="shared" si="64"/>
        <v/>
      </c>
      <c r="Q178" s="540" t="s">
        <v>450</v>
      </c>
      <c r="R178" s="798">
        <f t="shared" si="65"/>
        <v>0</v>
      </c>
      <c r="S178" s="798">
        <f t="shared" si="66"/>
        <v>0</v>
      </c>
      <c r="T178" s="798" t="str">
        <f t="shared" si="67"/>
        <v/>
      </c>
      <c r="U178" s="798" t="str">
        <f t="shared" si="68"/>
        <v/>
      </c>
      <c r="V178" s="798" t="str">
        <f t="shared" si="69"/>
        <v/>
      </c>
      <c r="W178" s="798" t="str">
        <f t="shared" si="70"/>
        <v/>
      </c>
      <c r="Y178" s="540" t="s">
        <v>450</v>
      </c>
      <c r="Z178" s="798">
        <f t="shared" si="71"/>
        <v>0</v>
      </c>
      <c r="AA178" s="798">
        <f t="shared" si="72"/>
        <v>0</v>
      </c>
      <c r="AB178" s="798" t="str">
        <f t="shared" si="73"/>
        <v/>
      </c>
      <c r="AC178" s="798" t="str">
        <f t="shared" si="74"/>
        <v/>
      </c>
      <c r="AD178" s="798" t="str">
        <f t="shared" si="75"/>
        <v/>
      </c>
      <c r="AE178" s="798" t="str">
        <f t="shared" si="76"/>
        <v/>
      </c>
      <c r="AG178" s="540" t="s">
        <v>450</v>
      </c>
      <c r="AH178" s="798">
        <f t="shared" si="77"/>
        <v>0</v>
      </c>
      <c r="AI178" s="798">
        <f t="shared" si="78"/>
        <v>0</v>
      </c>
      <c r="AJ178" s="798" t="str">
        <f t="shared" si="79"/>
        <v/>
      </c>
      <c r="AK178" s="798" t="str">
        <f t="shared" si="80"/>
        <v/>
      </c>
      <c r="AL178" s="798" t="str">
        <f t="shared" si="81"/>
        <v/>
      </c>
      <c r="AM178" s="798" t="str">
        <f t="shared" si="82"/>
        <v/>
      </c>
      <c r="AO178" s="540" t="s">
        <v>450</v>
      </c>
      <c r="AP178" s="798">
        <f t="shared" si="83"/>
        <v>0</v>
      </c>
      <c r="AQ178" s="798">
        <f t="shared" si="84"/>
        <v>0</v>
      </c>
      <c r="AR178" s="798" t="str">
        <f t="shared" si="85"/>
        <v/>
      </c>
      <c r="AS178" s="798" t="str">
        <f t="shared" si="86"/>
        <v/>
      </c>
      <c r="AT178" s="798" t="str">
        <f t="shared" si="87"/>
        <v/>
      </c>
      <c r="AU178" s="798" t="str">
        <f t="shared" si="88"/>
        <v/>
      </c>
      <c r="AW178" s="540" t="s">
        <v>450</v>
      </c>
      <c r="AX178" s="798">
        <f t="shared" si="89"/>
        <v>0</v>
      </c>
      <c r="AY178" s="798">
        <f t="shared" si="90"/>
        <v>0</v>
      </c>
      <c r="AZ178" s="798" t="str">
        <f t="shared" si="91"/>
        <v/>
      </c>
      <c r="BA178" s="798" t="str">
        <f t="shared" si="92"/>
        <v/>
      </c>
      <c r="BB178" s="798" t="str">
        <f t="shared" si="93"/>
        <v/>
      </c>
      <c r="BC178" s="798" t="str">
        <f t="shared" si="94"/>
        <v/>
      </c>
      <c r="BE178" s="540" t="s">
        <v>450</v>
      </c>
      <c r="BF178" s="798">
        <f t="shared" si="95"/>
        <v>0</v>
      </c>
      <c r="BG178" s="798">
        <f t="shared" si="96"/>
        <v>0</v>
      </c>
      <c r="BH178" s="798" t="str">
        <f t="shared" si="97"/>
        <v/>
      </c>
      <c r="BI178" s="798" t="str">
        <f t="shared" si="98"/>
        <v/>
      </c>
      <c r="BJ178" s="798" t="str">
        <f t="shared" si="99"/>
        <v/>
      </c>
      <c r="BK178" s="798" t="str">
        <f t="shared" si="100"/>
        <v/>
      </c>
      <c r="BM178" s="540" t="s">
        <v>450</v>
      </c>
      <c r="BN178" s="798">
        <f t="shared" si="101"/>
        <v>0</v>
      </c>
      <c r="BO178" s="798">
        <f t="shared" si="102"/>
        <v>0</v>
      </c>
      <c r="BP178" s="798" t="str">
        <f t="shared" si="103"/>
        <v/>
      </c>
      <c r="BQ178" s="798" t="str">
        <f t="shared" si="104"/>
        <v/>
      </c>
      <c r="BR178" s="798" t="str">
        <f t="shared" si="105"/>
        <v/>
      </c>
      <c r="BS178" s="798" t="str">
        <f t="shared" si="106"/>
        <v/>
      </c>
      <c r="BU178" s="540" t="s">
        <v>450</v>
      </c>
      <c r="BV178" s="798">
        <f t="shared" si="107"/>
        <v>0</v>
      </c>
      <c r="BW178" s="798">
        <f t="shared" si="108"/>
        <v>0</v>
      </c>
      <c r="BX178" s="798" t="str">
        <f t="shared" si="109"/>
        <v/>
      </c>
      <c r="BY178" s="798" t="str">
        <f t="shared" si="110"/>
        <v/>
      </c>
      <c r="BZ178" s="798" t="str">
        <f t="shared" si="111"/>
        <v/>
      </c>
      <c r="CA178" s="798" t="str">
        <f t="shared" si="112"/>
        <v/>
      </c>
      <c r="CC178" s="540" t="s">
        <v>450</v>
      </c>
      <c r="CD178" s="798">
        <f t="shared" si="113"/>
        <v>0</v>
      </c>
      <c r="CE178" s="798">
        <f t="shared" si="114"/>
        <v>0</v>
      </c>
      <c r="CF178" s="798" t="str">
        <f t="shared" si="115"/>
        <v/>
      </c>
      <c r="CG178" s="798" t="str">
        <f t="shared" si="116"/>
        <v/>
      </c>
      <c r="CH178" s="798" t="str">
        <f t="shared" si="117"/>
        <v/>
      </c>
      <c r="CI178" s="798" t="str">
        <f t="shared" si="118"/>
        <v/>
      </c>
      <c r="CK178" s="540" t="s">
        <v>450</v>
      </c>
      <c r="CL178" s="798">
        <f t="shared" si="119"/>
        <v>0</v>
      </c>
      <c r="CM178" s="798">
        <f t="shared" si="120"/>
        <v>0</v>
      </c>
      <c r="CN178" s="798" t="str">
        <f t="shared" si="121"/>
        <v/>
      </c>
      <c r="CO178" s="798" t="str">
        <f t="shared" si="122"/>
        <v/>
      </c>
      <c r="CP178" s="798" t="str">
        <f t="shared" si="123"/>
        <v/>
      </c>
      <c r="CQ178" s="798" t="str">
        <f t="shared" si="124"/>
        <v/>
      </c>
    </row>
    <row r="179" spans="1:95">
      <c r="A179" s="540" t="s">
        <v>435</v>
      </c>
      <c r="B179" s="798">
        <f t="shared" ref="B179:G179" si="142">IF(B117&gt;0,INDEX($D$54:$D$94,B117,1),"")</f>
        <v>0</v>
      </c>
      <c r="C179" s="798" t="str">
        <f t="shared" si="142"/>
        <v/>
      </c>
      <c r="D179" s="798" t="str">
        <f t="shared" si="142"/>
        <v/>
      </c>
      <c r="E179" s="798" t="str">
        <f t="shared" si="142"/>
        <v/>
      </c>
      <c r="F179" s="798" t="str">
        <f t="shared" si="142"/>
        <v/>
      </c>
      <c r="G179" s="798" t="str">
        <f t="shared" si="142"/>
        <v/>
      </c>
      <c r="I179" s="540" t="s">
        <v>435</v>
      </c>
      <c r="J179" s="798">
        <f t="shared" si="59"/>
        <v>0</v>
      </c>
      <c r="K179" s="798" t="str">
        <f t="shared" si="60"/>
        <v/>
      </c>
      <c r="L179" s="798" t="str">
        <f t="shared" si="61"/>
        <v/>
      </c>
      <c r="M179" s="798" t="str">
        <f t="shared" si="62"/>
        <v/>
      </c>
      <c r="N179" s="798" t="str">
        <f t="shared" si="63"/>
        <v/>
      </c>
      <c r="O179" s="798" t="str">
        <f t="shared" si="64"/>
        <v/>
      </c>
      <c r="Q179" s="540" t="s">
        <v>435</v>
      </c>
      <c r="R179" s="798">
        <f t="shared" si="65"/>
        <v>0</v>
      </c>
      <c r="S179" s="798" t="str">
        <f t="shared" si="66"/>
        <v/>
      </c>
      <c r="T179" s="798" t="str">
        <f t="shared" si="67"/>
        <v/>
      </c>
      <c r="U179" s="798" t="str">
        <f t="shared" si="68"/>
        <v/>
      </c>
      <c r="V179" s="798" t="str">
        <f t="shared" si="69"/>
        <v/>
      </c>
      <c r="W179" s="798" t="str">
        <f t="shared" si="70"/>
        <v/>
      </c>
      <c r="Y179" s="540" t="s">
        <v>435</v>
      </c>
      <c r="Z179" s="798">
        <f t="shared" si="71"/>
        <v>0</v>
      </c>
      <c r="AA179" s="798" t="str">
        <f t="shared" si="72"/>
        <v/>
      </c>
      <c r="AB179" s="798" t="str">
        <f t="shared" si="73"/>
        <v/>
      </c>
      <c r="AC179" s="798" t="str">
        <f t="shared" si="74"/>
        <v/>
      </c>
      <c r="AD179" s="798" t="str">
        <f t="shared" si="75"/>
        <v/>
      </c>
      <c r="AE179" s="798" t="str">
        <f t="shared" si="76"/>
        <v/>
      </c>
      <c r="AG179" s="540" t="s">
        <v>435</v>
      </c>
      <c r="AH179" s="798">
        <f t="shared" si="77"/>
        <v>0</v>
      </c>
      <c r="AI179" s="798" t="str">
        <f t="shared" si="78"/>
        <v/>
      </c>
      <c r="AJ179" s="798" t="str">
        <f t="shared" si="79"/>
        <v/>
      </c>
      <c r="AK179" s="798" t="str">
        <f t="shared" si="80"/>
        <v/>
      </c>
      <c r="AL179" s="798" t="str">
        <f t="shared" si="81"/>
        <v/>
      </c>
      <c r="AM179" s="798" t="str">
        <f t="shared" si="82"/>
        <v/>
      </c>
      <c r="AO179" s="540" t="s">
        <v>435</v>
      </c>
      <c r="AP179" s="798">
        <f t="shared" si="83"/>
        <v>0</v>
      </c>
      <c r="AQ179" s="798" t="str">
        <f t="shared" si="84"/>
        <v/>
      </c>
      <c r="AR179" s="798" t="str">
        <f t="shared" si="85"/>
        <v/>
      </c>
      <c r="AS179" s="798" t="str">
        <f t="shared" si="86"/>
        <v/>
      </c>
      <c r="AT179" s="798" t="str">
        <f t="shared" si="87"/>
        <v/>
      </c>
      <c r="AU179" s="798" t="str">
        <f t="shared" si="88"/>
        <v/>
      </c>
      <c r="AW179" s="540" t="s">
        <v>435</v>
      </c>
      <c r="AX179" s="798">
        <f t="shared" si="89"/>
        <v>0</v>
      </c>
      <c r="AY179" s="798" t="str">
        <f t="shared" si="90"/>
        <v/>
      </c>
      <c r="AZ179" s="798" t="str">
        <f t="shared" si="91"/>
        <v/>
      </c>
      <c r="BA179" s="798" t="str">
        <f t="shared" si="92"/>
        <v/>
      </c>
      <c r="BB179" s="798" t="str">
        <f t="shared" si="93"/>
        <v/>
      </c>
      <c r="BC179" s="798" t="str">
        <f t="shared" si="94"/>
        <v/>
      </c>
      <c r="BE179" s="540" t="s">
        <v>435</v>
      </c>
      <c r="BF179" s="798">
        <f t="shared" si="95"/>
        <v>0</v>
      </c>
      <c r="BG179" s="798" t="str">
        <f t="shared" si="96"/>
        <v/>
      </c>
      <c r="BH179" s="798" t="str">
        <f t="shared" si="97"/>
        <v/>
      </c>
      <c r="BI179" s="798" t="str">
        <f t="shared" si="98"/>
        <v/>
      </c>
      <c r="BJ179" s="798" t="str">
        <f t="shared" si="99"/>
        <v/>
      </c>
      <c r="BK179" s="798" t="str">
        <f t="shared" si="100"/>
        <v/>
      </c>
      <c r="BM179" s="540" t="s">
        <v>435</v>
      </c>
      <c r="BN179" s="798">
        <f t="shared" si="101"/>
        <v>0</v>
      </c>
      <c r="BO179" s="798" t="str">
        <f t="shared" si="102"/>
        <v/>
      </c>
      <c r="BP179" s="798" t="str">
        <f t="shared" si="103"/>
        <v/>
      </c>
      <c r="BQ179" s="798" t="str">
        <f t="shared" si="104"/>
        <v/>
      </c>
      <c r="BR179" s="798" t="str">
        <f t="shared" si="105"/>
        <v/>
      </c>
      <c r="BS179" s="798" t="str">
        <f t="shared" si="106"/>
        <v/>
      </c>
      <c r="BU179" s="540" t="s">
        <v>435</v>
      </c>
      <c r="BV179" s="798">
        <f t="shared" si="107"/>
        <v>0</v>
      </c>
      <c r="BW179" s="798" t="str">
        <f t="shared" si="108"/>
        <v/>
      </c>
      <c r="BX179" s="798" t="str">
        <f t="shared" si="109"/>
        <v/>
      </c>
      <c r="BY179" s="798" t="str">
        <f t="shared" si="110"/>
        <v/>
      </c>
      <c r="BZ179" s="798" t="str">
        <f t="shared" si="111"/>
        <v/>
      </c>
      <c r="CA179" s="798" t="str">
        <f t="shared" si="112"/>
        <v/>
      </c>
      <c r="CC179" s="540" t="s">
        <v>435</v>
      </c>
      <c r="CD179" s="798">
        <f t="shared" si="113"/>
        <v>0</v>
      </c>
      <c r="CE179" s="798" t="str">
        <f t="shared" si="114"/>
        <v/>
      </c>
      <c r="CF179" s="798" t="str">
        <f t="shared" si="115"/>
        <v/>
      </c>
      <c r="CG179" s="798" t="str">
        <f t="shared" si="116"/>
        <v/>
      </c>
      <c r="CH179" s="798" t="str">
        <f t="shared" si="117"/>
        <v/>
      </c>
      <c r="CI179" s="798" t="str">
        <f t="shared" si="118"/>
        <v/>
      </c>
      <c r="CK179" s="540" t="s">
        <v>435</v>
      </c>
      <c r="CL179" s="798">
        <f t="shared" si="119"/>
        <v>0</v>
      </c>
      <c r="CM179" s="798" t="str">
        <f t="shared" si="120"/>
        <v/>
      </c>
      <c r="CN179" s="798" t="str">
        <f t="shared" si="121"/>
        <v/>
      </c>
      <c r="CO179" s="798" t="str">
        <f t="shared" si="122"/>
        <v/>
      </c>
      <c r="CP179" s="798" t="str">
        <f t="shared" si="123"/>
        <v/>
      </c>
      <c r="CQ179" s="798" t="str">
        <f t="shared" si="124"/>
        <v/>
      </c>
    </row>
    <row r="180" spans="1:95">
      <c r="A180" s="540" t="s">
        <v>455</v>
      </c>
      <c r="B180" s="798">
        <f t="shared" ref="B180:G180" si="143">IF(B118&gt;0,INDEX($D$54:$D$94,B118,1),"")</f>
        <v>0</v>
      </c>
      <c r="C180" s="798">
        <f t="shared" si="143"/>
        <v>0</v>
      </c>
      <c r="D180" s="798">
        <f t="shared" si="143"/>
        <v>0</v>
      </c>
      <c r="E180" s="798">
        <f t="shared" si="143"/>
        <v>0</v>
      </c>
      <c r="F180" s="798">
        <f t="shared" si="143"/>
        <v>2</v>
      </c>
      <c r="G180" s="798" t="str">
        <f t="shared" si="143"/>
        <v/>
      </c>
      <c r="I180" s="540" t="s">
        <v>455</v>
      </c>
      <c r="J180" s="798">
        <f t="shared" si="59"/>
        <v>0</v>
      </c>
      <c r="K180" s="798">
        <f t="shared" si="60"/>
        <v>0</v>
      </c>
      <c r="L180" s="798">
        <f t="shared" si="61"/>
        <v>0</v>
      </c>
      <c r="M180" s="798">
        <f t="shared" si="62"/>
        <v>0</v>
      </c>
      <c r="N180" s="798">
        <f t="shared" si="63"/>
        <v>2</v>
      </c>
      <c r="O180" s="798" t="str">
        <f t="shared" si="64"/>
        <v/>
      </c>
      <c r="Q180" s="540" t="s">
        <v>455</v>
      </c>
      <c r="R180" s="798">
        <f t="shared" si="65"/>
        <v>0</v>
      </c>
      <c r="S180" s="798">
        <f t="shared" si="66"/>
        <v>0</v>
      </c>
      <c r="T180" s="798">
        <f t="shared" si="67"/>
        <v>0</v>
      </c>
      <c r="U180" s="798">
        <f t="shared" si="68"/>
        <v>0</v>
      </c>
      <c r="V180" s="798">
        <f t="shared" si="69"/>
        <v>2</v>
      </c>
      <c r="W180" s="798" t="str">
        <f t="shared" si="70"/>
        <v/>
      </c>
      <c r="Y180" s="540" t="s">
        <v>455</v>
      </c>
      <c r="Z180" s="798">
        <f t="shared" si="71"/>
        <v>0</v>
      </c>
      <c r="AA180" s="798">
        <f t="shared" si="72"/>
        <v>0</v>
      </c>
      <c r="AB180" s="798">
        <f t="shared" si="73"/>
        <v>0</v>
      </c>
      <c r="AC180" s="798">
        <f t="shared" si="74"/>
        <v>0</v>
      </c>
      <c r="AD180" s="798">
        <f t="shared" si="75"/>
        <v>2</v>
      </c>
      <c r="AE180" s="798" t="str">
        <f t="shared" si="76"/>
        <v/>
      </c>
      <c r="AG180" s="540" t="s">
        <v>455</v>
      </c>
      <c r="AH180" s="798">
        <f t="shared" si="77"/>
        <v>0</v>
      </c>
      <c r="AI180" s="798">
        <f t="shared" si="78"/>
        <v>0</v>
      </c>
      <c r="AJ180" s="798">
        <f t="shared" si="79"/>
        <v>0</v>
      </c>
      <c r="AK180" s="798">
        <f t="shared" si="80"/>
        <v>0</v>
      </c>
      <c r="AL180" s="798">
        <f t="shared" si="81"/>
        <v>2</v>
      </c>
      <c r="AM180" s="798" t="str">
        <f t="shared" si="82"/>
        <v/>
      </c>
      <c r="AO180" s="540" t="s">
        <v>455</v>
      </c>
      <c r="AP180" s="798">
        <f t="shared" si="83"/>
        <v>0</v>
      </c>
      <c r="AQ180" s="798">
        <f t="shared" si="84"/>
        <v>0</v>
      </c>
      <c r="AR180" s="798">
        <f t="shared" si="85"/>
        <v>0</v>
      </c>
      <c r="AS180" s="798">
        <f t="shared" si="86"/>
        <v>0</v>
      </c>
      <c r="AT180" s="798">
        <f t="shared" si="87"/>
        <v>2</v>
      </c>
      <c r="AU180" s="798" t="str">
        <f t="shared" si="88"/>
        <v/>
      </c>
      <c r="AW180" s="540" t="s">
        <v>455</v>
      </c>
      <c r="AX180" s="798">
        <f t="shared" si="89"/>
        <v>0</v>
      </c>
      <c r="AY180" s="798">
        <f t="shared" si="90"/>
        <v>0</v>
      </c>
      <c r="AZ180" s="798">
        <f t="shared" si="91"/>
        <v>0</v>
      </c>
      <c r="BA180" s="798">
        <f t="shared" si="92"/>
        <v>0</v>
      </c>
      <c r="BB180" s="798">
        <f t="shared" si="93"/>
        <v>2</v>
      </c>
      <c r="BC180" s="798" t="str">
        <f t="shared" si="94"/>
        <v/>
      </c>
      <c r="BE180" s="540" t="s">
        <v>455</v>
      </c>
      <c r="BF180" s="798">
        <f t="shared" si="95"/>
        <v>0</v>
      </c>
      <c r="BG180" s="798">
        <f t="shared" si="96"/>
        <v>0</v>
      </c>
      <c r="BH180" s="798">
        <f t="shared" si="97"/>
        <v>0</v>
      </c>
      <c r="BI180" s="798">
        <f t="shared" si="98"/>
        <v>0</v>
      </c>
      <c r="BJ180" s="798">
        <f t="shared" si="99"/>
        <v>2</v>
      </c>
      <c r="BK180" s="798" t="str">
        <f t="shared" si="100"/>
        <v/>
      </c>
      <c r="BM180" s="540" t="s">
        <v>455</v>
      </c>
      <c r="BN180" s="798">
        <f t="shared" si="101"/>
        <v>0</v>
      </c>
      <c r="BO180" s="798">
        <f t="shared" si="102"/>
        <v>0</v>
      </c>
      <c r="BP180" s="798">
        <f t="shared" si="103"/>
        <v>0</v>
      </c>
      <c r="BQ180" s="798">
        <f t="shared" si="104"/>
        <v>0</v>
      </c>
      <c r="BR180" s="798">
        <f t="shared" si="105"/>
        <v>2</v>
      </c>
      <c r="BS180" s="798" t="str">
        <f t="shared" si="106"/>
        <v/>
      </c>
      <c r="BU180" s="540" t="s">
        <v>455</v>
      </c>
      <c r="BV180" s="798">
        <f t="shared" si="107"/>
        <v>0</v>
      </c>
      <c r="BW180" s="798">
        <f t="shared" si="108"/>
        <v>0</v>
      </c>
      <c r="BX180" s="798">
        <f t="shared" si="109"/>
        <v>0</v>
      </c>
      <c r="BY180" s="798">
        <f t="shared" si="110"/>
        <v>0</v>
      </c>
      <c r="BZ180" s="798">
        <f t="shared" si="111"/>
        <v>2</v>
      </c>
      <c r="CA180" s="798" t="str">
        <f t="shared" si="112"/>
        <v/>
      </c>
      <c r="CC180" s="540" t="s">
        <v>455</v>
      </c>
      <c r="CD180" s="798">
        <f t="shared" si="113"/>
        <v>0</v>
      </c>
      <c r="CE180" s="798">
        <f t="shared" si="114"/>
        <v>0</v>
      </c>
      <c r="CF180" s="798">
        <f t="shared" si="115"/>
        <v>0</v>
      </c>
      <c r="CG180" s="798">
        <f t="shared" si="116"/>
        <v>0</v>
      </c>
      <c r="CH180" s="798">
        <f t="shared" si="117"/>
        <v>2</v>
      </c>
      <c r="CI180" s="798" t="str">
        <f t="shared" si="118"/>
        <v/>
      </c>
      <c r="CK180" s="540" t="s">
        <v>455</v>
      </c>
      <c r="CL180" s="798">
        <f t="shared" si="119"/>
        <v>0</v>
      </c>
      <c r="CM180" s="798">
        <f t="shared" si="120"/>
        <v>0</v>
      </c>
      <c r="CN180" s="798">
        <f t="shared" si="121"/>
        <v>0</v>
      </c>
      <c r="CO180" s="798">
        <f t="shared" si="122"/>
        <v>0</v>
      </c>
      <c r="CP180" s="798">
        <f t="shared" si="123"/>
        <v>2</v>
      </c>
      <c r="CQ180" s="798" t="str">
        <f t="shared" si="124"/>
        <v/>
      </c>
    </row>
    <row r="181" spans="1:95">
      <c r="A181" s="540" t="s">
        <v>453</v>
      </c>
      <c r="B181" s="798">
        <f t="shared" ref="B181:G181" si="144">IF(B119&gt;0,INDEX($D$54:$D$94,B119,1),"")</f>
        <v>0</v>
      </c>
      <c r="C181" s="798" t="str">
        <f t="shared" si="144"/>
        <v/>
      </c>
      <c r="D181" s="798" t="str">
        <f t="shared" si="144"/>
        <v/>
      </c>
      <c r="E181" s="798" t="str">
        <f t="shared" si="144"/>
        <v/>
      </c>
      <c r="F181" s="798" t="str">
        <f t="shared" si="144"/>
        <v/>
      </c>
      <c r="G181" s="798" t="str">
        <f t="shared" si="144"/>
        <v/>
      </c>
      <c r="I181" s="540" t="s">
        <v>453</v>
      </c>
      <c r="J181" s="798">
        <f t="shared" si="59"/>
        <v>0</v>
      </c>
      <c r="K181" s="798" t="str">
        <f t="shared" si="60"/>
        <v/>
      </c>
      <c r="L181" s="798" t="str">
        <f t="shared" si="61"/>
        <v/>
      </c>
      <c r="M181" s="798" t="str">
        <f t="shared" si="62"/>
        <v/>
      </c>
      <c r="N181" s="798" t="str">
        <f t="shared" si="63"/>
        <v/>
      </c>
      <c r="O181" s="798" t="str">
        <f t="shared" si="64"/>
        <v/>
      </c>
      <c r="Q181" s="540" t="s">
        <v>453</v>
      </c>
      <c r="R181" s="798">
        <f t="shared" si="65"/>
        <v>0</v>
      </c>
      <c r="S181" s="798" t="str">
        <f t="shared" si="66"/>
        <v/>
      </c>
      <c r="T181" s="798" t="str">
        <f t="shared" si="67"/>
        <v/>
      </c>
      <c r="U181" s="798" t="str">
        <f t="shared" si="68"/>
        <v/>
      </c>
      <c r="V181" s="798" t="str">
        <f t="shared" si="69"/>
        <v/>
      </c>
      <c r="W181" s="798" t="str">
        <f t="shared" si="70"/>
        <v/>
      </c>
      <c r="Y181" s="540" t="s">
        <v>453</v>
      </c>
      <c r="Z181" s="798">
        <f t="shared" si="71"/>
        <v>0</v>
      </c>
      <c r="AA181" s="798" t="str">
        <f t="shared" si="72"/>
        <v/>
      </c>
      <c r="AB181" s="798" t="str">
        <f t="shared" si="73"/>
        <v/>
      </c>
      <c r="AC181" s="798" t="str">
        <f t="shared" si="74"/>
        <v/>
      </c>
      <c r="AD181" s="798" t="str">
        <f t="shared" si="75"/>
        <v/>
      </c>
      <c r="AE181" s="798" t="str">
        <f t="shared" si="76"/>
        <v/>
      </c>
      <c r="AG181" s="540" t="s">
        <v>453</v>
      </c>
      <c r="AH181" s="798">
        <f t="shared" si="77"/>
        <v>0</v>
      </c>
      <c r="AI181" s="798" t="str">
        <f t="shared" si="78"/>
        <v/>
      </c>
      <c r="AJ181" s="798" t="str">
        <f t="shared" si="79"/>
        <v/>
      </c>
      <c r="AK181" s="798" t="str">
        <f t="shared" si="80"/>
        <v/>
      </c>
      <c r="AL181" s="798" t="str">
        <f t="shared" si="81"/>
        <v/>
      </c>
      <c r="AM181" s="798" t="str">
        <f t="shared" si="82"/>
        <v/>
      </c>
      <c r="AO181" s="540" t="s">
        <v>453</v>
      </c>
      <c r="AP181" s="798">
        <f t="shared" si="83"/>
        <v>0</v>
      </c>
      <c r="AQ181" s="798" t="str">
        <f t="shared" si="84"/>
        <v/>
      </c>
      <c r="AR181" s="798" t="str">
        <f t="shared" si="85"/>
        <v/>
      </c>
      <c r="AS181" s="798" t="str">
        <f t="shared" si="86"/>
        <v/>
      </c>
      <c r="AT181" s="798" t="str">
        <f t="shared" si="87"/>
        <v/>
      </c>
      <c r="AU181" s="798" t="str">
        <f t="shared" si="88"/>
        <v/>
      </c>
      <c r="AW181" s="540" t="s">
        <v>453</v>
      </c>
      <c r="AX181" s="798">
        <f t="shared" si="89"/>
        <v>0</v>
      </c>
      <c r="AY181" s="798" t="str">
        <f t="shared" si="90"/>
        <v/>
      </c>
      <c r="AZ181" s="798" t="str">
        <f t="shared" si="91"/>
        <v/>
      </c>
      <c r="BA181" s="798" t="str">
        <f t="shared" si="92"/>
        <v/>
      </c>
      <c r="BB181" s="798" t="str">
        <f t="shared" si="93"/>
        <v/>
      </c>
      <c r="BC181" s="798" t="str">
        <f t="shared" si="94"/>
        <v/>
      </c>
      <c r="BE181" s="540" t="s">
        <v>453</v>
      </c>
      <c r="BF181" s="798">
        <f t="shared" si="95"/>
        <v>0</v>
      </c>
      <c r="BG181" s="798" t="str">
        <f t="shared" si="96"/>
        <v/>
      </c>
      <c r="BH181" s="798" t="str">
        <f t="shared" si="97"/>
        <v/>
      </c>
      <c r="BI181" s="798" t="str">
        <f t="shared" si="98"/>
        <v/>
      </c>
      <c r="BJ181" s="798" t="str">
        <f t="shared" si="99"/>
        <v/>
      </c>
      <c r="BK181" s="798" t="str">
        <f t="shared" si="100"/>
        <v/>
      </c>
      <c r="BM181" s="540" t="s">
        <v>453</v>
      </c>
      <c r="BN181" s="798">
        <f t="shared" si="101"/>
        <v>0</v>
      </c>
      <c r="BO181" s="798" t="str">
        <f t="shared" si="102"/>
        <v/>
      </c>
      <c r="BP181" s="798" t="str">
        <f t="shared" si="103"/>
        <v/>
      </c>
      <c r="BQ181" s="798" t="str">
        <f t="shared" si="104"/>
        <v/>
      </c>
      <c r="BR181" s="798" t="str">
        <f t="shared" si="105"/>
        <v/>
      </c>
      <c r="BS181" s="798" t="str">
        <f t="shared" si="106"/>
        <v/>
      </c>
      <c r="BU181" s="540" t="s">
        <v>453</v>
      </c>
      <c r="BV181" s="798">
        <f t="shared" si="107"/>
        <v>0</v>
      </c>
      <c r="BW181" s="798" t="str">
        <f t="shared" si="108"/>
        <v/>
      </c>
      <c r="BX181" s="798" t="str">
        <f t="shared" si="109"/>
        <v/>
      </c>
      <c r="BY181" s="798" t="str">
        <f t="shared" si="110"/>
        <v/>
      </c>
      <c r="BZ181" s="798" t="str">
        <f t="shared" si="111"/>
        <v/>
      </c>
      <c r="CA181" s="798" t="str">
        <f t="shared" si="112"/>
        <v/>
      </c>
      <c r="CC181" s="540" t="s">
        <v>453</v>
      </c>
      <c r="CD181" s="798">
        <f t="shared" si="113"/>
        <v>0</v>
      </c>
      <c r="CE181" s="798" t="str">
        <f t="shared" si="114"/>
        <v/>
      </c>
      <c r="CF181" s="798" t="str">
        <f t="shared" si="115"/>
        <v/>
      </c>
      <c r="CG181" s="798" t="str">
        <f t="shared" si="116"/>
        <v/>
      </c>
      <c r="CH181" s="798" t="str">
        <f t="shared" si="117"/>
        <v/>
      </c>
      <c r="CI181" s="798" t="str">
        <f t="shared" si="118"/>
        <v/>
      </c>
      <c r="CK181" s="540" t="s">
        <v>453</v>
      </c>
      <c r="CL181" s="798">
        <f t="shared" si="119"/>
        <v>0</v>
      </c>
      <c r="CM181" s="798" t="str">
        <f t="shared" si="120"/>
        <v/>
      </c>
      <c r="CN181" s="798" t="str">
        <f t="shared" si="121"/>
        <v/>
      </c>
      <c r="CO181" s="798" t="str">
        <f t="shared" si="122"/>
        <v/>
      </c>
      <c r="CP181" s="798" t="str">
        <f t="shared" si="123"/>
        <v/>
      </c>
      <c r="CQ181" s="798" t="str">
        <f t="shared" si="124"/>
        <v/>
      </c>
    </row>
    <row r="182" spans="1:95">
      <c r="A182" s="540" t="s">
        <v>616</v>
      </c>
      <c r="B182" s="798">
        <f t="shared" ref="B182:G182" si="145">IF(B120&gt;0,INDEX($D$54:$D$94,B120,1),"")</f>
        <v>0</v>
      </c>
      <c r="C182" s="798">
        <f t="shared" si="145"/>
        <v>0</v>
      </c>
      <c r="D182" s="798">
        <f t="shared" si="145"/>
        <v>0</v>
      </c>
      <c r="E182" s="798" t="str">
        <f t="shared" si="145"/>
        <v/>
      </c>
      <c r="F182" s="798" t="str">
        <f t="shared" si="145"/>
        <v/>
      </c>
      <c r="G182" s="798" t="str">
        <f t="shared" si="145"/>
        <v/>
      </c>
      <c r="I182" s="540" t="s">
        <v>616</v>
      </c>
      <c r="J182" s="798">
        <f t="shared" si="59"/>
        <v>0</v>
      </c>
      <c r="K182" s="798">
        <f t="shared" si="60"/>
        <v>0</v>
      </c>
      <c r="L182" s="798">
        <f t="shared" si="61"/>
        <v>0</v>
      </c>
      <c r="M182" s="798" t="str">
        <f t="shared" si="62"/>
        <v/>
      </c>
      <c r="N182" s="798" t="str">
        <f t="shared" si="63"/>
        <v/>
      </c>
      <c r="O182" s="798" t="str">
        <f t="shared" si="64"/>
        <v/>
      </c>
      <c r="Q182" s="540" t="s">
        <v>616</v>
      </c>
      <c r="R182" s="798">
        <f t="shared" si="65"/>
        <v>0</v>
      </c>
      <c r="S182" s="798">
        <f t="shared" si="66"/>
        <v>0</v>
      </c>
      <c r="T182" s="798">
        <f t="shared" si="67"/>
        <v>0</v>
      </c>
      <c r="U182" s="798" t="str">
        <f t="shared" si="68"/>
        <v/>
      </c>
      <c r="V182" s="798" t="str">
        <f t="shared" si="69"/>
        <v/>
      </c>
      <c r="W182" s="798" t="str">
        <f t="shared" si="70"/>
        <v/>
      </c>
      <c r="Y182" s="540" t="s">
        <v>616</v>
      </c>
      <c r="Z182" s="798">
        <f t="shared" si="71"/>
        <v>0</v>
      </c>
      <c r="AA182" s="798">
        <f t="shared" si="72"/>
        <v>0</v>
      </c>
      <c r="AB182" s="798">
        <f t="shared" si="73"/>
        <v>0</v>
      </c>
      <c r="AC182" s="798" t="str">
        <f t="shared" si="74"/>
        <v/>
      </c>
      <c r="AD182" s="798" t="str">
        <f t="shared" si="75"/>
        <v/>
      </c>
      <c r="AE182" s="798" t="str">
        <f t="shared" si="76"/>
        <v/>
      </c>
      <c r="AG182" s="540" t="s">
        <v>616</v>
      </c>
      <c r="AH182" s="798">
        <f t="shared" si="77"/>
        <v>0</v>
      </c>
      <c r="AI182" s="798">
        <f t="shared" si="78"/>
        <v>0</v>
      </c>
      <c r="AJ182" s="798">
        <f t="shared" si="79"/>
        <v>0</v>
      </c>
      <c r="AK182" s="798" t="str">
        <f t="shared" si="80"/>
        <v/>
      </c>
      <c r="AL182" s="798" t="str">
        <f t="shared" si="81"/>
        <v/>
      </c>
      <c r="AM182" s="798" t="str">
        <f t="shared" si="82"/>
        <v/>
      </c>
      <c r="AO182" s="540" t="s">
        <v>616</v>
      </c>
      <c r="AP182" s="798">
        <f t="shared" si="83"/>
        <v>0</v>
      </c>
      <c r="AQ182" s="798">
        <f t="shared" si="84"/>
        <v>0</v>
      </c>
      <c r="AR182" s="798">
        <f t="shared" si="85"/>
        <v>0</v>
      </c>
      <c r="AS182" s="798" t="str">
        <f t="shared" si="86"/>
        <v/>
      </c>
      <c r="AT182" s="798" t="str">
        <f t="shared" si="87"/>
        <v/>
      </c>
      <c r="AU182" s="798" t="str">
        <f t="shared" si="88"/>
        <v/>
      </c>
      <c r="AW182" s="540" t="s">
        <v>616</v>
      </c>
      <c r="AX182" s="798">
        <f t="shared" si="89"/>
        <v>0</v>
      </c>
      <c r="AY182" s="798">
        <f t="shared" si="90"/>
        <v>0</v>
      </c>
      <c r="AZ182" s="798">
        <f t="shared" si="91"/>
        <v>0</v>
      </c>
      <c r="BA182" s="798" t="str">
        <f t="shared" si="92"/>
        <v/>
      </c>
      <c r="BB182" s="798" t="str">
        <f t="shared" si="93"/>
        <v/>
      </c>
      <c r="BC182" s="798" t="str">
        <f t="shared" si="94"/>
        <v/>
      </c>
      <c r="BE182" s="540" t="s">
        <v>616</v>
      </c>
      <c r="BF182" s="798">
        <f t="shared" si="95"/>
        <v>0</v>
      </c>
      <c r="BG182" s="798">
        <f t="shared" si="96"/>
        <v>0</v>
      </c>
      <c r="BH182" s="798">
        <f t="shared" si="97"/>
        <v>0</v>
      </c>
      <c r="BI182" s="798" t="str">
        <f t="shared" si="98"/>
        <v/>
      </c>
      <c r="BJ182" s="798" t="str">
        <f t="shared" si="99"/>
        <v/>
      </c>
      <c r="BK182" s="798" t="str">
        <f t="shared" si="100"/>
        <v/>
      </c>
      <c r="BM182" s="540" t="s">
        <v>616</v>
      </c>
      <c r="BN182" s="798">
        <f t="shared" si="101"/>
        <v>0</v>
      </c>
      <c r="BO182" s="798">
        <f t="shared" si="102"/>
        <v>0</v>
      </c>
      <c r="BP182" s="798">
        <f t="shared" si="103"/>
        <v>0</v>
      </c>
      <c r="BQ182" s="798" t="str">
        <f t="shared" si="104"/>
        <v/>
      </c>
      <c r="BR182" s="798" t="str">
        <f t="shared" si="105"/>
        <v/>
      </c>
      <c r="BS182" s="798" t="str">
        <f t="shared" si="106"/>
        <v/>
      </c>
      <c r="BU182" s="540" t="s">
        <v>616</v>
      </c>
      <c r="BV182" s="798">
        <f t="shared" si="107"/>
        <v>0</v>
      </c>
      <c r="BW182" s="798">
        <f t="shared" si="108"/>
        <v>0</v>
      </c>
      <c r="BX182" s="798">
        <f t="shared" si="109"/>
        <v>0</v>
      </c>
      <c r="BY182" s="798" t="str">
        <f t="shared" si="110"/>
        <v/>
      </c>
      <c r="BZ182" s="798" t="str">
        <f t="shared" si="111"/>
        <v/>
      </c>
      <c r="CA182" s="798" t="str">
        <f t="shared" si="112"/>
        <v/>
      </c>
      <c r="CC182" s="540" t="s">
        <v>616</v>
      </c>
      <c r="CD182" s="798">
        <f t="shared" si="113"/>
        <v>0</v>
      </c>
      <c r="CE182" s="798">
        <f t="shared" si="114"/>
        <v>0</v>
      </c>
      <c r="CF182" s="798">
        <f t="shared" si="115"/>
        <v>0</v>
      </c>
      <c r="CG182" s="798" t="str">
        <f t="shared" si="116"/>
        <v/>
      </c>
      <c r="CH182" s="798" t="str">
        <f t="shared" si="117"/>
        <v/>
      </c>
      <c r="CI182" s="798" t="str">
        <f t="shared" si="118"/>
        <v/>
      </c>
      <c r="CK182" s="540" t="s">
        <v>616</v>
      </c>
      <c r="CL182" s="798">
        <f t="shared" si="119"/>
        <v>0</v>
      </c>
      <c r="CM182" s="798">
        <f t="shared" si="120"/>
        <v>0</v>
      </c>
      <c r="CN182" s="798">
        <f t="shared" si="121"/>
        <v>0</v>
      </c>
      <c r="CO182" s="798" t="str">
        <f t="shared" si="122"/>
        <v/>
      </c>
      <c r="CP182" s="798" t="str">
        <f t="shared" si="123"/>
        <v/>
      </c>
      <c r="CQ182" s="798" t="str">
        <f t="shared" si="124"/>
        <v/>
      </c>
    </row>
    <row r="183" spans="1:95">
      <c r="A183" s="540" t="s">
        <v>432</v>
      </c>
      <c r="B183" s="798">
        <f t="shared" ref="B183:G183" si="146">IF(B121&gt;0,INDEX($D$54:$D$94,B121,1),"")</f>
        <v>0</v>
      </c>
      <c r="C183" s="798">
        <f t="shared" si="146"/>
        <v>2</v>
      </c>
      <c r="D183" s="798">
        <f t="shared" si="146"/>
        <v>0</v>
      </c>
      <c r="E183" s="798">
        <f t="shared" si="146"/>
        <v>8</v>
      </c>
      <c r="F183" s="798" t="str">
        <f t="shared" si="146"/>
        <v/>
      </c>
      <c r="G183" s="798" t="str">
        <f t="shared" si="146"/>
        <v/>
      </c>
      <c r="I183" s="540" t="s">
        <v>432</v>
      </c>
      <c r="J183" s="798">
        <f t="shared" si="59"/>
        <v>0</v>
      </c>
      <c r="K183" s="798">
        <f t="shared" si="60"/>
        <v>2</v>
      </c>
      <c r="L183" s="798">
        <f t="shared" si="61"/>
        <v>0</v>
      </c>
      <c r="M183" s="798">
        <f t="shared" si="62"/>
        <v>8</v>
      </c>
      <c r="N183" s="798" t="str">
        <f t="shared" si="63"/>
        <v/>
      </c>
      <c r="O183" s="798" t="str">
        <f t="shared" si="64"/>
        <v/>
      </c>
      <c r="Q183" s="540" t="s">
        <v>432</v>
      </c>
      <c r="R183" s="798">
        <f t="shared" si="65"/>
        <v>0</v>
      </c>
      <c r="S183" s="798">
        <f t="shared" si="66"/>
        <v>2</v>
      </c>
      <c r="T183" s="798">
        <f t="shared" si="67"/>
        <v>0</v>
      </c>
      <c r="U183" s="798">
        <f t="shared" si="68"/>
        <v>8</v>
      </c>
      <c r="V183" s="798" t="str">
        <f t="shared" si="69"/>
        <v/>
      </c>
      <c r="W183" s="798" t="str">
        <f t="shared" si="70"/>
        <v/>
      </c>
      <c r="Y183" s="540" t="s">
        <v>432</v>
      </c>
      <c r="Z183" s="798">
        <f t="shared" si="71"/>
        <v>0</v>
      </c>
      <c r="AA183" s="798">
        <f t="shared" si="72"/>
        <v>2</v>
      </c>
      <c r="AB183" s="798">
        <f t="shared" si="73"/>
        <v>0</v>
      </c>
      <c r="AC183" s="798">
        <f t="shared" si="74"/>
        <v>8</v>
      </c>
      <c r="AD183" s="798" t="str">
        <f t="shared" si="75"/>
        <v/>
      </c>
      <c r="AE183" s="798" t="str">
        <f t="shared" si="76"/>
        <v/>
      </c>
      <c r="AG183" s="540" t="s">
        <v>432</v>
      </c>
      <c r="AH183" s="798">
        <f t="shared" si="77"/>
        <v>0</v>
      </c>
      <c r="AI183" s="798">
        <f t="shared" si="78"/>
        <v>2</v>
      </c>
      <c r="AJ183" s="798">
        <f t="shared" si="79"/>
        <v>0</v>
      </c>
      <c r="AK183" s="798">
        <f t="shared" si="80"/>
        <v>8</v>
      </c>
      <c r="AL183" s="798" t="str">
        <f t="shared" si="81"/>
        <v/>
      </c>
      <c r="AM183" s="798" t="str">
        <f t="shared" si="82"/>
        <v/>
      </c>
      <c r="AO183" s="540" t="s">
        <v>432</v>
      </c>
      <c r="AP183" s="798">
        <f t="shared" si="83"/>
        <v>0</v>
      </c>
      <c r="AQ183" s="798">
        <f t="shared" si="84"/>
        <v>2</v>
      </c>
      <c r="AR183" s="798">
        <f t="shared" si="85"/>
        <v>0</v>
      </c>
      <c r="AS183" s="798">
        <f t="shared" si="86"/>
        <v>8</v>
      </c>
      <c r="AT183" s="798" t="str">
        <f t="shared" si="87"/>
        <v/>
      </c>
      <c r="AU183" s="798" t="str">
        <f t="shared" si="88"/>
        <v/>
      </c>
      <c r="AW183" s="540" t="s">
        <v>432</v>
      </c>
      <c r="AX183" s="798">
        <f t="shared" si="89"/>
        <v>0</v>
      </c>
      <c r="AY183" s="798">
        <f t="shared" si="90"/>
        <v>2</v>
      </c>
      <c r="AZ183" s="798">
        <f t="shared" si="91"/>
        <v>0</v>
      </c>
      <c r="BA183" s="798">
        <f t="shared" si="92"/>
        <v>8</v>
      </c>
      <c r="BB183" s="798" t="str">
        <f t="shared" si="93"/>
        <v/>
      </c>
      <c r="BC183" s="798" t="str">
        <f t="shared" si="94"/>
        <v/>
      </c>
      <c r="BE183" s="540" t="s">
        <v>432</v>
      </c>
      <c r="BF183" s="798">
        <f t="shared" si="95"/>
        <v>0</v>
      </c>
      <c r="BG183" s="798">
        <f t="shared" si="96"/>
        <v>2</v>
      </c>
      <c r="BH183" s="798">
        <f t="shared" si="97"/>
        <v>0</v>
      </c>
      <c r="BI183" s="798">
        <f t="shared" si="98"/>
        <v>8</v>
      </c>
      <c r="BJ183" s="798" t="str">
        <f t="shared" si="99"/>
        <v/>
      </c>
      <c r="BK183" s="798" t="str">
        <f t="shared" si="100"/>
        <v/>
      </c>
      <c r="BM183" s="540" t="s">
        <v>432</v>
      </c>
      <c r="BN183" s="798">
        <f t="shared" si="101"/>
        <v>0</v>
      </c>
      <c r="BO183" s="798">
        <f t="shared" si="102"/>
        <v>2</v>
      </c>
      <c r="BP183" s="798">
        <f t="shared" si="103"/>
        <v>0</v>
      </c>
      <c r="BQ183" s="798">
        <f t="shared" si="104"/>
        <v>8</v>
      </c>
      <c r="BR183" s="798" t="str">
        <f t="shared" si="105"/>
        <v/>
      </c>
      <c r="BS183" s="798" t="str">
        <f t="shared" si="106"/>
        <v/>
      </c>
      <c r="BU183" s="540" t="s">
        <v>432</v>
      </c>
      <c r="BV183" s="798">
        <f t="shared" si="107"/>
        <v>0</v>
      </c>
      <c r="BW183" s="798">
        <f t="shared" si="108"/>
        <v>2</v>
      </c>
      <c r="BX183" s="798">
        <f t="shared" si="109"/>
        <v>0</v>
      </c>
      <c r="BY183" s="798">
        <f t="shared" si="110"/>
        <v>8</v>
      </c>
      <c r="BZ183" s="798" t="str">
        <f t="shared" si="111"/>
        <v/>
      </c>
      <c r="CA183" s="798" t="str">
        <f t="shared" si="112"/>
        <v/>
      </c>
      <c r="CC183" s="540" t="s">
        <v>432</v>
      </c>
      <c r="CD183" s="798">
        <f t="shared" si="113"/>
        <v>0</v>
      </c>
      <c r="CE183" s="798">
        <f t="shared" si="114"/>
        <v>2</v>
      </c>
      <c r="CF183" s="798">
        <f t="shared" si="115"/>
        <v>0</v>
      </c>
      <c r="CG183" s="798">
        <f t="shared" si="116"/>
        <v>8</v>
      </c>
      <c r="CH183" s="798" t="str">
        <f t="shared" si="117"/>
        <v/>
      </c>
      <c r="CI183" s="798" t="str">
        <f t="shared" si="118"/>
        <v/>
      </c>
      <c r="CK183" s="540" t="s">
        <v>432</v>
      </c>
      <c r="CL183" s="798">
        <f t="shared" si="119"/>
        <v>0</v>
      </c>
      <c r="CM183" s="798">
        <f t="shared" si="120"/>
        <v>2</v>
      </c>
      <c r="CN183" s="798">
        <f t="shared" si="121"/>
        <v>0</v>
      </c>
      <c r="CO183" s="798">
        <f t="shared" si="122"/>
        <v>8</v>
      </c>
      <c r="CP183" s="798" t="str">
        <f t="shared" si="123"/>
        <v/>
      </c>
      <c r="CQ183" s="798" t="str">
        <f t="shared" si="124"/>
        <v/>
      </c>
    </row>
    <row r="184" spans="1:95">
      <c r="A184" s="540" t="s">
        <v>433</v>
      </c>
      <c r="B184" s="798">
        <f t="shared" ref="B184:G184" si="147">IF(B122&gt;0,INDEX($D$54:$D$94,B122,1),"")</f>
        <v>0</v>
      </c>
      <c r="C184" s="798" t="str">
        <f t="shared" si="147"/>
        <v/>
      </c>
      <c r="D184" s="798" t="str">
        <f t="shared" si="147"/>
        <v/>
      </c>
      <c r="E184" s="798" t="str">
        <f t="shared" si="147"/>
        <v/>
      </c>
      <c r="F184" s="798" t="str">
        <f t="shared" si="147"/>
        <v/>
      </c>
      <c r="G184" s="798" t="str">
        <f t="shared" si="147"/>
        <v/>
      </c>
      <c r="I184" s="540" t="s">
        <v>433</v>
      </c>
      <c r="J184" s="798">
        <f t="shared" si="59"/>
        <v>0</v>
      </c>
      <c r="K184" s="798" t="str">
        <f t="shared" si="60"/>
        <v/>
      </c>
      <c r="L184" s="798" t="str">
        <f t="shared" si="61"/>
        <v/>
      </c>
      <c r="M184" s="798" t="str">
        <f t="shared" si="62"/>
        <v/>
      </c>
      <c r="N184" s="798" t="str">
        <f t="shared" si="63"/>
        <v/>
      </c>
      <c r="O184" s="798" t="str">
        <f t="shared" si="64"/>
        <v/>
      </c>
      <c r="Q184" s="540" t="s">
        <v>433</v>
      </c>
      <c r="R184" s="798">
        <f t="shared" si="65"/>
        <v>0</v>
      </c>
      <c r="S184" s="798" t="str">
        <f t="shared" si="66"/>
        <v/>
      </c>
      <c r="T184" s="798" t="str">
        <f t="shared" si="67"/>
        <v/>
      </c>
      <c r="U184" s="798" t="str">
        <f t="shared" si="68"/>
        <v/>
      </c>
      <c r="V184" s="798" t="str">
        <f t="shared" si="69"/>
        <v/>
      </c>
      <c r="W184" s="798" t="str">
        <f t="shared" si="70"/>
        <v/>
      </c>
      <c r="Y184" s="540" t="s">
        <v>433</v>
      </c>
      <c r="Z184" s="798">
        <f t="shared" si="71"/>
        <v>0</v>
      </c>
      <c r="AA184" s="798" t="str">
        <f t="shared" si="72"/>
        <v/>
      </c>
      <c r="AB184" s="798" t="str">
        <f t="shared" si="73"/>
        <v/>
      </c>
      <c r="AC184" s="798" t="str">
        <f t="shared" si="74"/>
        <v/>
      </c>
      <c r="AD184" s="798" t="str">
        <f t="shared" si="75"/>
        <v/>
      </c>
      <c r="AE184" s="798" t="str">
        <f t="shared" si="76"/>
        <v/>
      </c>
      <c r="AG184" s="540" t="s">
        <v>433</v>
      </c>
      <c r="AH184" s="798">
        <f t="shared" si="77"/>
        <v>0</v>
      </c>
      <c r="AI184" s="798" t="str">
        <f t="shared" si="78"/>
        <v/>
      </c>
      <c r="AJ184" s="798" t="str">
        <f t="shared" si="79"/>
        <v/>
      </c>
      <c r="AK184" s="798" t="str">
        <f t="shared" si="80"/>
        <v/>
      </c>
      <c r="AL184" s="798" t="str">
        <f t="shared" si="81"/>
        <v/>
      </c>
      <c r="AM184" s="798" t="str">
        <f t="shared" si="82"/>
        <v/>
      </c>
      <c r="AO184" s="540" t="s">
        <v>433</v>
      </c>
      <c r="AP184" s="798">
        <f t="shared" si="83"/>
        <v>0</v>
      </c>
      <c r="AQ184" s="798" t="str">
        <f t="shared" si="84"/>
        <v/>
      </c>
      <c r="AR184" s="798" t="str">
        <f t="shared" si="85"/>
        <v/>
      </c>
      <c r="AS184" s="798" t="str">
        <f t="shared" si="86"/>
        <v/>
      </c>
      <c r="AT184" s="798" t="str">
        <f t="shared" si="87"/>
        <v/>
      </c>
      <c r="AU184" s="798" t="str">
        <f t="shared" si="88"/>
        <v/>
      </c>
      <c r="AW184" s="540" t="s">
        <v>433</v>
      </c>
      <c r="AX184" s="798">
        <f t="shared" si="89"/>
        <v>0</v>
      </c>
      <c r="AY184" s="798" t="str">
        <f t="shared" si="90"/>
        <v/>
      </c>
      <c r="AZ184" s="798" t="str">
        <f t="shared" si="91"/>
        <v/>
      </c>
      <c r="BA184" s="798" t="str">
        <f t="shared" si="92"/>
        <v/>
      </c>
      <c r="BB184" s="798" t="str">
        <f t="shared" si="93"/>
        <v/>
      </c>
      <c r="BC184" s="798" t="str">
        <f t="shared" si="94"/>
        <v/>
      </c>
      <c r="BE184" s="540" t="s">
        <v>433</v>
      </c>
      <c r="BF184" s="798">
        <f t="shared" si="95"/>
        <v>0</v>
      </c>
      <c r="BG184" s="798" t="str">
        <f t="shared" si="96"/>
        <v/>
      </c>
      <c r="BH184" s="798" t="str">
        <f t="shared" si="97"/>
        <v/>
      </c>
      <c r="BI184" s="798" t="str">
        <f t="shared" si="98"/>
        <v/>
      </c>
      <c r="BJ184" s="798" t="str">
        <f t="shared" si="99"/>
        <v/>
      </c>
      <c r="BK184" s="798" t="str">
        <f t="shared" si="100"/>
        <v/>
      </c>
      <c r="BM184" s="540" t="s">
        <v>433</v>
      </c>
      <c r="BN184" s="798">
        <f t="shared" si="101"/>
        <v>0</v>
      </c>
      <c r="BO184" s="798" t="str">
        <f t="shared" si="102"/>
        <v/>
      </c>
      <c r="BP184" s="798" t="str">
        <f t="shared" si="103"/>
        <v/>
      </c>
      <c r="BQ184" s="798" t="str">
        <f t="shared" si="104"/>
        <v/>
      </c>
      <c r="BR184" s="798" t="str">
        <f t="shared" si="105"/>
        <v/>
      </c>
      <c r="BS184" s="798" t="str">
        <f t="shared" si="106"/>
        <v/>
      </c>
      <c r="BU184" s="540" t="s">
        <v>433</v>
      </c>
      <c r="BV184" s="798">
        <f t="shared" si="107"/>
        <v>0</v>
      </c>
      <c r="BW184" s="798" t="str">
        <f t="shared" si="108"/>
        <v/>
      </c>
      <c r="BX184" s="798" t="str">
        <f t="shared" si="109"/>
        <v/>
      </c>
      <c r="BY184" s="798" t="str">
        <f t="shared" si="110"/>
        <v/>
      </c>
      <c r="BZ184" s="798" t="str">
        <f t="shared" si="111"/>
        <v/>
      </c>
      <c r="CA184" s="798" t="str">
        <f t="shared" si="112"/>
        <v/>
      </c>
      <c r="CC184" s="540" t="s">
        <v>433</v>
      </c>
      <c r="CD184" s="798">
        <f t="shared" si="113"/>
        <v>0</v>
      </c>
      <c r="CE184" s="798" t="str">
        <f t="shared" si="114"/>
        <v/>
      </c>
      <c r="CF184" s="798" t="str">
        <f t="shared" si="115"/>
        <v/>
      </c>
      <c r="CG184" s="798" t="str">
        <f t="shared" si="116"/>
        <v/>
      </c>
      <c r="CH184" s="798" t="str">
        <f t="shared" si="117"/>
        <v/>
      </c>
      <c r="CI184" s="798" t="str">
        <f t="shared" si="118"/>
        <v/>
      </c>
      <c r="CK184" s="540" t="s">
        <v>433</v>
      </c>
      <c r="CL184" s="798">
        <f t="shared" si="119"/>
        <v>0</v>
      </c>
      <c r="CM184" s="798" t="str">
        <f t="shared" si="120"/>
        <v/>
      </c>
      <c r="CN184" s="798" t="str">
        <f t="shared" si="121"/>
        <v/>
      </c>
      <c r="CO184" s="798" t="str">
        <f t="shared" si="122"/>
        <v/>
      </c>
      <c r="CP184" s="798" t="str">
        <f t="shared" si="123"/>
        <v/>
      </c>
      <c r="CQ184" s="798" t="str">
        <f t="shared" si="124"/>
        <v/>
      </c>
    </row>
    <row r="185" spans="1:95">
      <c r="A185" s="540" t="s">
        <v>434</v>
      </c>
      <c r="B185" s="798">
        <f t="shared" ref="B185:G185" si="148">IF(B123&gt;0,INDEX($D$54:$D$94,B123,1),"")</f>
        <v>0</v>
      </c>
      <c r="C185" s="798" t="str">
        <f t="shared" si="148"/>
        <v/>
      </c>
      <c r="D185" s="798" t="str">
        <f t="shared" si="148"/>
        <v/>
      </c>
      <c r="E185" s="798" t="str">
        <f t="shared" si="148"/>
        <v/>
      </c>
      <c r="F185" s="798" t="str">
        <f t="shared" si="148"/>
        <v/>
      </c>
      <c r="G185" s="798" t="str">
        <f t="shared" si="148"/>
        <v/>
      </c>
      <c r="I185" s="540" t="s">
        <v>434</v>
      </c>
      <c r="J185" s="798">
        <f t="shared" si="59"/>
        <v>0</v>
      </c>
      <c r="K185" s="798" t="str">
        <f t="shared" si="60"/>
        <v/>
      </c>
      <c r="L185" s="798" t="str">
        <f t="shared" si="61"/>
        <v/>
      </c>
      <c r="M185" s="798" t="str">
        <f t="shared" si="62"/>
        <v/>
      </c>
      <c r="N185" s="798" t="str">
        <f t="shared" si="63"/>
        <v/>
      </c>
      <c r="O185" s="798" t="str">
        <f t="shared" si="64"/>
        <v/>
      </c>
      <c r="Q185" s="540" t="s">
        <v>434</v>
      </c>
      <c r="R185" s="798">
        <f t="shared" si="65"/>
        <v>0</v>
      </c>
      <c r="S185" s="798" t="str">
        <f t="shared" si="66"/>
        <v/>
      </c>
      <c r="T185" s="798" t="str">
        <f t="shared" si="67"/>
        <v/>
      </c>
      <c r="U185" s="798" t="str">
        <f t="shared" si="68"/>
        <v/>
      </c>
      <c r="V185" s="798" t="str">
        <f t="shared" si="69"/>
        <v/>
      </c>
      <c r="W185" s="798" t="str">
        <f t="shared" si="70"/>
        <v/>
      </c>
      <c r="Y185" s="540" t="s">
        <v>434</v>
      </c>
      <c r="Z185" s="798">
        <f t="shared" si="71"/>
        <v>0</v>
      </c>
      <c r="AA185" s="798" t="str">
        <f t="shared" si="72"/>
        <v/>
      </c>
      <c r="AB185" s="798" t="str">
        <f t="shared" si="73"/>
        <v/>
      </c>
      <c r="AC185" s="798" t="str">
        <f t="shared" si="74"/>
        <v/>
      </c>
      <c r="AD185" s="798" t="str">
        <f t="shared" si="75"/>
        <v/>
      </c>
      <c r="AE185" s="798" t="str">
        <f t="shared" si="76"/>
        <v/>
      </c>
      <c r="AG185" s="540" t="s">
        <v>434</v>
      </c>
      <c r="AH185" s="798">
        <f t="shared" si="77"/>
        <v>0</v>
      </c>
      <c r="AI185" s="798" t="str">
        <f t="shared" si="78"/>
        <v/>
      </c>
      <c r="AJ185" s="798" t="str">
        <f t="shared" si="79"/>
        <v/>
      </c>
      <c r="AK185" s="798" t="str">
        <f t="shared" si="80"/>
        <v/>
      </c>
      <c r="AL185" s="798" t="str">
        <f t="shared" si="81"/>
        <v/>
      </c>
      <c r="AM185" s="798" t="str">
        <f t="shared" si="82"/>
        <v/>
      </c>
      <c r="AO185" s="540" t="s">
        <v>434</v>
      </c>
      <c r="AP185" s="798">
        <f t="shared" si="83"/>
        <v>0</v>
      </c>
      <c r="AQ185" s="798" t="str">
        <f t="shared" si="84"/>
        <v/>
      </c>
      <c r="AR185" s="798" t="str">
        <f t="shared" si="85"/>
        <v/>
      </c>
      <c r="AS185" s="798" t="str">
        <f t="shared" si="86"/>
        <v/>
      </c>
      <c r="AT185" s="798" t="str">
        <f t="shared" si="87"/>
        <v/>
      </c>
      <c r="AU185" s="798" t="str">
        <f t="shared" si="88"/>
        <v/>
      </c>
      <c r="AW185" s="540" t="s">
        <v>434</v>
      </c>
      <c r="AX185" s="798">
        <f t="shared" si="89"/>
        <v>0</v>
      </c>
      <c r="AY185" s="798" t="str">
        <f t="shared" si="90"/>
        <v/>
      </c>
      <c r="AZ185" s="798" t="str">
        <f t="shared" si="91"/>
        <v/>
      </c>
      <c r="BA185" s="798" t="str">
        <f t="shared" si="92"/>
        <v/>
      </c>
      <c r="BB185" s="798" t="str">
        <f t="shared" si="93"/>
        <v/>
      </c>
      <c r="BC185" s="798" t="str">
        <f t="shared" si="94"/>
        <v/>
      </c>
      <c r="BE185" s="540" t="s">
        <v>434</v>
      </c>
      <c r="BF185" s="798">
        <f t="shared" si="95"/>
        <v>0</v>
      </c>
      <c r="BG185" s="798" t="str">
        <f t="shared" si="96"/>
        <v/>
      </c>
      <c r="BH185" s="798" t="str">
        <f t="shared" si="97"/>
        <v/>
      </c>
      <c r="BI185" s="798" t="str">
        <f t="shared" si="98"/>
        <v/>
      </c>
      <c r="BJ185" s="798" t="str">
        <f t="shared" si="99"/>
        <v/>
      </c>
      <c r="BK185" s="798" t="str">
        <f t="shared" si="100"/>
        <v/>
      </c>
      <c r="BM185" s="540" t="s">
        <v>434</v>
      </c>
      <c r="BN185" s="798">
        <f t="shared" si="101"/>
        <v>0</v>
      </c>
      <c r="BO185" s="798" t="str">
        <f t="shared" si="102"/>
        <v/>
      </c>
      <c r="BP185" s="798" t="str">
        <f t="shared" si="103"/>
        <v/>
      </c>
      <c r="BQ185" s="798" t="str">
        <f t="shared" si="104"/>
        <v/>
      </c>
      <c r="BR185" s="798" t="str">
        <f t="shared" si="105"/>
        <v/>
      </c>
      <c r="BS185" s="798" t="str">
        <f t="shared" si="106"/>
        <v/>
      </c>
      <c r="BU185" s="540" t="s">
        <v>434</v>
      </c>
      <c r="BV185" s="798">
        <f t="shared" si="107"/>
        <v>0</v>
      </c>
      <c r="BW185" s="798" t="str">
        <f t="shared" si="108"/>
        <v/>
      </c>
      <c r="BX185" s="798" t="str">
        <f t="shared" si="109"/>
        <v/>
      </c>
      <c r="BY185" s="798" t="str">
        <f t="shared" si="110"/>
        <v/>
      </c>
      <c r="BZ185" s="798" t="str">
        <f t="shared" si="111"/>
        <v/>
      </c>
      <c r="CA185" s="798" t="str">
        <f t="shared" si="112"/>
        <v/>
      </c>
      <c r="CC185" s="540" t="s">
        <v>434</v>
      </c>
      <c r="CD185" s="798">
        <f t="shared" si="113"/>
        <v>0</v>
      </c>
      <c r="CE185" s="798" t="str">
        <f t="shared" si="114"/>
        <v/>
      </c>
      <c r="CF185" s="798" t="str">
        <f t="shared" si="115"/>
        <v/>
      </c>
      <c r="CG185" s="798" t="str">
        <f t="shared" si="116"/>
        <v/>
      </c>
      <c r="CH185" s="798" t="str">
        <f t="shared" si="117"/>
        <v/>
      </c>
      <c r="CI185" s="798" t="str">
        <f t="shared" si="118"/>
        <v/>
      </c>
      <c r="CK185" s="540" t="s">
        <v>434</v>
      </c>
      <c r="CL185" s="798">
        <f t="shared" si="119"/>
        <v>0</v>
      </c>
      <c r="CM185" s="798" t="str">
        <f t="shared" si="120"/>
        <v/>
      </c>
      <c r="CN185" s="798" t="str">
        <f t="shared" si="121"/>
        <v/>
      </c>
      <c r="CO185" s="798" t="str">
        <f t="shared" si="122"/>
        <v/>
      </c>
      <c r="CP185" s="798" t="str">
        <f t="shared" si="123"/>
        <v/>
      </c>
      <c r="CQ185" s="798" t="str">
        <f t="shared" si="124"/>
        <v/>
      </c>
    </row>
    <row r="186" spans="1:95">
      <c r="A186" s="540" t="s">
        <v>617</v>
      </c>
      <c r="B186" s="798">
        <f t="shared" ref="B186:G186" si="149">IF(B124&gt;0,INDEX($D$54:$D$94,B124,1),"")</f>
        <v>0</v>
      </c>
      <c r="C186" s="798">
        <f t="shared" si="149"/>
        <v>2</v>
      </c>
      <c r="D186" s="798" t="str">
        <f t="shared" si="149"/>
        <v/>
      </c>
      <c r="E186" s="798" t="str">
        <f t="shared" si="149"/>
        <v/>
      </c>
      <c r="F186" s="798" t="str">
        <f t="shared" si="149"/>
        <v/>
      </c>
      <c r="G186" s="798" t="str">
        <f t="shared" si="149"/>
        <v/>
      </c>
      <c r="I186" s="540" t="s">
        <v>617</v>
      </c>
      <c r="J186" s="798">
        <f t="shared" si="59"/>
        <v>0</v>
      </c>
      <c r="K186" s="798">
        <f t="shared" si="60"/>
        <v>2</v>
      </c>
      <c r="L186" s="798" t="str">
        <f t="shared" si="61"/>
        <v/>
      </c>
      <c r="M186" s="798" t="str">
        <f t="shared" si="62"/>
        <v/>
      </c>
      <c r="N186" s="798" t="str">
        <f t="shared" si="63"/>
        <v/>
      </c>
      <c r="O186" s="798" t="str">
        <f t="shared" si="64"/>
        <v/>
      </c>
      <c r="Q186" s="540" t="s">
        <v>617</v>
      </c>
      <c r="R186" s="798">
        <f t="shared" si="65"/>
        <v>0</v>
      </c>
      <c r="S186" s="798">
        <f t="shared" si="66"/>
        <v>2</v>
      </c>
      <c r="T186" s="798" t="str">
        <f t="shared" si="67"/>
        <v/>
      </c>
      <c r="U186" s="798" t="str">
        <f t="shared" si="68"/>
        <v/>
      </c>
      <c r="V186" s="798" t="str">
        <f t="shared" si="69"/>
        <v/>
      </c>
      <c r="W186" s="798" t="str">
        <f t="shared" si="70"/>
        <v/>
      </c>
      <c r="Y186" s="540" t="s">
        <v>617</v>
      </c>
      <c r="Z186" s="798">
        <f t="shared" si="71"/>
        <v>0</v>
      </c>
      <c r="AA186" s="798">
        <f t="shared" si="72"/>
        <v>2</v>
      </c>
      <c r="AB186" s="798" t="str">
        <f t="shared" si="73"/>
        <v/>
      </c>
      <c r="AC186" s="798" t="str">
        <f t="shared" si="74"/>
        <v/>
      </c>
      <c r="AD186" s="798" t="str">
        <f t="shared" si="75"/>
        <v/>
      </c>
      <c r="AE186" s="798" t="str">
        <f t="shared" si="76"/>
        <v/>
      </c>
      <c r="AG186" s="540" t="s">
        <v>617</v>
      </c>
      <c r="AH186" s="798">
        <f t="shared" si="77"/>
        <v>0</v>
      </c>
      <c r="AI186" s="798">
        <f t="shared" si="78"/>
        <v>2</v>
      </c>
      <c r="AJ186" s="798" t="str">
        <f t="shared" si="79"/>
        <v/>
      </c>
      <c r="AK186" s="798" t="str">
        <f t="shared" si="80"/>
        <v/>
      </c>
      <c r="AL186" s="798" t="str">
        <f t="shared" si="81"/>
        <v/>
      </c>
      <c r="AM186" s="798" t="str">
        <f t="shared" si="82"/>
        <v/>
      </c>
      <c r="AO186" s="540" t="s">
        <v>617</v>
      </c>
      <c r="AP186" s="798">
        <f t="shared" si="83"/>
        <v>0</v>
      </c>
      <c r="AQ186" s="798">
        <f t="shared" si="84"/>
        <v>2</v>
      </c>
      <c r="AR186" s="798" t="str">
        <f t="shared" si="85"/>
        <v/>
      </c>
      <c r="AS186" s="798" t="str">
        <f t="shared" si="86"/>
        <v/>
      </c>
      <c r="AT186" s="798" t="str">
        <f t="shared" si="87"/>
        <v/>
      </c>
      <c r="AU186" s="798" t="str">
        <f t="shared" si="88"/>
        <v/>
      </c>
      <c r="AW186" s="540" t="s">
        <v>617</v>
      </c>
      <c r="AX186" s="798">
        <f t="shared" si="89"/>
        <v>0</v>
      </c>
      <c r="AY186" s="798">
        <f t="shared" si="90"/>
        <v>2</v>
      </c>
      <c r="AZ186" s="798" t="str">
        <f t="shared" si="91"/>
        <v/>
      </c>
      <c r="BA186" s="798" t="str">
        <f t="shared" si="92"/>
        <v/>
      </c>
      <c r="BB186" s="798" t="str">
        <f t="shared" si="93"/>
        <v/>
      </c>
      <c r="BC186" s="798" t="str">
        <f t="shared" si="94"/>
        <v/>
      </c>
      <c r="BE186" s="540" t="s">
        <v>617</v>
      </c>
      <c r="BF186" s="798">
        <f t="shared" si="95"/>
        <v>0</v>
      </c>
      <c r="BG186" s="798">
        <f t="shared" si="96"/>
        <v>2</v>
      </c>
      <c r="BH186" s="798" t="str">
        <f t="shared" si="97"/>
        <v/>
      </c>
      <c r="BI186" s="798" t="str">
        <f t="shared" si="98"/>
        <v/>
      </c>
      <c r="BJ186" s="798" t="str">
        <f t="shared" si="99"/>
        <v/>
      </c>
      <c r="BK186" s="798" t="str">
        <f t="shared" si="100"/>
        <v/>
      </c>
      <c r="BM186" s="540" t="s">
        <v>617</v>
      </c>
      <c r="BN186" s="798">
        <f t="shared" si="101"/>
        <v>0</v>
      </c>
      <c r="BO186" s="798">
        <f t="shared" si="102"/>
        <v>2</v>
      </c>
      <c r="BP186" s="798" t="str">
        <f t="shared" si="103"/>
        <v/>
      </c>
      <c r="BQ186" s="798" t="str">
        <f t="shared" si="104"/>
        <v/>
      </c>
      <c r="BR186" s="798" t="str">
        <f t="shared" si="105"/>
        <v/>
      </c>
      <c r="BS186" s="798" t="str">
        <f t="shared" si="106"/>
        <v/>
      </c>
      <c r="BU186" s="540" t="s">
        <v>617</v>
      </c>
      <c r="BV186" s="798">
        <f t="shared" si="107"/>
        <v>0</v>
      </c>
      <c r="BW186" s="798">
        <f t="shared" si="108"/>
        <v>2</v>
      </c>
      <c r="BX186" s="798" t="str">
        <f t="shared" si="109"/>
        <v/>
      </c>
      <c r="BY186" s="798" t="str">
        <f t="shared" si="110"/>
        <v/>
      </c>
      <c r="BZ186" s="798" t="str">
        <f t="shared" si="111"/>
        <v/>
      </c>
      <c r="CA186" s="798" t="str">
        <f t="shared" si="112"/>
        <v/>
      </c>
      <c r="CC186" s="540" t="s">
        <v>617</v>
      </c>
      <c r="CD186" s="798">
        <f t="shared" si="113"/>
        <v>0</v>
      </c>
      <c r="CE186" s="798">
        <f t="shared" si="114"/>
        <v>2</v>
      </c>
      <c r="CF186" s="798" t="str">
        <f t="shared" si="115"/>
        <v/>
      </c>
      <c r="CG186" s="798" t="str">
        <f t="shared" si="116"/>
        <v/>
      </c>
      <c r="CH186" s="798" t="str">
        <f t="shared" si="117"/>
        <v/>
      </c>
      <c r="CI186" s="798" t="str">
        <f t="shared" si="118"/>
        <v/>
      </c>
      <c r="CK186" s="540" t="s">
        <v>617</v>
      </c>
      <c r="CL186" s="798">
        <f t="shared" si="119"/>
        <v>0</v>
      </c>
      <c r="CM186" s="798">
        <f t="shared" si="120"/>
        <v>2</v>
      </c>
      <c r="CN186" s="798" t="str">
        <f t="shared" si="121"/>
        <v/>
      </c>
      <c r="CO186" s="798" t="str">
        <f t="shared" si="122"/>
        <v/>
      </c>
      <c r="CP186" s="798" t="str">
        <f t="shared" si="123"/>
        <v/>
      </c>
      <c r="CQ186" s="798" t="str">
        <f t="shared" si="124"/>
        <v/>
      </c>
    </row>
    <row r="187" spans="1:95">
      <c r="A187" s="541" t="s">
        <v>548</v>
      </c>
      <c r="B187" s="751"/>
      <c r="C187" s="751"/>
      <c r="D187" s="751"/>
      <c r="E187" s="556"/>
      <c r="F187" s="751"/>
      <c r="G187" s="49"/>
      <c r="I187" s="541" t="s">
        <v>548</v>
      </c>
      <c r="J187" s="751"/>
      <c r="K187" s="751"/>
      <c r="L187" s="751"/>
      <c r="M187" s="556"/>
      <c r="N187" s="751"/>
      <c r="O187" s="49"/>
      <c r="Q187" s="541" t="s">
        <v>548</v>
      </c>
      <c r="R187" s="751"/>
      <c r="S187" s="751"/>
      <c r="T187" s="751"/>
      <c r="U187" s="556"/>
      <c r="V187" s="751"/>
      <c r="W187" s="49"/>
      <c r="Y187" s="541" t="s">
        <v>548</v>
      </c>
      <c r="Z187" s="751"/>
      <c r="AA187" s="751"/>
      <c r="AB187" s="751"/>
      <c r="AC187" s="556"/>
      <c r="AD187" s="751"/>
      <c r="AE187" s="49"/>
      <c r="AG187" s="541" t="s">
        <v>548</v>
      </c>
      <c r="AH187" s="751"/>
      <c r="AI187" s="751"/>
      <c r="AJ187" s="751"/>
      <c r="AK187" s="556"/>
      <c r="AL187" s="751"/>
      <c r="AM187" s="49"/>
      <c r="AO187" s="541" t="s">
        <v>548</v>
      </c>
      <c r="AP187" s="751"/>
      <c r="AQ187" s="751"/>
      <c r="AR187" s="751"/>
      <c r="AS187" s="556"/>
      <c r="AT187" s="751"/>
      <c r="AU187" s="49"/>
      <c r="AW187" s="541" t="s">
        <v>548</v>
      </c>
      <c r="AX187" s="751"/>
      <c r="AY187" s="751"/>
      <c r="AZ187" s="751"/>
      <c r="BA187" s="556"/>
      <c r="BB187" s="751"/>
      <c r="BC187" s="49"/>
      <c r="BE187" s="541" t="s">
        <v>548</v>
      </c>
      <c r="BF187" s="751"/>
      <c r="BG187" s="751"/>
      <c r="BH187" s="751"/>
      <c r="BI187" s="556"/>
      <c r="BJ187" s="751"/>
      <c r="BK187" s="49"/>
      <c r="BM187" s="541" t="s">
        <v>548</v>
      </c>
      <c r="BN187" s="751"/>
      <c r="BO187" s="751"/>
      <c r="BP187" s="751"/>
      <c r="BQ187" s="556"/>
      <c r="BR187" s="751"/>
      <c r="BS187" s="49"/>
      <c r="BU187" s="541" t="s">
        <v>548</v>
      </c>
      <c r="BV187" s="751"/>
      <c r="BW187" s="751"/>
      <c r="BX187" s="751"/>
      <c r="BY187" s="556"/>
      <c r="BZ187" s="751"/>
      <c r="CA187" s="49"/>
      <c r="CC187" s="541" t="s">
        <v>548</v>
      </c>
      <c r="CD187" s="751"/>
      <c r="CE187" s="751"/>
      <c r="CF187" s="751"/>
      <c r="CG187" s="556"/>
      <c r="CH187" s="751"/>
      <c r="CI187" s="49"/>
      <c r="CK187" s="541" t="s">
        <v>548</v>
      </c>
      <c r="CL187" s="751"/>
      <c r="CM187" s="751"/>
      <c r="CN187" s="751"/>
      <c r="CO187" s="556"/>
      <c r="CP187" s="751"/>
      <c r="CQ187" s="49"/>
    </row>
    <row r="188" spans="1:95">
      <c r="A188" s="536"/>
      <c r="R188" s="27"/>
      <c r="S188" s="27"/>
      <c r="T188" s="27"/>
      <c r="U188" s="27"/>
      <c r="V188" s="27"/>
    </row>
    <row r="189" spans="1:95">
      <c r="A189" s="536"/>
    </row>
    <row r="190" spans="1:95">
      <c r="A190" s="536"/>
    </row>
    <row r="191" spans="1:95">
      <c r="A191" s="536"/>
    </row>
    <row r="192" spans="1:95">
      <c r="A192" s="536"/>
    </row>
    <row r="193" spans="1:1">
      <c r="A193" s="536"/>
    </row>
    <row r="194" spans="1:1">
      <c r="A194" s="536"/>
    </row>
    <row r="195" spans="1:1">
      <c r="A195" s="536"/>
    </row>
    <row r="196" spans="1:1">
      <c r="A196" s="536"/>
    </row>
    <row r="197" spans="1:1">
      <c r="A197" s="536"/>
    </row>
  </sheetData>
  <sheetProtection password="C616" sheet="1" objects="1" scenarios="1"/>
  <mergeCells count="60">
    <mergeCell ref="AD69:AF69"/>
    <mergeCell ref="U34:X34"/>
    <mergeCell ref="U23:X23"/>
    <mergeCell ref="AI33:AJ33"/>
    <mergeCell ref="AK33:AL33"/>
    <mergeCell ref="X65:AC65"/>
    <mergeCell ref="X66:Y66"/>
    <mergeCell ref="Z66:AA66"/>
    <mergeCell ref="AB66:AC66"/>
    <mergeCell ref="AM33:AN33"/>
    <mergeCell ref="BQ40:BR40"/>
    <mergeCell ref="AK35:AL35"/>
    <mergeCell ref="AV21:AW21"/>
    <mergeCell ref="AA34:AC34"/>
    <mergeCell ref="AG38:AH38"/>
    <mergeCell ref="AG37:AH37"/>
    <mergeCell ref="AI36:AJ36"/>
    <mergeCell ref="AO49:AP49"/>
    <mergeCell ref="AG33:AH33"/>
    <mergeCell ref="BI28:BJ28"/>
    <mergeCell ref="AM36:AN36"/>
    <mergeCell ref="AM35:AN35"/>
    <mergeCell ref="AG35:AH35"/>
    <mergeCell ref="AK36:AL36"/>
    <mergeCell ref="AG42:AH42"/>
    <mergeCell ref="AG43:AH43"/>
    <mergeCell ref="AK43:AL43"/>
    <mergeCell ref="AK44:AL44"/>
    <mergeCell ref="AK45:AL45"/>
    <mergeCell ref="AG49:AH49"/>
    <mergeCell ref="AI45:AJ45"/>
    <mergeCell ref="AI37:AJ37"/>
    <mergeCell ref="AK49:AL49"/>
    <mergeCell ref="N122:Q122"/>
    <mergeCell ref="AI35:AJ35"/>
    <mergeCell ref="AG36:AH36"/>
    <mergeCell ref="O83:P83"/>
    <mergeCell ref="AM37:AN37"/>
    <mergeCell ref="AM38:AN38"/>
    <mergeCell ref="AI43:AJ43"/>
    <mergeCell ref="AI44:AJ44"/>
    <mergeCell ref="AI42:AJ42"/>
    <mergeCell ref="AK37:AL37"/>
    <mergeCell ref="AI38:AJ38"/>
    <mergeCell ref="AK38:AL38"/>
    <mergeCell ref="AM49:AN49"/>
    <mergeCell ref="AM43:AN43"/>
    <mergeCell ref="AM44:AN44"/>
    <mergeCell ref="AM45:AN45"/>
    <mergeCell ref="AO50:AP50"/>
    <mergeCell ref="AG50:AH50"/>
    <mergeCell ref="AI50:AJ50"/>
    <mergeCell ref="AK50:AL50"/>
    <mergeCell ref="AM50:AN50"/>
    <mergeCell ref="AM42:AN42"/>
    <mergeCell ref="U54:V54"/>
    <mergeCell ref="AI49:AJ49"/>
    <mergeCell ref="AK42:AL42"/>
    <mergeCell ref="AG44:AH44"/>
    <mergeCell ref="AG45:AH45"/>
  </mergeCells>
  <phoneticPr fontId="6" type="noConversion"/>
  <pageMargins left="0.28000000000000003" right="0.31" top="1.0236220472440944" bottom="0.98425196850393704" header="0.51181102362204722" footer="0.51181102362204722"/>
  <pageSetup paperSize="9" scale="35" orientation="landscape" r:id="rId1"/>
  <headerFooter alignWithMargins="0">
    <oddHeader>&amp;L&amp;"Arial,Fett Kursiv"&amp;18Tabellen für den MINERGIE-Nachweis</oddHeader>
    <oddFooter>&amp;L&amp;8&amp;F / &amp;A / &amp;D / MINERGIE-Nachweis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53" r:id="rId4" name="Drop Down 17">
              <controlPr defaultSize="0" print="0" autoLine="0" autoPict="0">
                <anchor moveWithCells="1">
                  <from>
                    <xdr:col>63</xdr:col>
                    <xdr:colOff>0</xdr:colOff>
                    <xdr:row>26</xdr:row>
                    <xdr:rowOff>0</xdr:rowOff>
                  </from>
                  <to>
                    <xdr:col>66</xdr:col>
                    <xdr:colOff>0</xdr:colOff>
                    <xdr:row>27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529"/>
  <sheetViews>
    <sheetView zoomScaleNormal="100" workbookViewId="0">
      <pane xSplit="1" topLeftCell="B1" activePane="topRight" state="frozen"/>
      <selection activeCell="A294" sqref="A294"/>
      <selection pane="topRight" activeCell="A2" sqref="A2"/>
    </sheetView>
  </sheetViews>
  <sheetFormatPr baseColWidth="10" defaultColWidth="11.5546875" defaultRowHeight="25.95" customHeight="1"/>
  <cols>
    <col min="1" max="1" width="6.88671875" style="431" customWidth="1"/>
    <col min="2" max="2" width="12.6640625" style="1002" customWidth="1"/>
    <col min="3" max="3" width="12.109375" style="1002" customWidth="1"/>
    <col min="4" max="4" width="46.33203125" style="431" customWidth="1"/>
    <col min="5" max="5" width="51.33203125" style="432" customWidth="1"/>
    <col min="6" max="6" width="46.33203125" style="972" customWidth="1"/>
    <col min="7" max="7" width="46.33203125" style="433" customWidth="1"/>
    <col min="8" max="16384" width="11.5546875" style="434"/>
  </cols>
  <sheetData>
    <row r="1" spans="1:9" s="426" customFormat="1" ht="25.95" customHeight="1">
      <c r="A1" s="966">
        <f>VLOOKUP(C1,H1:I3,2)</f>
        <v>3</v>
      </c>
      <c r="B1" s="1001" t="s">
        <v>845</v>
      </c>
      <c r="C1" s="1006" t="s">
        <v>135</v>
      </c>
      <c r="D1" s="423"/>
      <c r="E1" s="424" t="s">
        <v>136</v>
      </c>
      <c r="F1" s="971"/>
      <c r="G1" s="425"/>
      <c r="H1" s="434" t="str">
        <f>E3</f>
        <v>deutsch</v>
      </c>
      <c r="I1" s="967">
        <v>1</v>
      </c>
    </row>
    <row r="2" spans="1:9" ht="34.5" customHeight="1">
      <c r="A2" s="1478">
        <v>2</v>
      </c>
      <c r="B2" s="1474"/>
      <c r="C2" s="1477">
        <v>2018</v>
      </c>
      <c r="D2" s="1475" t="s">
        <v>2209</v>
      </c>
      <c r="H2" s="434" t="str">
        <f>F3</f>
        <v>französisch</v>
      </c>
      <c r="I2" s="967">
        <v>2</v>
      </c>
    </row>
    <row r="3" spans="1:9" s="430" customFormat="1" ht="25.95" customHeight="1">
      <c r="A3" s="427"/>
      <c r="B3" s="1003" t="s">
        <v>621</v>
      </c>
      <c r="C3" s="1003" t="s">
        <v>622</v>
      </c>
      <c r="D3" s="427" t="s">
        <v>699</v>
      </c>
      <c r="E3" s="428" t="s">
        <v>133</v>
      </c>
      <c r="F3" s="973" t="s">
        <v>134</v>
      </c>
      <c r="G3" s="429" t="s">
        <v>135</v>
      </c>
      <c r="H3" s="434" t="str">
        <f>G3</f>
        <v>italienisch</v>
      </c>
      <c r="I3" s="967">
        <v>3</v>
      </c>
    </row>
    <row r="4" spans="1:9" ht="25.95" customHeight="1">
      <c r="A4" s="431">
        <v>1</v>
      </c>
      <c r="B4" s="1002" t="s">
        <v>53</v>
      </c>
      <c r="C4" s="1002" t="s">
        <v>1088</v>
      </c>
      <c r="D4" s="968" t="str">
        <f>INDEX($E$4:$G$503,$A4,$A$1)</f>
        <v>v2.02</v>
      </c>
      <c r="E4" s="1599" t="s">
        <v>3496</v>
      </c>
      <c r="F4" s="972" t="str">
        <f>E4</f>
        <v>v2.02</v>
      </c>
      <c r="G4" s="433" t="str">
        <f>E4</f>
        <v>v2.02</v>
      </c>
    </row>
    <row r="5" spans="1:9" ht="25.95" customHeight="1">
      <c r="A5" s="431">
        <v>2</v>
      </c>
      <c r="B5" s="1002" t="s">
        <v>53</v>
      </c>
      <c r="C5" s="1002" t="s">
        <v>847</v>
      </c>
      <c r="D5" s="968" t="str">
        <f t="shared" ref="D5:D68" si="0">INDEX($E$4:$G$503,$A5,$A$1)</f>
        <v>Formulario EN101b, v2.02, da utilizzare fino al 31.12.2018</v>
      </c>
      <c r="E5" s="459" t="str">
        <f>"Formular EN101b, "&amp;E4&amp;", zu verwenden bis 31. Dezember 2018"</f>
        <v>Formular EN101b, v2.02, zu verwenden bis 31. Dezember 2018</v>
      </c>
      <c r="F5" s="972" t="str">
        <f>"Formulaire EN101b, "&amp;E4&amp;", à utiliser jusqu'au 31. décembre 2018"</f>
        <v>Formulaire EN101b, v2.02, à utiliser jusqu'au 31. décembre 2018</v>
      </c>
      <c r="G5" s="433" t="str">
        <f>"Formulario EN101b, "&amp;E4&amp;", da utilizzare fino al 31.12.2018"</f>
        <v>Formulario EN101b, v2.02, da utilizzare fino al 31.12.2018</v>
      </c>
    </row>
    <row r="6" spans="1:9" ht="25.95" customHeight="1">
      <c r="A6" s="431">
        <v>3</v>
      </c>
      <c r="B6" s="1002" t="s">
        <v>53</v>
      </c>
      <c r="C6" s="1002" t="s">
        <v>848</v>
      </c>
      <c r="D6" s="968" t="str">
        <f t="shared" si="0"/>
        <v>Verifica energetica</v>
      </c>
      <c r="E6" s="432" t="s">
        <v>756</v>
      </c>
      <c r="F6" s="972" t="s">
        <v>1513</v>
      </c>
      <c r="G6" s="433" t="s">
        <v>1252</v>
      </c>
    </row>
    <row r="7" spans="1:9" ht="25.95" customHeight="1">
      <c r="A7" s="431">
        <v>4</v>
      </c>
      <c r="B7" s="1002" t="s">
        <v>53</v>
      </c>
      <c r="C7" s="1002" t="s">
        <v>849</v>
      </c>
      <c r="D7" s="968" t="str">
        <f t="shared" si="0"/>
        <v>Fabbisogno energetico</v>
      </c>
      <c r="E7" s="432" t="s">
        <v>1720</v>
      </c>
      <c r="F7" s="972" t="s">
        <v>1721</v>
      </c>
      <c r="G7" s="433" t="s">
        <v>1722</v>
      </c>
    </row>
    <row r="8" spans="1:9" ht="25.95" customHeight="1">
      <c r="A8" s="431">
        <v>5</v>
      </c>
      <c r="B8" s="1002" t="s">
        <v>53</v>
      </c>
      <c r="C8" s="1002" t="s">
        <v>850</v>
      </c>
      <c r="D8" s="968" t="str">
        <f t="shared" si="0"/>
        <v>Soluzione tramite calcolo</v>
      </c>
      <c r="E8" s="432" t="s">
        <v>758</v>
      </c>
      <c r="F8" s="972" t="s">
        <v>1514</v>
      </c>
      <c r="G8" s="433" t="s">
        <v>1253</v>
      </c>
    </row>
    <row r="9" spans="1:9" ht="25.95" customHeight="1">
      <c r="A9" s="431">
        <v>6</v>
      </c>
      <c r="B9" s="1002" t="s">
        <v>53</v>
      </c>
      <c r="C9" s="1002" t="s">
        <v>851</v>
      </c>
      <c r="D9" s="968" t="str">
        <f t="shared" si="0"/>
        <v>Comune:</v>
      </c>
      <c r="E9" s="432" t="s">
        <v>799</v>
      </c>
      <c r="F9" s="972" t="s">
        <v>1515</v>
      </c>
      <c r="G9" s="433" t="s">
        <v>1254</v>
      </c>
    </row>
    <row r="10" spans="1:9" ht="26.1" customHeight="1">
      <c r="A10" s="431">
        <v>7</v>
      </c>
      <c r="B10" s="1002" t="s">
        <v>53</v>
      </c>
      <c r="C10" s="1002" t="s">
        <v>1222</v>
      </c>
      <c r="D10" s="968" t="str">
        <f t="shared" si="0"/>
        <v>Part. n.:</v>
      </c>
      <c r="E10" s="432" t="s">
        <v>802</v>
      </c>
      <c r="F10" s="972" t="s">
        <v>1516</v>
      </c>
      <c r="G10" s="433" t="s">
        <v>1255</v>
      </c>
    </row>
    <row r="11" spans="1:9" ht="26.1" customHeight="1">
      <c r="A11" s="431">
        <v>8</v>
      </c>
      <c r="B11" s="1002" t="s">
        <v>53</v>
      </c>
      <c r="C11" s="1002" t="s">
        <v>1055</v>
      </c>
      <c r="D11" s="968" t="str">
        <f t="shared" si="0"/>
        <v>Fabbr. n.:</v>
      </c>
      <c r="E11" s="432" t="s">
        <v>801</v>
      </c>
      <c r="F11" s="972" t="s">
        <v>1517</v>
      </c>
      <c r="G11" s="433" t="s">
        <v>1256</v>
      </c>
    </row>
    <row r="12" spans="1:9" ht="26.1" customHeight="1">
      <c r="A12" s="431">
        <v>9</v>
      </c>
      <c r="B12" s="1002" t="s">
        <v>53</v>
      </c>
      <c r="C12" s="1002" t="s">
        <v>844</v>
      </c>
      <c r="D12" s="968" t="str">
        <f t="shared" si="0"/>
        <v>Cantone:</v>
      </c>
      <c r="E12" s="506" t="s">
        <v>618</v>
      </c>
      <c r="F12" s="974" t="s">
        <v>843</v>
      </c>
      <c r="G12" s="433" t="s">
        <v>1257</v>
      </c>
    </row>
    <row r="13" spans="1:9" ht="26.1" customHeight="1">
      <c r="A13" s="431">
        <v>10</v>
      </c>
      <c r="B13" s="1002" t="s">
        <v>53</v>
      </c>
      <c r="C13" s="1002" t="s">
        <v>854</v>
      </c>
      <c r="D13" s="968" t="str">
        <f t="shared" si="0"/>
        <v>Oggetto:</v>
      </c>
      <c r="E13" s="432" t="s">
        <v>800</v>
      </c>
      <c r="F13" s="972" t="s">
        <v>1518</v>
      </c>
      <c r="G13" s="433" t="s">
        <v>1258</v>
      </c>
    </row>
    <row r="14" spans="1:9" ht="26.1" customHeight="1">
      <c r="A14" s="431">
        <v>11</v>
      </c>
      <c r="B14" s="1002" t="s">
        <v>53</v>
      </c>
      <c r="C14" s="1002" t="s">
        <v>855</v>
      </c>
      <c r="D14" s="968" t="str">
        <f t="shared" si="0"/>
        <v>Dati dell'edificio</v>
      </c>
      <c r="E14" s="432" t="s">
        <v>490</v>
      </c>
      <c r="F14" s="972" t="s">
        <v>1519</v>
      </c>
      <c r="G14" s="433" t="s">
        <v>1259</v>
      </c>
    </row>
    <row r="15" spans="1:9" ht="26.1" customHeight="1">
      <c r="A15" s="431">
        <v>12</v>
      </c>
      <c r="B15" s="1002" t="s">
        <v>53</v>
      </c>
      <c r="C15" s="1002" t="s">
        <v>390</v>
      </c>
      <c r="D15" s="968" t="str">
        <f t="shared" si="0"/>
        <v>Altitudine:</v>
      </c>
      <c r="E15" s="432" t="s">
        <v>834</v>
      </c>
      <c r="F15" s="972" t="s">
        <v>1520</v>
      </c>
      <c r="G15" s="433" t="s">
        <v>1260</v>
      </c>
    </row>
    <row r="16" spans="1:9" s="980" customFormat="1" ht="26.1" customHeight="1">
      <c r="A16" s="431">
        <v>13</v>
      </c>
      <c r="B16" s="1002" t="s">
        <v>53</v>
      </c>
      <c r="C16" s="1002" t="s">
        <v>857</v>
      </c>
      <c r="D16" s="968" t="str">
        <f t="shared" si="0"/>
        <v>msm</v>
      </c>
      <c r="E16" s="977" t="s">
        <v>251</v>
      </c>
      <c r="F16" s="978" t="s">
        <v>1521</v>
      </c>
      <c r="G16" s="979" t="s">
        <v>1261</v>
      </c>
    </row>
    <row r="17" spans="1:7" ht="26.1" customHeight="1">
      <c r="A17" s="431">
        <v>14</v>
      </c>
      <c r="B17" s="1002" t="s">
        <v>53</v>
      </c>
      <c r="C17" s="1002" t="s">
        <v>467</v>
      </c>
      <c r="D17" s="968" t="str">
        <f t="shared" si="0"/>
        <v>(secondo la SIA 380/1)</v>
      </c>
      <c r="E17" s="432" t="s">
        <v>830</v>
      </c>
      <c r="F17" s="972" t="s">
        <v>1522</v>
      </c>
      <c r="G17" s="433" t="s">
        <v>1262</v>
      </c>
    </row>
    <row r="18" spans="1:7" ht="26.1" customHeight="1">
      <c r="A18" s="431">
        <v>15</v>
      </c>
      <c r="B18" s="1002" t="s">
        <v>53</v>
      </c>
      <c r="C18" s="1002" t="s">
        <v>856</v>
      </c>
      <c r="D18" s="968" t="str">
        <f t="shared" si="0"/>
        <v>Tipo di verifica</v>
      </c>
      <c r="E18" s="432" t="s">
        <v>835</v>
      </c>
      <c r="F18" s="972" t="s">
        <v>1523</v>
      </c>
      <c r="G18" s="433" t="s">
        <v>1263</v>
      </c>
    </row>
    <row r="19" spans="1:7" ht="26.1" customHeight="1">
      <c r="A19" s="431">
        <v>16</v>
      </c>
      <c r="B19" s="1002" t="s">
        <v>623</v>
      </c>
      <c r="C19" s="1002" t="s">
        <v>861</v>
      </c>
      <c r="D19" s="968" t="str">
        <f t="shared" si="0"/>
        <v>Verifica regolare</v>
      </c>
      <c r="E19" s="432" t="s">
        <v>832</v>
      </c>
      <c r="F19" s="972" t="s">
        <v>1524</v>
      </c>
      <c r="G19" s="433" t="s">
        <v>1264</v>
      </c>
    </row>
    <row r="20" spans="1:7" ht="26.1" customHeight="1">
      <c r="A20" s="431">
        <v>17</v>
      </c>
      <c r="B20" s="1002" t="s">
        <v>623</v>
      </c>
      <c r="C20" s="1002" t="s">
        <v>862</v>
      </c>
      <c r="D20" s="968" t="str">
        <f t="shared" si="0"/>
        <v>MINERGIE</v>
      </c>
      <c r="E20" s="432" t="s">
        <v>313</v>
      </c>
      <c r="F20" s="972" t="s">
        <v>313</v>
      </c>
      <c r="G20" s="433" t="s">
        <v>313</v>
      </c>
    </row>
    <row r="21" spans="1:7" ht="26.1" customHeight="1">
      <c r="A21" s="431">
        <v>18</v>
      </c>
      <c r="B21" s="1002" t="s">
        <v>623</v>
      </c>
      <c r="C21" s="1002" t="s">
        <v>863</v>
      </c>
      <c r="D21" s="968" t="str">
        <f t="shared" si="0"/>
        <v>MINERGIE-P</v>
      </c>
      <c r="E21" s="432" t="s">
        <v>653</v>
      </c>
      <c r="F21" s="972" t="s">
        <v>653</v>
      </c>
      <c r="G21" s="433" t="s">
        <v>653</v>
      </c>
    </row>
    <row r="22" spans="1:7" ht="26.1" customHeight="1">
      <c r="A22" s="431">
        <v>19</v>
      </c>
      <c r="B22" s="1002" t="s">
        <v>623</v>
      </c>
      <c r="C22" s="1002" t="s">
        <v>864</v>
      </c>
      <c r="D22" s="968" t="str">
        <f t="shared" si="0"/>
        <v>MINERGIE-A</v>
      </c>
      <c r="E22" s="432" t="s">
        <v>833</v>
      </c>
      <c r="F22" s="972" t="s">
        <v>833</v>
      </c>
      <c r="G22" s="433" t="s">
        <v>833</v>
      </c>
    </row>
    <row r="23" spans="1:7" ht="26.1" customHeight="1">
      <c r="A23" s="431">
        <v>20</v>
      </c>
      <c r="B23" s="1002" t="s">
        <v>313</v>
      </c>
      <c r="C23" s="1002" t="s">
        <v>1894</v>
      </c>
      <c r="D23" s="968" t="str">
        <f t="shared" si="0"/>
        <v>rispettato</v>
      </c>
      <c r="E23" s="432" t="s">
        <v>677</v>
      </c>
      <c r="F23" s="972" t="s">
        <v>1525</v>
      </c>
      <c r="G23" s="433" t="s">
        <v>1265</v>
      </c>
    </row>
    <row r="24" spans="1:7" ht="26.1" customHeight="1">
      <c r="A24" s="431">
        <v>21</v>
      </c>
      <c r="B24" s="1002" t="s">
        <v>313</v>
      </c>
      <c r="C24" s="1002" t="s">
        <v>1895</v>
      </c>
      <c r="D24" s="968" t="str">
        <f t="shared" si="0"/>
        <v>non rispettato</v>
      </c>
      <c r="E24" s="432" t="s">
        <v>678</v>
      </c>
      <c r="F24" s="972" t="s">
        <v>1526</v>
      </c>
      <c r="G24" s="433" t="s">
        <v>1266</v>
      </c>
    </row>
    <row r="25" spans="1:7" ht="26.1" customHeight="1">
      <c r="A25" s="431">
        <v>22</v>
      </c>
      <c r="B25" s="1002" t="s">
        <v>623</v>
      </c>
      <c r="C25" s="1002" t="s">
        <v>865</v>
      </c>
      <c r="D25" s="968" t="str">
        <f t="shared" si="0"/>
        <v>si</v>
      </c>
      <c r="E25" s="432" t="s">
        <v>120</v>
      </c>
      <c r="F25" s="972" t="s">
        <v>329</v>
      </c>
      <c r="G25" s="433" t="s">
        <v>1267</v>
      </c>
    </row>
    <row r="26" spans="1:7" ht="26.1" customHeight="1">
      <c r="A26" s="431">
        <v>23</v>
      </c>
      <c r="B26" s="1002" t="s">
        <v>623</v>
      </c>
      <c r="C26" s="1002" t="s">
        <v>866</v>
      </c>
      <c r="D26" s="968" t="str">
        <f t="shared" si="0"/>
        <v>no</v>
      </c>
      <c r="E26" s="975" t="s">
        <v>122</v>
      </c>
      <c r="F26" s="976" t="s">
        <v>330</v>
      </c>
      <c r="G26" s="433" t="s">
        <v>1268</v>
      </c>
    </row>
    <row r="27" spans="1:7" ht="26.1" customHeight="1">
      <c r="A27" s="431">
        <v>24</v>
      </c>
      <c r="B27" s="1002" t="s">
        <v>1790</v>
      </c>
      <c r="C27" s="1002" t="s">
        <v>413</v>
      </c>
      <c r="D27" s="968" t="str">
        <f t="shared" si="0"/>
        <v>n.a.</v>
      </c>
      <c r="E27" s="432" t="s">
        <v>216</v>
      </c>
      <c r="F27" s="972" t="s">
        <v>216</v>
      </c>
      <c r="G27" s="433" t="s">
        <v>216</v>
      </c>
    </row>
    <row r="28" spans="1:7" ht="26.1" customHeight="1">
      <c r="A28" s="431">
        <v>25</v>
      </c>
      <c r="B28" s="1002" t="s">
        <v>53</v>
      </c>
      <c r="C28" s="1002" t="s">
        <v>853</v>
      </c>
      <c r="D28" s="968" t="str">
        <f t="shared" si="0"/>
        <v>Staz. climatica</v>
      </c>
      <c r="E28" s="432" t="s">
        <v>720</v>
      </c>
      <c r="F28" s="972" t="s">
        <v>1527</v>
      </c>
      <c r="G28" s="433" t="s">
        <v>1269</v>
      </c>
    </row>
    <row r="29" spans="1:7" ht="26.1" customHeight="1">
      <c r="A29" s="431">
        <v>26</v>
      </c>
      <c r="B29" s="1002" t="s">
        <v>53</v>
      </c>
      <c r="C29" s="1002" t="s">
        <v>868</v>
      </c>
      <c r="D29" s="968" t="str">
        <f t="shared" si="0"/>
        <v>Zone</v>
      </c>
      <c r="E29" s="432" t="s">
        <v>312</v>
      </c>
      <c r="F29" s="972" t="s">
        <v>312</v>
      </c>
      <c r="G29" s="433" t="s">
        <v>312</v>
      </c>
    </row>
    <row r="30" spans="1:7" ht="26.1" customHeight="1">
      <c r="A30" s="431">
        <v>27</v>
      </c>
      <c r="B30" s="1002" t="s">
        <v>53</v>
      </c>
      <c r="C30" s="1002" t="s">
        <v>869</v>
      </c>
      <c r="D30" s="968" t="str">
        <f t="shared" si="0"/>
        <v>Somma</v>
      </c>
      <c r="E30" s="432" t="s">
        <v>491</v>
      </c>
      <c r="F30" s="972" t="s">
        <v>1528</v>
      </c>
      <c r="G30" s="433" t="s">
        <v>1270</v>
      </c>
    </row>
    <row r="31" spans="1:7" ht="26.1" customHeight="1">
      <c r="A31" s="431">
        <v>28</v>
      </c>
      <c r="B31" s="1002" t="s">
        <v>53</v>
      </c>
      <c r="C31" s="1002" t="s">
        <v>859</v>
      </c>
      <c r="D31" s="968" t="str">
        <f t="shared" si="0"/>
        <v>Categoria d'edificio</v>
      </c>
      <c r="E31" s="432" t="s">
        <v>331</v>
      </c>
      <c r="F31" s="972" t="s">
        <v>1529</v>
      </c>
      <c r="G31" s="433" t="s">
        <v>1271</v>
      </c>
    </row>
    <row r="32" spans="1:7" ht="26.1" customHeight="1">
      <c r="A32" s="431">
        <v>29</v>
      </c>
      <c r="B32" s="1002" t="s">
        <v>53</v>
      </c>
      <c r="C32" s="1002" t="s">
        <v>860</v>
      </c>
      <c r="D32" s="968" t="str">
        <f t="shared" si="0"/>
        <v>Con acqua calda?</v>
      </c>
      <c r="E32" s="432" t="s">
        <v>364</v>
      </c>
      <c r="F32" s="972" t="s">
        <v>1530</v>
      </c>
      <c r="G32" s="433" t="s">
        <v>1272</v>
      </c>
    </row>
    <row r="33" spans="1:7" ht="26.1" customHeight="1">
      <c r="A33" s="431">
        <v>30</v>
      </c>
      <c r="B33" s="1002" t="s">
        <v>53</v>
      </c>
      <c r="C33" s="1002" t="s">
        <v>489</v>
      </c>
      <c r="D33" s="968" t="str">
        <f t="shared" si="0"/>
        <v>Superficie di riferimento energetico AE</v>
      </c>
      <c r="E33" s="432" t="s">
        <v>137</v>
      </c>
      <c r="F33" s="972" t="s">
        <v>1531</v>
      </c>
      <c r="G33" s="433" t="s">
        <v>1273</v>
      </c>
    </row>
    <row r="34" spans="1:7" ht="26.1" customHeight="1">
      <c r="A34" s="431">
        <v>31</v>
      </c>
      <c r="B34" s="1002" t="s">
        <v>53</v>
      </c>
      <c r="C34" s="1002" t="s">
        <v>550</v>
      </c>
      <c r="D34" s="968" t="str">
        <f t="shared" si="0"/>
        <v>Edificio nuovo</v>
      </c>
      <c r="E34" s="432" t="s">
        <v>651</v>
      </c>
      <c r="F34" s="972" t="s">
        <v>1532</v>
      </c>
      <c r="G34" s="433" t="s">
        <v>1274</v>
      </c>
    </row>
    <row r="35" spans="1:7" ht="26.1" customHeight="1">
      <c r="A35" s="431">
        <v>32</v>
      </c>
      <c r="B35" s="1002" t="s">
        <v>53</v>
      </c>
      <c r="C35" s="1002" t="s">
        <v>870</v>
      </c>
      <c r="D35" s="968" t="str">
        <f t="shared" si="0"/>
        <v>(media)</v>
      </c>
      <c r="E35" s="432" t="s">
        <v>493</v>
      </c>
      <c r="F35" s="972" t="s">
        <v>1533</v>
      </c>
      <c r="G35" s="433" t="s">
        <v>1275</v>
      </c>
    </row>
    <row r="36" spans="1:7" ht="26.1" customHeight="1">
      <c r="A36" s="431">
        <v>33</v>
      </c>
      <c r="B36" s="1002" t="s">
        <v>53</v>
      </c>
      <c r="C36" s="1002" t="s">
        <v>550</v>
      </c>
      <c r="D36" s="968" t="str">
        <f t="shared" si="0"/>
        <v>Edificio nuovo</v>
      </c>
      <c r="E36" s="432" t="s">
        <v>651</v>
      </c>
      <c r="F36" s="972" t="s">
        <v>1532</v>
      </c>
      <c r="G36" s="433" t="s">
        <v>1274</v>
      </c>
    </row>
    <row r="37" spans="1:7" ht="26.1" customHeight="1">
      <c r="A37" s="431">
        <v>34</v>
      </c>
      <c r="B37" s="1002" t="s">
        <v>53</v>
      </c>
      <c r="C37" s="1002" t="s">
        <v>552</v>
      </c>
      <c r="D37" s="968" t="str">
        <f t="shared" si="0"/>
        <v>Fabb. risc. con ricambio d'aria standard</v>
      </c>
      <c r="E37" s="432" t="s">
        <v>703</v>
      </c>
      <c r="F37" s="972" t="s">
        <v>1534</v>
      </c>
      <c r="G37" s="433" t="s">
        <v>1276</v>
      </c>
    </row>
    <row r="38" spans="1:7" ht="26.1" customHeight="1">
      <c r="A38" s="431">
        <v>35</v>
      </c>
      <c r="B38" s="1002" t="s">
        <v>53</v>
      </c>
      <c r="C38" s="1002" t="s">
        <v>871</v>
      </c>
      <c r="D38" s="968" t="str">
        <f t="shared" si="0"/>
        <v>Impianti di aerazione e climatizzazione</v>
      </c>
      <c r="E38" s="432" t="s">
        <v>515</v>
      </c>
      <c r="F38" s="972" t="s">
        <v>255</v>
      </c>
      <c r="G38" s="433" t="s">
        <v>2954</v>
      </c>
    </row>
    <row r="39" spans="1:7" ht="46.5" customHeight="1">
      <c r="A39" s="431">
        <v>36</v>
      </c>
      <c r="B39" s="1002" t="s">
        <v>53</v>
      </c>
      <c r="C39" s="1002" t="s">
        <v>872</v>
      </c>
      <c r="D39" s="968" t="str">
        <f t="shared" si="0"/>
        <v>La portata d'aria esterna termicamente determinante secondo F45-I45 è da inserire nel calcolo del fabbisogno termico (SIA 380/1)</v>
      </c>
      <c r="E39" s="432" t="s">
        <v>1725</v>
      </c>
      <c r="F39" s="972" t="s">
        <v>2821</v>
      </c>
      <c r="G39" s="433" t="s">
        <v>1277</v>
      </c>
    </row>
    <row r="40" spans="1:7" ht="26.1" customHeight="1">
      <c r="A40" s="431">
        <v>37</v>
      </c>
      <c r="B40" s="1002" t="s">
        <v>53</v>
      </c>
      <c r="C40" s="1002" t="s">
        <v>873</v>
      </c>
      <c r="D40" s="968" t="str">
        <f t="shared" si="0"/>
        <v>Piccoli impianti di ventilazione standard</v>
      </c>
      <c r="E40" s="432" t="s">
        <v>841</v>
      </c>
      <c r="F40" s="972" t="s">
        <v>1535</v>
      </c>
      <c r="G40" s="433" t="s">
        <v>2953</v>
      </c>
    </row>
    <row r="41" spans="1:7" ht="26.1" customHeight="1">
      <c r="A41" s="431">
        <v>38</v>
      </c>
      <c r="B41" s="1002" t="s">
        <v>53</v>
      </c>
      <c r="C41" s="1002" t="s">
        <v>514</v>
      </c>
      <c r="D41" s="968" t="str">
        <f t="shared" si="0"/>
        <v>Tipo d'impianto</v>
      </c>
      <c r="E41" s="432" t="s">
        <v>635</v>
      </c>
      <c r="F41" s="972" t="s">
        <v>1536</v>
      </c>
      <c r="G41" s="433" t="s">
        <v>2955</v>
      </c>
    </row>
    <row r="42" spans="1:7" ht="26.1" customHeight="1">
      <c r="A42" s="431">
        <v>39</v>
      </c>
      <c r="B42" s="1002" t="s">
        <v>53</v>
      </c>
      <c r="C42" s="1002" t="s">
        <v>876</v>
      </c>
      <c r="D42" s="968" t="str">
        <f t="shared" si="0"/>
        <v>Locali con immissi. d'aria o n. di persone</v>
      </c>
      <c r="E42" s="432" t="s">
        <v>875</v>
      </c>
      <c r="F42" s="972" t="s">
        <v>1537</v>
      </c>
      <c r="G42" s="433" t="s">
        <v>2956</v>
      </c>
    </row>
    <row r="43" spans="1:7" ht="26.1" customHeight="1">
      <c r="A43" s="431">
        <v>40</v>
      </c>
      <c r="B43" s="1002" t="s">
        <v>53</v>
      </c>
      <c r="C43" s="1002" t="s">
        <v>876</v>
      </c>
      <c r="D43" s="968" t="str">
        <f t="shared" si="0"/>
        <v>N. di locali con immissione d'aria</v>
      </c>
      <c r="E43" s="432" t="s">
        <v>211</v>
      </c>
      <c r="F43" s="972" t="s">
        <v>1538</v>
      </c>
      <c r="G43" s="433" t="s">
        <v>2957</v>
      </c>
    </row>
    <row r="44" spans="1:7" ht="26.1" customHeight="1">
      <c r="A44" s="431">
        <v>41</v>
      </c>
      <c r="B44" s="1002" t="s">
        <v>53</v>
      </c>
      <c r="C44" s="1002" t="s">
        <v>876</v>
      </c>
      <c r="D44" s="968" t="str">
        <f t="shared" si="0"/>
        <v>N. di persone</v>
      </c>
      <c r="E44" s="432" t="s">
        <v>30</v>
      </c>
      <c r="F44" s="972" t="s">
        <v>1539</v>
      </c>
      <c r="G44" s="433" t="s">
        <v>2958</v>
      </c>
    </row>
    <row r="45" spans="1:7" ht="26.1" customHeight="1">
      <c r="A45" s="431">
        <v>42</v>
      </c>
      <c r="B45" s="1002" t="s">
        <v>53</v>
      </c>
      <c r="C45" s="1002" t="s">
        <v>97</v>
      </c>
      <c r="D45" s="968" t="str">
        <f t="shared" si="0"/>
        <v>Scambiatore con recupero di calore</v>
      </c>
      <c r="E45" s="432" t="s">
        <v>130</v>
      </c>
      <c r="F45" s="972" t="s">
        <v>1540</v>
      </c>
      <c r="G45" s="433" t="s">
        <v>1278</v>
      </c>
    </row>
    <row r="46" spans="1:7" ht="26.1" customHeight="1">
      <c r="A46" s="431">
        <v>43</v>
      </c>
      <c r="B46" s="1002" t="s">
        <v>53</v>
      </c>
      <c r="C46" s="1002" t="s">
        <v>439</v>
      </c>
      <c r="D46" s="968" t="str">
        <f t="shared" si="0"/>
        <v xml:space="preserve">Portata d'aria nominale </v>
      </c>
      <c r="E46" s="432" t="s">
        <v>554</v>
      </c>
      <c r="F46" s="972" t="s">
        <v>1541</v>
      </c>
      <c r="G46" s="433" t="s">
        <v>1279</v>
      </c>
    </row>
    <row r="47" spans="1:7" ht="25.95" customHeight="1">
      <c r="A47" s="431">
        <v>44</v>
      </c>
      <c r="B47" s="1002" t="s">
        <v>53</v>
      </c>
      <c r="C47" s="1002" t="s">
        <v>98</v>
      </c>
      <c r="D47" s="968" t="str">
        <f t="shared" si="0"/>
        <v xml:space="preserve">Azionamento dei ventilatori con </v>
      </c>
      <c r="E47" s="432" t="s">
        <v>339</v>
      </c>
      <c r="F47" s="972" t="s">
        <v>1542</v>
      </c>
      <c r="G47" s="433" t="s">
        <v>1280</v>
      </c>
    </row>
    <row r="48" spans="1:7" ht="25.95" customHeight="1">
      <c r="A48" s="431">
        <v>45</v>
      </c>
      <c r="B48" s="1002" t="s">
        <v>53</v>
      </c>
      <c r="C48" s="1002" t="s">
        <v>874</v>
      </c>
      <c r="D48" s="968" t="str">
        <f t="shared" si="0"/>
        <v>Piccoli impianti con valori standard</v>
      </c>
      <c r="E48" s="432" t="s">
        <v>182</v>
      </c>
      <c r="F48" s="972" t="s">
        <v>1543</v>
      </c>
      <c r="G48" s="433" t="s">
        <v>1281</v>
      </c>
    </row>
    <row r="49" spans="1:7" ht="26.1" customHeight="1">
      <c r="A49" s="431">
        <v>46</v>
      </c>
      <c r="B49" s="1002" t="s">
        <v>53</v>
      </c>
      <c r="C49" s="1002" t="s">
        <v>879</v>
      </c>
      <c r="D49" s="968" t="str">
        <f t="shared" si="0"/>
        <v>Portata d'aria esterna termicamcamente det.</v>
      </c>
      <c r="E49" s="432" t="s">
        <v>536</v>
      </c>
      <c r="F49" s="972" t="s">
        <v>1544</v>
      </c>
      <c r="G49" s="433" t="s">
        <v>2959</v>
      </c>
    </row>
    <row r="50" spans="1:7" ht="26.1" customHeight="1">
      <c r="A50" s="431">
        <v>47</v>
      </c>
      <c r="B50" s="1002" t="s">
        <v>53</v>
      </c>
      <c r="C50" s="1002" t="s">
        <v>878</v>
      </c>
      <c r="D50" s="968" t="str">
        <f t="shared" si="0"/>
        <v>Fabb. elettricità per aerazione e antigelo</v>
      </c>
      <c r="E50" s="432" t="s">
        <v>181</v>
      </c>
      <c r="F50" s="972" t="s">
        <v>1545</v>
      </c>
      <c r="G50" s="433" t="s">
        <v>1282</v>
      </c>
    </row>
    <row r="51" spans="1:7" ht="26.1" customHeight="1">
      <c r="A51" s="431">
        <v>48</v>
      </c>
      <c r="B51" s="1002" t="s">
        <v>53</v>
      </c>
      <c r="C51" s="1002" t="s">
        <v>877</v>
      </c>
      <c r="D51" s="968" t="str">
        <f t="shared" si="0"/>
        <v>Fabb. elettricità raffreddamento e umidificazione</v>
      </c>
      <c r="E51" s="432" t="s">
        <v>141</v>
      </c>
      <c r="F51" s="972" t="s">
        <v>256</v>
      </c>
      <c r="G51" s="433" t="s">
        <v>2960</v>
      </c>
    </row>
    <row r="52" spans="1:7" ht="26.1" customHeight="1">
      <c r="A52" s="431">
        <v>49</v>
      </c>
      <c r="B52" s="1002" t="s">
        <v>53</v>
      </c>
      <c r="C52" s="1002" t="s">
        <v>884</v>
      </c>
      <c r="D52" s="968" t="str">
        <f t="shared" si="0"/>
        <v>Fabbisogno di elettricità per ausiliari</v>
      </c>
      <c r="E52" s="432" t="s">
        <v>487</v>
      </c>
      <c r="F52" s="972" t="s">
        <v>156</v>
      </c>
      <c r="G52" s="433" t="s">
        <v>1283</v>
      </c>
    </row>
    <row r="53" spans="1:7" ht="26.1" customHeight="1">
      <c r="A53" s="431">
        <v>50</v>
      </c>
      <c r="B53" s="1002" t="s">
        <v>53</v>
      </c>
      <c r="C53" s="1002" t="s">
        <v>381</v>
      </c>
      <c r="D53" s="968" t="str">
        <f t="shared" si="0"/>
        <v>Calcolo esterno</v>
      </c>
      <c r="E53" s="432" t="s">
        <v>773</v>
      </c>
      <c r="F53" s="972" t="s">
        <v>846</v>
      </c>
      <c r="G53" s="433" t="s">
        <v>1284</v>
      </c>
    </row>
    <row r="54" spans="1:7" ht="26.1" customHeight="1">
      <c r="A54" s="431">
        <v>51</v>
      </c>
      <c r="B54" s="1002" t="s">
        <v>53</v>
      </c>
      <c r="C54" s="1002" t="s">
        <v>488</v>
      </c>
      <c r="D54" s="968" t="str">
        <f t="shared" si="0"/>
        <v>Raffreddamento o umidificazione?</v>
      </c>
      <c r="E54" s="432" t="s">
        <v>143</v>
      </c>
      <c r="F54" s="972" t="s">
        <v>257</v>
      </c>
      <c r="G54" s="433" t="s">
        <v>2961</v>
      </c>
    </row>
    <row r="55" spans="1:7" ht="26.1" customHeight="1">
      <c r="A55" s="431">
        <v>52</v>
      </c>
      <c r="B55" s="1002" t="s">
        <v>53</v>
      </c>
      <c r="C55" s="1002" t="s">
        <v>887</v>
      </c>
      <c r="D55" s="968" t="str">
        <f t="shared" si="0"/>
        <v>È previsto un raffreddamento o un'umidificazione?</v>
      </c>
      <c r="E55" s="432" t="s">
        <v>144</v>
      </c>
      <c r="F55" s="972" t="s">
        <v>258</v>
      </c>
      <c r="G55" s="433" t="s">
        <v>2962</v>
      </c>
    </row>
    <row r="56" spans="1:7" ht="26.1" customHeight="1">
      <c r="A56" s="431">
        <v>53</v>
      </c>
      <c r="B56" s="1002" t="s">
        <v>53</v>
      </c>
      <c r="C56" s="1002" t="s">
        <v>884</v>
      </c>
      <c r="D56" s="968" t="str">
        <f t="shared" si="0"/>
        <v>Fabb. di elettricità per il trasporto di freddo</v>
      </c>
      <c r="E56" s="432" t="s">
        <v>2964</v>
      </c>
      <c r="F56" s="972" t="s">
        <v>2965</v>
      </c>
      <c r="G56" s="433" t="s">
        <v>2966</v>
      </c>
    </row>
    <row r="57" spans="1:7" ht="26.1" customHeight="1">
      <c r="A57" s="431">
        <v>54</v>
      </c>
      <c r="B57" s="1002" t="s">
        <v>53</v>
      </c>
      <c r="C57" s="1002" t="s">
        <v>706</v>
      </c>
      <c r="D57" s="968" t="str">
        <f t="shared" si="0"/>
        <v>Qh con portata d'aria esterna termicamente determinante</v>
      </c>
      <c r="E57" s="432" t="s">
        <v>1723</v>
      </c>
      <c r="F57" s="972" t="s">
        <v>83</v>
      </c>
      <c r="G57" s="433" t="s">
        <v>1285</v>
      </c>
    </row>
    <row r="58" spans="1:7" ht="26.1" customHeight="1">
      <c r="A58" s="431">
        <v>55</v>
      </c>
      <c r="B58" s="1002" t="s">
        <v>53</v>
      </c>
      <c r="C58" s="1002" t="s">
        <v>885</v>
      </c>
      <c r="D58" s="968" t="str">
        <f t="shared" si="0"/>
        <v>Portata d'aria esterna termicamente det.</v>
      </c>
      <c r="E58" s="432" t="s">
        <v>33</v>
      </c>
      <c r="F58" s="972" t="s">
        <v>1544</v>
      </c>
      <c r="G58" s="433" t="s">
        <v>2963</v>
      </c>
    </row>
    <row r="59" spans="1:7" ht="48.75" customHeight="1">
      <c r="A59" s="431">
        <v>56</v>
      </c>
      <c r="B59" s="1002" t="s">
        <v>53</v>
      </c>
      <c r="C59" s="1002" t="s">
        <v>888</v>
      </c>
      <c r="D59" s="968" t="str">
        <f t="shared" si="0"/>
        <v>Portata d'aria esterna termicamente determinante Vth secondo la SIA 380/1. Questo valore deve corrispondere al dato per il calcolo del fabbisogno termico con portata d'aria esterna termicamente determinante.</v>
      </c>
      <c r="E59" s="432" t="s">
        <v>118</v>
      </c>
      <c r="F59" s="972" t="s">
        <v>48</v>
      </c>
      <c r="G59" s="433" t="s">
        <v>1286</v>
      </c>
    </row>
    <row r="60" spans="1:7" ht="25.95" customHeight="1">
      <c r="A60" s="431">
        <v>57</v>
      </c>
      <c r="B60" s="1002" t="s">
        <v>53</v>
      </c>
      <c r="C60" s="1002" t="s">
        <v>886</v>
      </c>
      <c r="D60" s="968" t="str">
        <f t="shared" si="0"/>
        <v>Fabb. calore effettivo per il risc. con aeraz.</v>
      </c>
      <c r="E60" s="432" t="s">
        <v>190</v>
      </c>
      <c r="F60" s="972" t="s">
        <v>1546</v>
      </c>
      <c r="G60" s="433" t="s">
        <v>1287</v>
      </c>
    </row>
    <row r="61" spans="1:7" ht="52.5" customHeight="1">
      <c r="A61" s="431">
        <v>58</v>
      </c>
      <c r="B61" s="1002" t="s">
        <v>53</v>
      </c>
      <c r="C61" s="1002" t="s">
        <v>890</v>
      </c>
      <c r="D61" s="968" t="str">
        <f t="shared" si="0"/>
        <v>Valore richiesto per Qh,eff. o Qh,corr.:
inserire fabbisogno di calore per il riscaldamento Qh,eff. con portata d'aria esterna termicamente determinante Vth secondo calcolo SIA 380/1:2009.</v>
      </c>
      <c r="E61" s="432" t="s">
        <v>889</v>
      </c>
      <c r="F61" s="972" t="s">
        <v>1547</v>
      </c>
      <c r="G61" s="433" t="s">
        <v>1288</v>
      </c>
    </row>
    <row r="62" spans="1:7" ht="40.5" customHeight="1">
      <c r="A62" s="431">
        <v>59</v>
      </c>
      <c r="B62" s="1002" t="s">
        <v>53</v>
      </c>
      <c r="C62" s="1002" t="s">
        <v>892</v>
      </c>
      <c r="D62" s="968" t="str">
        <f t="shared" si="0"/>
        <v>Risultati da calcoli esterni, es. foglio di calcolo esterno per l'aerazione, sono da inserire in questa parte.
Sono richiesti i valori per gli impianti di climatizzazione.</v>
      </c>
      <c r="E62" s="432" t="s">
        <v>891</v>
      </c>
      <c r="F62" s="972" t="s">
        <v>1548</v>
      </c>
      <c r="G62" s="433" t="s">
        <v>1289</v>
      </c>
    </row>
    <row r="63" spans="1:7" ht="100.5" customHeight="1">
      <c r="A63" s="431">
        <v>60</v>
      </c>
      <c r="B63" s="1002" t="s">
        <v>53</v>
      </c>
      <c r="C63" s="1002" t="s">
        <v>895</v>
      </c>
      <c r="D63" s="968" t="str">
        <f t="shared" si="0"/>
        <v>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v>
      </c>
      <c r="E63" s="432" t="s">
        <v>894</v>
      </c>
      <c r="F63" s="972" t="s">
        <v>1549</v>
      </c>
      <c r="G63" s="433" t="s">
        <v>1290</v>
      </c>
    </row>
    <row r="64" spans="1:7" ht="60" customHeight="1">
      <c r="A64" s="431">
        <v>61</v>
      </c>
      <c r="B64" s="1002" t="s">
        <v>53</v>
      </c>
      <c r="C64" s="1002" t="s">
        <v>896</v>
      </c>
      <c r="D64" s="968" t="str">
        <f t="shared" si="0"/>
        <v>Verifica energetica:
Nella verifica energetica vengono considerati unicamente gli edifici nuovi.
Minergie: anno di costruzione (completamento dei lavori)  a partire dal 2000</v>
      </c>
      <c r="E64" s="432" t="s">
        <v>1234</v>
      </c>
      <c r="F64" s="972" t="s">
        <v>2967</v>
      </c>
      <c r="G64" s="433" t="s">
        <v>1291</v>
      </c>
    </row>
    <row r="65" spans="1:7" ht="25.95" customHeight="1">
      <c r="A65" s="431">
        <v>62</v>
      </c>
      <c r="B65" s="1002" t="s">
        <v>53</v>
      </c>
      <c r="C65" s="1002" t="s">
        <v>893</v>
      </c>
      <c r="D65" s="968" t="str">
        <f t="shared" si="0"/>
        <v>La superficie di riferimento energetico AE deve essere ripresa dal calcolo secondo la SIA 380/1</v>
      </c>
      <c r="E65" s="432" t="s">
        <v>139</v>
      </c>
      <c r="F65" s="972" t="s">
        <v>254</v>
      </c>
      <c r="G65" s="433" t="s">
        <v>1292</v>
      </c>
    </row>
    <row r="66" spans="1:7" ht="96" customHeight="1">
      <c r="A66" s="431">
        <v>63</v>
      </c>
      <c r="B66" s="1002" t="s">
        <v>53</v>
      </c>
      <c r="C66" s="1002" t="s">
        <v>897</v>
      </c>
      <c r="D66" s="968" t="str">
        <f t="shared" si="0"/>
        <v>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v>
      </c>
      <c r="E66" s="432" t="s">
        <v>898</v>
      </c>
      <c r="F66" s="972" t="s">
        <v>1550</v>
      </c>
      <c r="G66" s="433" t="s">
        <v>1293</v>
      </c>
    </row>
    <row r="67" spans="1:7" ht="25.95" customHeight="1">
      <c r="A67" s="431">
        <v>64</v>
      </c>
      <c r="B67" s="1002" t="s">
        <v>53</v>
      </c>
      <c r="C67" s="1002" t="s">
        <v>900</v>
      </c>
      <c r="D67" s="968" t="str">
        <f t="shared" si="0"/>
        <v>Solo per le categorie monofamiliari e plurifamiliari con AE fino a 2'000 m2 o per amministrazione e scuole fino a 1'000 m2.</v>
      </c>
      <c r="E67" s="432" t="s">
        <v>899</v>
      </c>
      <c r="F67" s="972" t="s">
        <v>1551</v>
      </c>
      <c r="G67" s="433" t="s">
        <v>1294</v>
      </c>
    </row>
    <row r="68" spans="1:7" ht="133.5" customHeight="1">
      <c r="A68" s="431">
        <v>65</v>
      </c>
      <c r="B68" s="1002" t="s">
        <v>53</v>
      </c>
      <c r="C68" s="1002" t="s">
        <v>328</v>
      </c>
      <c r="D68" s="968" t="str">
        <f t="shared" si="0"/>
        <v>Scelta dell'aerazione: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v>
      </c>
      <c r="E68" s="432" t="s">
        <v>901</v>
      </c>
      <c r="F68" s="972" t="s">
        <v>1552</v>
      </c>
      <c r="G68" s="433" t="s">
        <v>1295</v>
      </c>
    </row>
    <row r="69" spans="1:7" ht="67.5" customHeight="1">
      <c r="A69" s="431">
        <v>66</v>
      </c>
      <c r="B69" s="1002" t="s">
        <v>53</v>
      </c>
      <c r="C69" s="1002" t="s">
        <v>902</v>
      </c>
      <c r="D69" s="968" t="str">
        <f t="shared" ref="D69:D132" si="1">INDEX($E$4:$G$503,$A69,$A$1)</f>
        <v>Numero di locali con immissione d'aria:
dato necessario solo per categorie abitazioni monofamiliari o plurifamiliari.
Numero di persone (totale per zona):
dato necessario per categorie amministrazione o scuole.
Il dato è utilizzato per calcolare il volume d'aria immessa.</v>
      </c>
      <c r="E69" s="432" t="s">
        <v>903</v>
      </c>
      <c r="F69" s="972" t="s">
        <v>1553</v>
      </c>
      <c r="G69" s="433" t="s">
        <v>1296</v>
      </c>
    </row>
    <row r="70" spans="1:7" ht="114.75" customHeight="1">
      <c r="A70" s="431">
        <v>67</v>
      </c>
      <c r="B70" s="1002" t="s">
        <v>53</v>
      </c>
      <c r="C70" s="1002" t="s">
        <v>905</v>
      </c>
      <c r="D70" s="968" t="str">
        <f t="shared" si="1"/>
        <v>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v>
      </c>
      <c r="E70" s="432" t="s">
        <v>904</v>
      </c>
      <c r="F70" s="972" t="s">
        <v>1554</v>
      </c>
      <c r="G70" s="433" t="s">
        <v>1297</v>
      </c>
    </row>
    <row r="71" spans="1:7" ht="42" customHeight="1">
      <c r="A71" s="431">
        <v>68</v>
      </c>
      <c r="B71" s="1002" t="s">
        <v>53</v>
      </c>
      <c r="C71" s="1002" t="s">
        <v>907</v>
      </c>
      <c r="D71" s="968" t="str">
        <f t="shared" si="1"/>
        <v>Dato di inserimento per piccoli impianti con valori standard: motori utilizzati per i ventilatori d'aerazione: corrente alternata (AC) o corrente continua (DC).</v>
      </c>
      <c r="E71" s="432" t="s">
        <v>906</v>
      </c>
      <c r="F71" s="972" t="s">
        <v>1555</v>
      </c>
      <c r="G71" s="433" t="s">
        <v>1298</v>
      </c>
    </row>
    <row r="72" spans="1:7" ht="26.1" customHeight="1">
      <c r="A72" s="431">
        <v>69</v>
      </c>
      <c r="B72" s="1002" t="s">
        <v>623</v>
      </c>
      <c r="C72" s="1002" t="s">
        <v>908</v>
      </c>
      <c r="D72" s="968" t="str">
        <f t="shared" si="1"/>
        <v>Dato mancante</v>
      </c>
      <c r="E72" s="432" t="s">
        <v>839</v>
      </c>
      <c r="F72" s="972" t="s">
        <v>1556</v>
      </c>
      <c r="G72" s="433" t="s">
        <v>1299</v>
      </c>
    </row>
    <row r="73" spans="1:7" ht="26.1" customHeight="1">
      <c r="A73" s="431">
        <v>70</v>
      </c>
      <c r="B73" s="1002" t="s">
        <v>623</v>
      </c>
      <c r="C73" s="1002" t="s">
        <v>909</v>
      </c>
      <c r="D73" s="968" t="str">
        <f t="shared" si="1"/>
        <v>Dato errato</v>
      </c>
      <c r="E73" s="432" t="s">
        <v>840</v>
      </c>
      <c r="F73" s="972" t="s">
        <v>1557</v>
      </c>
      <c r="G73" s="433" t="s">
        <v>1300</v>
      </c>
    </row>
    <row r="74" spans="1:7" ht="25.95" customHeight="1">
      <c r="A74" s="431">
        <v>71</v>
      </c>
      <c r="B74" s="1002" t="s">
        <v>53</v>
      </c>
      <c r="C74" s="1002" t="s">
        <v>911</v>
      </c>
      <c r="D74" s="969" t="str">
        <f t="shared" si="1"/>
        <v>Requisito primario</v>
      </c>
      <c r="E74" s="981" t="s">
        <v>910</v>
      </c>
      <c r="F74" s="974" t="s">
        <v>1558</v>
      </c>
      <c r="G74" s="507" t="s">
        <v>1301</v>
      </c>
    </row>
    <row r="75" spans="1:7" ht="25.95" customHeight="1">
      <c r="A75" s="431">
        <v>72</v>
      </c>
      <c r="B75" s="1002" t="s">
        <v>53</v>
      </c>
      <c r="C75" s="1002" t="s">
        <v>911</v>
      </c>
      <c r="D75" s="968" t="str">
        <f t="shared" si="1"/>
        <v>Requisito 2 non rispettato.</v>
      </c>
      <c r="E75" s="432" t="s">
        <v>912</v>
      </c>
      <c r="F75" s="972" t="s">
        <v>1559</v>
      </c>
      <c r="G75" s="433" t="s">
        <v>1302</v>
      </c>
    </row>
    <row r="76" spans="1:7" ht="25.95" customHeight="1">
      <c r="A76" s="431">
        <v>73</v>
      </c>
      <c r="D76" s="968" t="str">
        <f t="shared" si="1"/>
        <v>Dato mancante</v>
      </c>
      <c r="E76" s="432" t="s">
        <v>535</v>
      </c>
      <c r="F76" s="972" t="s">
        <v>539</v>
      </c>
      <c r="G76" s="433" t="s">
        <v>1299</v>
      </c>
    </row>
    <row r="77" spans="1:7" ht="25.95" customHeight="1">
      <c r="A77" s="431">
        <v>74</v>
      </c>
      <c r="D77" s="968" t="str">
        <f t="shared" si="1"/>
        <v>Nota: nel foglio "Dati" è stato scelto un impianto di ventilazione con PdC integrata</v>
      </c>
      <c r="E77" s="432" t="s">
        <v>24</v>
      </c>
      <c r="F77" s="972" t="s">
        <v>540</v>
      </c>
      <c r="G77" s="433" t="s">
        <v>1303</v>
      </c>
    </row>
    <row r="78" spans="1:7" ht="25.95" customHeight="1">
      <c r="A78" s="431">
        <v>75</v>
      </c>
      <c r="B78" s="1002" t="s">
        <v>623</v>
      </c>
      <c r="C78" s="1002" t="s">
        <v>880</v>
      </c>
      <c r="D78" s="968" t="str">
        <f t="shared" si="1"/>
        <v>Raffreddam.</v>
      </c>
      <c r="E78" s="432" t="s">
        <v>370</v>
      </c>
      <c r="F78" s="972" t="s">
        <v>94</v>
      </c>
      <c r="G78" s="433" t="s">
        <v>1304</v>
      </c>
    </row>
    <row r="79" spans="1:7" ht="25.95" customHeight="1">
      <c r="A79" s="431">
        <v>76</v>
      </c>
      <c r="B79" s="1002" t="s">
        <v>623</v>
      </c>
      <c r="C79" s="1002" t="s">
        <v>881</v>
      </c>
      <c r="D79" s="968" t="str">
        <f t="shared" si="1"/>
        <v>Umidificaz.</v>
      </c>
      <c r="E79" s="432" t="s">
        <v>108</v>
      </c>
      <c r="F79" s="972" t="s">
        <v>95</v>
      </c>
      <c r="G79" s="433" t="s">
        <v>1305</v>
      </c>
    </row>
    <row r="80" spans="1:7" ht="25.95" customHeight="1">
      <c r="A80" s="431">
        <v>77</v>
      </c>
      <c r="B80" s="1002" t="s">
        <v>623</v>
      </c>
      <c r="C80" s="1002" t="s">
        <v>882</v>
      </c>
      <c r="D80" s="968" t="str">
        <f t="shared" si="1"/>
        <v>Raffr.+Umidif.</v>
      </c>
      <c r="E80" s="432" t="s">
        <v>109</v>
      </c>
      <c r="F80" s="972" t="s">
        <v>96</v>
      </c>
      <c r="G80" s="433" t="s">
        <v>1306</v>
      </c>
    </row>
    <row r="81" spans="1:7" ht="25.95" customHeight="1">
      <c r="A81" s="431">
        <v>78</v>
      </c>
      <c r="B81" s="1002" t="s">
        <v>623</v>
      </c>
      <c r="C81" s="1002" t="s">
        <v>883</v>
      </c>
      <c r="D81" s="968" t="str">
        <f t="shared" si="1"/>
        <v>nessuno</v>
      </c>
      <c r="E81" s="432" t="s">
        <v>709</v>
      </c>
      <c r="F81" s="972" t="s">
        <v>1560</v>
      </c>
      <c r="G81" s="433" t="s">
        <v>1307</v>
      </c>
    </row>
    <row r="82" spans="1:7" ht="26.1" customHeight="1">
      <c r="A82" s="431">
        <v>79</v>
      </c>
      <c r="B82" s="1002" t="s">
        <v>623</v>
      </c>
      <c r="C82" s="1002" t="s">
        <v>913</v>
      </c>
      <c r="D82" s="968" t="str">
        <f t="shared" si="1"/>
        <v>Ab. plurif.</v>
      </c>
      <c r="E82" s="432" t="s">
        <v>332</v>
      </c>
      <c r="F82" s="972" t="s">
        <v>1562</v>
      </c>
      <c r="G82" s="433" t="s">
        <v>1308</v>
      </c>
    </row>
    <row r="83" spans="1:7" ht="26.1" customHeight="1">
      <c r="A83" s="431">
        <v>80</v>
      </c>
      <c r="B83" s="1002" t="s">
        <v>623</v>
      </c>
      <c r="C83" s="1002" t="s">
        <v>914</v>
      </c>
      <c r="D83" s="968" t="str">
        <f t="shared" si="1"/>
        <v>Ab. monof.</v>
      </c>
      <c r="E83" s="432" t="s">
        <v>333</v>
      </c>
      <c r="F83" s="972" t="s">
        <v>1561</v>
      </c>
      <c r="G83" s="433" t="s">
        <v>1309</v>
      </c>
    </row>
    <row r="84" spans="1:7" ht="26.1" customHeight="1">
      <c r="A84" s="431">
        <v>81</v>
      </c>
      <c r="B84" s="1002" t="s">
        <v>623</v>
      </c>
      <c r="C84" s="1002" t="s">
        <v>915</v>
      </c>
      <c r="D84" s="968" t="str">
        <f t="shared" si="1"/>
        <v>Amministraz.</v>
      </c>
      <c r="E84" s="432" t="s">
        <v>1</v>
      </c>
      <c r="F84" s="972" t="s">
        <v>1563</v>
      </c>
      <c r="G84" s="433" t="s">
        <v>1310</v>
      </c>
    </row>
    <row r="85" spans="1:7" ht="26.1" customHeight="1">
      <c r="A85" s="431">
        <v>82</v>
      </c>
      <c r="B85" s="1002" t="s">
        <v>623</v>
      </c>
      <c r="C85" s="1002" t="s">
        <v>916</v>
      </c>
      <c r="D85" s="968" t="str">
        <f t="shared" si="1"/>
        <v>Scuole</v>
      </c>
      <c r="E85" s="432" t="s">
        <v>340</v>
      </c>
      <c r="F85" s="972" t="s">
        <v>1564</v>
      </c>
      <c r="G85" s="433" t="s">
        <v>1311</v>
      </c>
    </row>
    <row r="86" spans="1:7" ht="26.1" customHeight="1">
      <c r="A86" s="431">
        <v>83</v>
      </c>
      <c r="B86" s="1002" t="s">
        <v>623</v>
      </c>
      <c r="C86" s="1002" t="s">
        <v>917</v>
      </c>
      <c r="D86" s="968" t="str">
        <f t="shared" si="1"/>
        <v>Negozi</v>
      </c>
      <c r="E86" s="432" t="s">
        <v>237</v>
      </c>
      <c r="F86" s="972" t="s">
        <v>1565</v>
      </c>
      <c r="G86" s="433" t="s">
        <v>1312</v>
      </c>
    </row>
    <row r="87" spans="1:7" ht="26.1" customHeight="1">
      <c r="A87" s="431">
        <v>84</v>
      </c>
      <c r="B87" s="1002" t="s">
        <v>623</v>
      </c>
      <c r="C87" s="1002" t="s">
        <v>918</v>
      </c>
      <c r="D87" s="968" t="str">
        <f t="shared" si="1"/>
        <v>Ristoranti</v>
      </c>
      <c r="E87" s="432" t="s">
        <v>836</v>
      </c>
      <c r="F87" s="972" t="s">
        <v>836</v>
      </c>
      <c r="G87" s="433" t="s">
        <v>1313</v>
      </c>
    </row>
    <row r="88" spans="1:7" ht="26.1" customHeight="1">
      <c r="A88" s="431">
        <v>85</v>
      </c>
      <c r="B88" s="1002" t="s">
        <v>623</v>
      </c>
      <c r="C88" s="1002" t="s">
        <v>919</v>
      </c>
      <c r="D88" s="968" t="str">
        <f t="shared" si="1"/>
        <v>Locali pubblici</v>
      </c>
      <c r="E88" s="432" t="s">
        <v>837</v>
      </c>
      <c r="F88" s="972" t="s">
        <v>1566</v>
      </c>
      <c r="G88" s="433" t="s">
        <v>1314</v>
      </c>
    </row>
    <row r="89" spans="1:7" ht="25.95" customHeight="1">
      <c r="A89" s="431">
        <v>86</v>
      </c>
      <c r="B89" s="1002" t="s">
        <v>623</v>
      </c>
      <c r="C89" s="1002" t="s">
        <v>920</v>
      </c>
      <c r="D89" s="968" t="str">
        <f t="shared" si="1"/>
        <v>Ospedali</v>
      </c>
      <c r="E89" s="432" t="s">
        <v>238</v>
      </c>
      <c r="F89" s="972" t="s">
        <v>1567</v>
      </c>
      <c r="G89" s="433" t="s">
        <v>1315</v>
      </c>
    </row>
    <row r="90" spans="1:7" ht="25.95" customHeight="1">
      <c r="A90" s="431">
        <v>87</v>
      </c>
      <c r="B90" s="1002" t="s">
        <v>623</v>
      </c>
      <c r="C90" s="1002" t="s">
        <v>921</v>
      </c>
      <c r="D90" s="968" t="str">
        <f t="shared" si="1"/>
        <v>Industrie</v>
      </c>
      <c r="E90" s="432" t="s">
        <v>492</v>
      </c>
      <c r="F90" s="972" t="s">
        <v>492</v>
      </c>
      <c r="G90" s="433" t="s">
        <v>492</v>
      </c>
    </row>
    <row r="91" spans="1:7" ht="25.95" customHeight="1">
      <c r="A91" s="431">
        <v>88</v>
      </c>
      <c r="B91" s="1002" t="s">
        <v>623</v>
      </c>
      <c r="C91" s="1002" t="s">
        <v>922</v>
      </c>
      <c r="D91" s="968" t="str">
        <f t="shared" si="1"/>
        <v>Magazzini</v>
      </c>
      <c r="E91" s="432" t="s">
        <v>239</v>
      </c>
      <c r="F91" s="972" t="s">
        <v>1568</v>
      </c>
      <c r="G91" s="433" t="s">
        <v>1316</v>
      </c>
    </row>
    <row r="92" spans="1:7" ht="25.95" customHeight="1">
      <c r="A92" s="431">
        <v>89</v>
      </c>
      <c r="B92" s="1002" t="s">
        <v>623</v>
      </c>
      <c r="C92" s="1002" t="s">
        <v>923</v>
      </c>
      <c r="D92" s="968" t="str">
        <f t="shared" si="1"/>
        <v>Impianti sport.</v>
      </c>
      <c r="E92" s="432" t="s">
        <v>240</v>
      </c>
      <c r="F92" s="972" t="s">
        <v>1569</v>
      </c>
      <c r="G92" s="433" t="s">
        <v>1317</v>
      </c>
    </row>
    <row r="93" spans="1:7" ht="25.95" customHeight="1">
      <c r="A93" s="431">
        <v>90</v>
      </c>
      <c r="B93" s="1002" t="s">
        <v>623</v>
      </c>
      <c r="C93" s="1002" t="s">
        <v>924</v>
      </c>
      <c r="D93" s="968" t="str">
        <f t="shared" si="1"/>
        <v>Piscine</v>
      </c>
      <c r="E93" s="432" t="s">
        <v>798</v>
      </c>
      <c r="F93" s="972" t="s">
        <v>1570</v>
      </c>
      <c r="G93" s="433" t="s">
        <v>1318</v>
      </c>
    </row>
    <row r="94" spans="1:7" ht="26.1" customHeight="1">
      <c r="A94" s="431">
        <v>91</v>
      </c>
      <c r="B94" s="1002" t="s">
        <v>623</v>
      </c>
      <c r="C94" s="1002" t="s">
        <v>925</v>
      </c>
      <c r="D94" s="968" t="str">
        <f t="shared" si="1"/>
        <v>No ventil.</v>
      </c>
      <c r="E94" s="432" t="s">
        <v>810</v>
      </c>
      <c r="F94" s="972" t="s">
        <v>1571</v>
      </c>
      <c r="G94" s="433" t="s">
        <v>1319</v>
      </c>
    </row>
    <row r="95" spans="1:7" ht="26.1" customHeight="1">
      <c r="A95" s="431">
        <v>92</v>
      </c>
      <c r="B95" s="1002" t="s">
        <v>623</v>
      </c>
      <c r="C95" s="1002" t="s">
        <v>926</v>
      </c>
      <c r="D95" s="968" t="str">
        <f t="shared" si="1"/>
        <v>Immiss./estraz.</v>
      </c>
      <c r="E95" s="432" t="s">
        <v>816</v>
      </c>
      <c r="F95" s="972" t="s">
        <v>1572</v>
      </c>
      <c r="G95" s="433" t="s">
        <v>1320</v>
      </c>
    </row>
    <row r="96" spans="1:7" ht="26.1" customHeight="1">
      <c r="A96" s="431">
        <v>93</v>
      </c>
      <c r="B96" s="1002" t="s">
        <v>623</v>
      </c>
      <c r="C96" s="1002" t="s">
        <v>927</v>
      </c>
      <c r="D96" s="968" t="str">
        <f t="shared" si="1"/>
        <v>Ventil.+RC</v>
      </c>
      <c r="E96" s="432" t="s">
        <v>811</v>
      </c>
      <c r="F96" s="972" t="s">
        <v>1573</v>
      </c>
      <c r="G96" s="433" t="s">
        <v>1321</v>
      </c>
    </row>
    <row r="97" spans="1:7" ht="26.1" customHeight="1">
      <c r="A97" s="431">
        <v>94</v>
      </c>
      <c r="B97" s="1002" t="s">
        <v>623</v>
      </c>
      <c r="C97" s="1002" t="s">
        <v>928</v>
      </c>
      <c r="D97" s="968" t="str">
        <f t="shared" si="1"/>
        <v>Ventil.+PdC</v>
      </c>
      <c r="E97" s="432" t="s">
        <v>814</v>
      </c>
      <c r="F97" s="972" t="s">
        <v>1574</v>
      </c>
      <c r="G97" s="433" t="s">
        <v>1322</v>
      </c>
    </row>
    <row r="98" spans="1:7" ht="26.1" customHeight="1">
      <c r="A98" s="431">
        <v>95</v>
      </c>
      <c r="B98" s="1002" t="s">
        <v>623</v>
      </c>
      <c r="C98" s="1002" t="s">
        <v>929</v>
      </c>
      <c r="D98" s="968" t="str">
        <f t="shared" si="1"/>
        <v>Solo estraz.</v>
      </c>
      <c r="E98" s="432" t="s">
        <v>817</v>
      </c>
      <c r="F98" s="972" t="s">
        <v>1575</v>
      </c>
      <c r="G98" s="433" t="s">
        <v>1323</v>
      </c>
    </row>
    <row r="99" spans="1:7" ht="26.1" customHeight="1">
      <c r="A99" s="431">
        <v>96</v>
      </c>
      <c r="B99" s="1002" t="s">
        <v>623</v>
      </c>
      <c r="C99" s="1002" t="s">
        <v>930</v>
      </c>
      <c r="D99" s="968" t="str">
        <f t="shared" si="1"/>
        <v>Estraz.+PdC</v>
      </c>
      <c r="E99" s="432" t="s">
        <v>815</v>
      </c>
      <c r="F99" s="972" t="s">
        <v>1576</v>
      </c>
      <c r="G99" s="433" t="s">
        <v>1324</v>
      </c>
    </row>
    <row r="100" spans="1:7" ht="26.1" customHeight="1">
      <c r="A100" s="431">
        <v>97</v>
      </c>
      <c r="B100" s="1002" t="s">
        <v>623</v>
      </c>
      <c r="C100" s="1002" t="s">
        <v>931</v>
      </c>
      <c r="D100" s="968" t="str">
        <f t="shared" si="1"/>
        <v>Aeraz. per loc.</v>
      </c>
      <c r="E100" s="432" t="s">
        <v>461</v>
      </c>
      <c r="F100" s="972" t="s">
        <v>1577</v>
      </c>
      <c r="G100" s="433" t="s">
        <v>1325</v>
      </c>
    </row>
    <row r="101" spans="1:7" ht="26.1" customHeight="1">
      <c r="A101" s="431">
        <v>98</v>
      </c>
      <c r="B101" s="1002" t="s">
        <v>623</v>
      </c>
      <c r="C101" s="1002" t="s">
        <v>932</v>
      </c>
      <c r="D101" s="968" t="str">
        <f t="shared" si="1"/>
        <v>Finestre,autom.</v>
      </c>
      <c r="E101" s="432" t="s">
        <v>462</v>
      </c>
      <c r="F101" s="972" t="s">
        <v>1578</v>
      </c>
      <c r="G101" s="433" t="s">
        <v>1326</v>
      </c>
    </row>
    <row r="102" spans="1:7" ht="26.1" customHeight="1">
      <c r="A102" s="431">
        <v>99</v>
      </c>
      <c r="B102" s="1002" t="s">
        <v>623</v>
      </c>
      <c r="C102" s="1002" t="s">
        <v>933</v>
      </c>
      <c r="D102" s="968" t="str">
        <f t="shared" si="1"/>
        <v>nessun RC</v>
      </c>
      <c r="E102" s="432" t="s">
        <v>214</v>
      </c>
      <c r="F102" s="972" t="s">
        <v>1579</v>
      </c>
      <c r="G102" s="433" t="s">
        <v>1327</v>
      </c>
    </row>
    <row r="103" spans="1:7" ht="26.1" customHeight="1">
      <c r="A103" s="982">
        <v>100</v>
      </c>
      <c r="B103" s="1002" t="s">
        <v>623</v>
      </c>
      <c r="C103" s="1002" t="s">
        <v>934</v>
      </c>
      <c r="D103" s="983" t="str">
        <f t="shared" si="1"/>
        <v>flusso incrociato</v>
      </c>
      <c r="E103" s="432" t="s">
        <v>352</v>
      </c>
      <c r="F103" s="972" t="s">
        <v>1580</v>
      </c>
      <c r="G103" s="986" t="s">
        <v>1328</v>
      </c>
    </row>
    <row r="104" spans="1:7" s="987" customFormat="1" ht="26.1" customHeight="1">
      <c r="A104" s="431">
        <v>101</v>
      </c>
      <c r="B104" s="1002" t="s">
        <v>623</v>
      </c>
      <c r="C104" s="1002" t="s">
        <v>935</v>
      </c>
      <c r="D104" s="968" t="str">
        <f t="shared" si="1"/>
        <v>controcorrente</v>
      </c>
      <c r="E104" s="432" t="s">
        <v>353</v>
      </c>
      <c r="F104" s="972" t="s">
        <v>1581</v>
      </c>
      <c r="G104" s="433" t="s">
        <v>1329</v>
      </c>
    </row>
    <row r="105" spans="1:7" ht="26.1" customHeight="1">
      <c r="A105" s="505">
        <v>102</v>
      </c>
      <c r="B105" s="1002" t="s">
        <v>623</v>
      </c>
      <c r="C105" s="1002" t="s">
        <v>936</v>
      </c>
      <c r="D105" s="969" t="str">
        <f t="shared" si="1"/>
        <v>scambiatore rotativo</v>
      </c>
      <c r="E105" s="432" t="s">
        <v>632</v>
      </c>
      <c r="F105" s="972" t="s">
        <v>1582</v>
      </c>
      <c r="G105" s="507" t="s">
        <v>1330</v>
      </c>
    </row>
    <row r="106" spans="1:7" ht="26.1" customHeight="1">
      <c r="A106" s="431">
        <v>103</v>
      </c>
      <c r="B106" s="1002" t="s">
        <v>623</v>
      </c>
      <c r="C106" s="1002" t="s">
        <v>937</v>
      </c>
      <c r="D106" s="968" t="str">
        <f t="shared" si="1"/>
        <v>scambiatore di calore a circuito chiuso</v>
      </c>
      <c r="E106" s="432" t="s">
        <v>131</v>
      </c>
      <c r="F106" s="972" t="s">
        <v>1583</v>
      </c>
      <c r="G106" s="433" t="s">
        <v>1331</v>
      </c>
    </row>
    <row r="107" spans="1:7" ht="26.1" customHeight="1">
      <c r="A107" s="431">
        <v>104</v>
      </c>
      <c r="B107" s="1002" t="s">
        <v>623</v>
      </c>
      <c r="C107" s="1002" t="s">
        <v>938</v>
      </c>
      <c r="D107" s="968" t="str">
        <f t="shared" si="1"/>
        <v>Motore AC</v>
      </c>
      <c r="E107" s="432" t="s">
        <v>644</v>
      </c>
      <c r="F107" s="972" t="s">
        <v>1584</v>
      </c>
      <c r="G107" s="433" t="s">
        <v>1332</v>
      </c>
    </row>
    <row r="108" spans="1:7" ht="26.1" customHeight="1">
      <c r="A108" s="431">
        <v>105</v>
      </c>
      <c r="B108" s="1002" t="s">
        <v>623</v>
      </c>
      <c r="C108" s="1002" t="s">
        <v>939</v>
      </c>
      <c r="D108" s="968" t="str">
        <f t="shared" si="1"/>
        <v>Motore DC/EC</v>
      </c>
      <c r="E108" s="432" t="s">
        <v>645</v>
      </c>
      <c r="F108" s="972" t="s">
        <v>1585</v>
      </c>
      <c r="G108" s="433" t="s">
        <v>1333</v>
      </c>
    </row>
    <row r="109" spans="1:7" ht="26.1" customHeight="1">
      <c r="A109" s="431">
        <v>106</v>
      </c>
      <c r="D109" s="968" t="str">
        <f t="shared" si="1"/>
        <v>Tasso di copertura troppo alto</v>
      </c>
      <c r="E109" s="432" t="s">
        <v>25</v>
      </c>
      <c r="F109" s="972" t="s">
        <v>541</v>
      </c>
      <c r="G109" s="433" t="s">
        <v>1334</v>
      </c>
    </row>
    <row r="110" spans="1:7" ht="26.1" customHeight="1">
      <c r="A110" s="431">
        <v>107</v>
      </c>
      <c r="D110" s="968" t="str">
        <f t="shared" si="1"/>
        <v>Riscaldamento scelto</v>
      </c>
      <c r="E110" s="432" t="s">
        <v>26</v>
      </c>
      <c r="F110" s="972" t="s">
        <v>542</v>
      </c>
      <c r="G110" s="433" t="s">
        <v>1335</v>
      </c>
    </row>
    <row r="111" spans="1:7" ht="26.1" customHeight="1">
      <c r="A111" s="431">
        <v>108</v>
      </c>
      <c r="D111" s="968" t="str">
        <f t="shared" si="1"/>
        <v>Acqua calda scelta</v>
      </c>
      <c r="E111" s="432" t="s">
        <v>27</v>
      </c>
      <c r="F111" s="972" t="s">
        <v>543</v>
      </c>
      <c r="G111" s="433" t="s">
        <v>1336</v>
      </c>
    </row>
    <row r="112" spans="1:7" ht="26.1" customHeight="1">
      <c r="A112" s="431">
        <v>109</v>
      </c>
      <c r="D112" s="968" t="str">
        <f t="shared" si="1"/>
        <v>Allegare il calcolo</v>
      </c>
      <c r="E112" s="432" t="s">
        <v>28</v>
      </c>
      <c r="F112" s="972" t="s">
        <v>544</v>
      </c>
      <c r="G112" s="433" t="s">
        <v>1337</v>
      </c>
    </row>
    <row r="113" spans="1:7" ht="26.1" customHeight="1">
      <c r="A113" s="431">
        <v>110</v>
      </c>
      <c r="D113" s="968" t="str">
        <f t="shared" si="1"/>
        <v>Scegliere uno scaldacqua elettrico aggiuntivo per ACS</v>
      </c>
      <c r="E113" s="432" t="s">
        <v>187</v>
      </c>
      <c r="F113" s="972" t="s">
        <v>545</v>
      </c>
      <c r="G113" s="433" t="s">
        <v>1338</v>
      </c>
    </row>
    <row r="114" spans="1:7" ht="26.1" customHeight="1">
      <c r="A114" s="431">
        <v>111</v>
      </c>
      <c r="D114" s="968" t="str">
        <f t="shared" si="1"/>
        <v>Allegare calcolo esterno</v>
      </c>
      <c r="E114" s="432" t="s">
        <v>449</v>
      </c>
      <c r="F114" s="972" t="s">
        <v>538</v>
      </c>
      <c r="G114" s="433" t="s">
        <v>1339</v>
      </c>
    </row>
    <row r="115" spans="1:7" ht="35.25" customHeight="1">
      <c r="A115" s="982">
        <v>112</v>
      </c>
      <c r="B115" s="1004"/>
      <c r="C115" s="1004"/>
      <c r="D115" s="983" t="str">
        <f t="shared" si="1"/>
        <v>Nota: nel foglio "Dati" è stasto scelto un impianto di ventilazione con PdC integrata
-&gt; scegliere una produzione di calore con PdC con immissione d'aria</v>
      </c>
      <c r="E115" s="432" t="s">
        <v>262</v>
      </c>
      <c r="F115" s="972" t="s">
        <v>154</v>
      </c>
      <c r="G115" s="986" t="s">
        <v>1340</v>
      </c>
    </row>
    <row r="116" spans="1:7" s="987" customFormat="1" ht="25.95" customHeight="1">
      <c r="A116" s="431">
        <v>113</v>
      </c>
      <c r="B116" s="1002" t="s">
        <v>53</v>
      </c>
      <c r="C116" s="1002" t="s">
        <v>954</v>
      </c>
      <c r="D116" s="968" t="str">
        <f t="shared" si="1"/>
        <v>1) Allegare un calcolo eterno e inserire i valori nelle celle F40 - I43</v>
      </c>
      <c r="E116" s="984" t="s">
        <v>1128</v>
      </c>
      <c r="F116" s="985" t="s">
        <v>1129</v>
      </c>
      <c r="G116" s="433" t="s">
        <v>1341</v>
      </c>
    </row>
    <row r="117" spans="1:7" ht="25.95" customHeight="1">
      <c r="A117" s="505">
        <v>114</v>
      </c>
      <c r="B117" s="1002" t="s">
        <v>53</v>
      </c>
      <c r="C117" s="970" t="s">
        <v>1220</v>
      </c>
      <c r="D117" s="969" t="str">
        <f t="shared" si="1"/>
        <v>EGID:</v>
      </c>
      <c r="E117" s="432" t="s">
        <v>1221</v>
      </c>
      <c r="F117" s="972" t="s">
        <v>1342</v>
      </c>
      <c r="G117" s="507" t="s">
        <v>1342</v>
      </c>
    </row>
    <row r="118" spans="1:7" ht="25.95" customHeight="1">
      <c r="A118" s="431">
        <v>115</v>
      </c>
      <c r="B118" s="1002" t="s">
        <v>623</v>
      </c>
      <c r="C118" s="1002" t="s">
        <v>54</v>
      </c>
      <c r="D118" s="968" t="str">
        <f t="shared" si="1"/>
        <v>Argovia</v>
      </c>
      <c r="E118" s="432" t="s">
        <v>611</v>
      </c>
      <c r="F118" s="972" t="s">
        <v>559</v>
      </c>
      <c r="G118" s="433" t="s">
        <v>1343</v>
      </c>
    </row>
    <row r="119" spans="1:7" ht="25.95" customHeight="1">
      <c r="A119" s="431">
        <v>116</v>
      </c>
      <c r="B119" s="1002" t="s">
        <v>623</v>
      </c>
      <c r="C119" s="1002" t="s">
        <v>55</v>
      </c>
      <c r="D119" s="968" t="str">
        <f t="shared" si="1"/>
        <v>Appenzello interno</v>
      </c>
      <c r="E119" s="432" t="s">
        <v>612</v>
      </c>
      <c r="F119" s="972" t="s">
        <v>560</v>
      </c>
      <c r="G119" s="433" t="s">
        <v>1344</v>
      </c>
    </row>
    <row r="120" spans="1:7" ht="25.95" customHeight="1">
      <c r="A120" s="431">
        <v>117</v>
      </c>
      <c r="B120" s="1002" t="s">
        <v>623</v>
      </c>
      <c r="C120" s="1002" t="s">
        <v>56</v>
      </c>
      <c r="D120" s="968" t="str">
        <f t="shared" si="1"/>
        <v>Appenzello esterno</v>
      </c>
      <c r="E120" s="432" t="s">
        <v>613</v>
      </c>
      <c r="F120" s="972" t="s">
        <v>1750</v>
      </c>
      <c r="G120" s="433" t="s">
        <v>1345</v>
      </c>
    </row>
    <row r="121" spans="1:7" ht="25.95" customHeight="1">
      <c r="A121" s="431">
        <v>118</v>
      </c>
      <c r="B121" s="1002" t="s">
        <v>623</v>
      </c>
      <c r="C121" s="1002" t="s">
        <v>57</v>
      </c>
      <c r="D121" s="968" t="str">
        <f t="shared" si="1"/>
        <v>Berna</v>
      </c>
      <c r="E121" s="432" t="s">
        <v>280</v>
      </c>
      <c r="F121" s="972" t="s">
        <v>561</v>
      </c>
      <c r="G121" s="433" t="s">
        <v>1346</v>
      </c>
    </row>
    <row r="122" spans="1:7" ht="25.95" customHeight="1">
      <c r="A122" s="431">
        <v>119</v>
      </c>
      <c r="B122" s="1002" t="s">
        <v>623</v>
      </c>
      <c r="C122" s="1002" t="s">
        <v>58</v>
      </c>
      <c r="D122" s="968" t="str">
        <f t="shared" si="1"/>
        <v>Basilea Campagna</v>
      </c>
      <c r="E122" s="432" t="s">
        <v>614</v>
      </c>
      <c r="F122" s="972" t="s">
        <v>562</v>
      </c>
      <c r="G122" s="433" t="s">
        <v>1347</v>
      </c>
    </row>
    <row r="123" spans="1:7" ht="25.95" customHeight="1">
      <c r="A123" s="431">
        <v>120</v>
      </c>
      <c r="B123" s="1002" t="s">
        <v>623</v>
      </c>
      <c r="C123" s="1002" t="s">
        <v>59</v>
      </c>
      <c r="D123" s="968" t="str">
        <f t="shared" si="1"/>
        <v>Basilea Città</v>
      </c>
      <c r="E123" s="432" t="s">
        <v>615</v>
      </c>
      <c r="F123" s="972" t="s">
        <v>563</v>
      </c>
      <c r="G123" s="433" t="s">
        <v>1348</v>
      </c>
    </row>
    <row r="124" spans="1:7" ht="25.95" customHeight="1">
      <c r="A124" s="431">
        <v>121</v>
      </c>
      <c r="B124" s="1002" t="s">
        <v>623</v>
      </c>
      <c r="C124" s="1002" t="s">
        <v>60</v>
      </c>
      <c r="D124" s="968" t="str">
        <f t="shared" si="1"/>
        <v>Friborgo</v>
      </c>
      <c r="E124" s="432" t="s">
        <v>283</v>
      </c>
      <c r="F124" s="972" t="s">
        <v>283</v>
      </c>
      <c r="G124" s="433" t="s">
        <v>1349</v>
      </c>
    </row>
    <row r="125" spans="1:7" ht="25.95" customHeight="1">
      <c r="A125" s="431">
        <v>122</v>
      </c>
      <c r="B125" s="1002" t="s">
        <v>623</v>
      </c>
      <c r="C125" s="1002" t="s">
        <v>61</v>
      </c>
      <c r="D125" s="968" t="str">
        <f t="shared" si="1"/>
        <v>Ginevra</v>
      </c>
      <c r="E125" s="432" t="s">
        <v>284</v>
      </c>
      <c r="F125" s="972" t="s">
        <v>284</v>
      </c>
      <c r="G125" s="433" t="s">
        <v>1350</v>
      </c>
    </row>
    <row r="126" spans="1:7" ht="25.95" customHeight="1">
      <c r="A126" s="431">
        <v>123</v>
      </c>
      <c r="B126" s="1002" t="s">
        <v>623</v>
      </c>
      <c r="C126" s="1002" t="s">
        <v>62</v>
      </c>
      <c r="D126" s="968" t="str">
        <f t="shared" si="1"/>
        <v>Glarona</v>
      </c>
      <c r="E126" s="432" t="s">
        <v>288</v>
      </c>
      <c r="F126" s="972" t="s">
        <v>564</v>
      </c>
      <c r="G126" s="433" t="s">
        <v>1351</v>
      </c>
    </row>
    <row r="127" spans="1:7" ht="25.95" customHeight="1">
      <c r="A127" s="431">
        <v>124</v>
      </c>
      <c r="B127" s="1002" t="s">
        <v>623</v>
      </c>
      <c r="C127" s="1002" t="s">
        <v>63</v>
      </c>
      <c r="D127" s="968" t="str">
        <f t="shared" si="1"/>
        <v>Grigioni</v>
      </c>
      <c r="E127" s="432" t="s">
        <v>454</v>
      </c>
      <c r="F127" s="972" t="s">
        <v>1751</v>
      </c>
      <c r="G127" s="433" t="s">
        <v>1352</v>
      </c>
    </row>
    <row r="128" spans="1:7" ht="25.95" customHeight="1">
      <c r="A128" s="431">
        <v>125</v>
      </c>
      <c r="B128" s="1002" t="s">
        <v>623</v>
      </c>
      <c r="C128" s="1002" t="s">
        <v>867</v>
      </c>
      <c r="D128" s="968" t="str">
        <f t="shared" si="1"/>
        <v>Giura</v>
      </c>
      <c r="E128" s="432" t="s">
        <v>436</v>
      </c>
      <c r="F128" s="972" t="s">
        <v>436</v>
      </c>
      <c r="G128" s="433" t="s">
        <v>1353</v>
      </c>
    </row>
    <row r="129" spans="1:7" ht="25.95" customHeight="1">
      <c r="A129" s="431">
        <v>126</v>
      </c>
      <c r="B129" s="1002" t="s">
        <v>623</v>
      </c>
      <c r="C129" s="1002" t="s">
        <v>64</v>
      </c>
      <c r="D129" s="968" t="str">
        <f t="shared" si="1"/>
        <v>Lucerna</v>
      </c>
      <c r="E129" s="432" t="s">
        <v>281</v>
      </c>
      <c r="F129" s="972" t="s">
        <v>565</v>
      </c>
      <c r="G129" s="433" t="s">
        <v>1354</v>
      </c>
    </row>
    <row r="130" spans="1:7" ht="25.95" customHeight="1">
      <c r="A130" s="431">
        <v>127</v>
      </c>
      <c r="B130" s="1002" t="s">
        <v>623</v>
      </c>
      <c r="C130" s="1002" t="s">
        <v>65</v>
      </c>
      <c r="D130" s="968" t="str">
        <f t="shared" si="1"/>
        <v>Neuchâtel</v>
      </c>
      <c r="E130" s="432" t="s">
        <v>437</v>
      </c>
      <c r="F130" s="972" t="s">
        <v>287</v>
      </c>
      <c r="G130" s="433" t="s">
        <v>287</v>
      </c>
    </row>
    <row r="131" spans="1:7" ht="25.95" customHeight="1">
      <c r="A131" s="431">
        <v>128</v>
      </c>
      <c r="B131" s="1002" t="s">
        <v>623</v>
      </c>
      <c r="C131" s="1002" t="s">
        <v>66</v>
      </c>
      <c r="D131" s="968" t="str">
        <f t="shared" si="1"/>
        <v>Nidvaldo</v>
      </c>
      <c r="E131" s="432" t="s">
        <v>452</v>
      </c>
      <c r="F131" s="972" t="s">
        <v>566</v>
      </c>
      <c r="G131" s="433" t="s">
        <v>1355</v>
      </c>
    </row>
    <row r="132" spans="1:7" ht="25.95" customHeight="1">
      <c r="A132" s="431">
        <v>129</v>
      </c>
      <c r="B132" s="1002" t="s">
        <v>623</v>
      </c>
      <c r="C132" s="1002" t="s">
        <v>67</v>
      </c>
      <c r="D132" s="968" t="str">
        <f t="shared" si="1"/>
        <v>Obvaldo</v>
      </c>
      <c r="E132" s="432" t="s">
        <v>451</v>
      </c>
      <c r="F132" s="972" t="s">
        <v>567</v>
      </c>
      <c r="G132" s="433" t="s">
        <v>1356</v>
      </c>
    </row>
    <row r="133" spans="1:7" ht="25.95" customHeight="1">
      <c r="A133" s="431">
        <v>130</v>
      </c>
      <c r="B133" s="1002" t="s">
        <v>623</v>
      </c>
      <c r="C133" s="1002" t="s">
        <v>68</v>
      </c>
      <c r="D133" s="968" t="str">
        <f t="shared" ref="D133:D196" si="2">INDEX($E$4:$G$503,$A133,$A$1)</f>
        <v>San Gallo</v>
      </c>
      <c r="E133" s="432" t="s">
        <v>276</v>
      </c>
      <c r="F133" s="972" t="s">
        <v>568</v>
      </c>
      <c r="G133" s="433" t="s">
        <v>1357</v>
      </c>
    </row>
    <row r="134" spans="1:7" ht="25.95" customHeight="1">
      <c r="A134" s="431">
        <v>131</v>
      </c>
      <c r="B134" s="1002" t="s">
        <v>623</v>
      </c>
      <c r="C134" s="1002" t="s">
        <v>69</v>
      </c>
      <c r="D134" s="968" t="str">
        <f t="shared" si="2"/>
        <v>Sciaffusa</v>
      </c>
      <c r="E134" s="432" t="s">
        <v>274</v>
      </c>
      <c r="F134" s="972" t="s">
        <v>569</v>
      </c>
      <c r="G134" s="433" t="s">
        <v>1358</v>
      </c>
    </row>
    <row r="135" spans="1:7" ht="25.95" customHeight="1">
      <c r="A135" s="431">
        <v>132</v>
      </c>
      <c r="B135" s="1002" t="s">
        <v>623</v>
      </c>
      <c r="C135" s="1002" t="s">
        <v>70</v>
      </c>
      <c r="D135" s="968" t="str">
        <f t="shared" si="2"/>
        <v>Soletta</v>
      </c>
      <c r="E135" s="432" t="s">
        <v>263</v>
      </c>
      <c r="F135" s="972" t="s">
        <v>570</v>
      </c>
      <c r="G135" s="433" t="s">
        <v>1359</v>
      </c>
    </row>
    <row r="136" spans="1:7" ht="25.95" customHeight="1">
      <c r="A136" s="431">
        <v>133</v>
      </c>
      <c r="B136" s="1002" t="s">
        <v>623</v>
      </c>
      <c r="C136" s="1002" t="s">
        <v>71</v>
      </c>
      <c r="D136" s="968" t="str">
        <f t="shared" si="2"/>
        <v>Svitto</v>
      </c>
      <c r="E136" s="432" t="s">
        <v>450</v>
      </c>
      <c r="F136" s="972" t="s">
        <v>571</v>
      </c>
      <c r="G136" s="433" t="s">
        <v>1360</v>
      </c>
    </row>
    <row r="137" spans="1:7" ht="25.95" customHeight="1">
      <c r="A137" s="431">
        <v>134</v>
      </c>
      <c r="B137" s="1002" t="s">
        <v>623</v>
      </c>
      <c r="C137" s="1002" t="s">
        <v>72</v>
      </c>
      <c r="D137" s="968" t="str">
        <f t="shared" si="2"/>
        <v>Turgovia</v>
      </c>
      <c r="E137" s="432" t="s">
        <v>435</v>
      </c>
      <c r="F137" s="972" t="s">
        <v>572</v>
      </c>
      <c r="G137" s="433" t="s">
        <v>1361</v>
      </c>
    </row>
    <row r="138" spans="1:7" ht="25.95" customHeight="1">
      <c r="A138" s="431">
        <v>135</v>
      </c>
      <c r="B138" s="1002" t="s">
        <v>623</v>
      </c>
      <c r="C138" s="1002" t="s">
        <v>73</v>
      </c>
      <c r="D138" s="968" t="str">
        <f t="shared" si="2"/>
        <v>Ticino</v>
      </c>
      <c r="E138" s="432" t="s">
        <v>455</v>
      </c>
      <c r="F138" s="972" t="s">
        <v>455</v>
      </c>
      <c r="G138" s="433" t="s">
        <v>1362</v>
      </c>
    </row>
    <row r="139" spans="1:7" ht="25.95" customHeight="1">
      <c r="A139" s="431">
        <v>136</v>
      </c>
      <c r="B139" s="1002" t="s">
        <v>623</v>
      </c>
      <c r="C139" s="1002" t="s">
        <v>74</v>
      </c>
      <c r="D139" s="968" t="str">
        <f t="shared" si="2"/>
        <v>Uri</v>
      </c>
      <c r="E139" s="432" t="s">
        <v>453</v>
      </c>
      <c r="F139" s="972" t="s">
        <v>453</v>
      </c>
      <c r="G139" s="433" t="s">
        <v>453</v>
      </c>
    </row>
    <row r="140" spans="1:7" ht="25.95" customHeight="1">
      <c r="A140" s="431">
        <v>137</v>
      </c>
      <c r="B140" s="1002" t="s">
        <v>623</v>
      </c>
      <c r="C140" s="1002" t="s">
        <v>75</v>
      </c>
      <c r="D140" s="968" t="str">
        <f t="shared" si="2"/>
        <v>Vaud</v>
      </c>
      <c r="E140" s="432" t="s">
        <v>616</v>
      </c>
      <c r="F140" s="972" t="s">
        <v>573</v>
      </c>
      <c r="G140" s="433" t="s">
        <v>573</v>
      </c>
    </row>
    <row r="141" spans="1:7" ht="25.95" customHeight="1">
      <c r="A141" s="431">
        <v>138</v>
      </c>
      <c r="B141" s="1002" t="s">
        <v>623</v>
      </c>
      <c r="C141" s="1002" t="s">
        <v>76</v>
      </c>
      <c r="D141" s="968" t="str">
        <f t="shared" si="2"/>
        <v>Vallese</v>
      </c>
      <c r="E141" s="432" t="s">
        <v>432</v>
      </c>
      <c r="F141" s="972" t="s">
        <v>574</v>
      </c>
      <c r="G141" s="433" t="s">
        <v>1363</v>
      </c>
    </row>
    <row r="142" spans="1:7" ht="25.95" customHeight="1">
      <c r="A142" s="431">
        <v>139</v>
      </c>
      <c r="B142" s="1002" t="s">
        <v>623</v>
      </c>
      <c r="C142" s="1002" t="s">
        <v>77</v>
      </c>
      <c r="D142" s="968" t="str">
        <f t="shared" si="2"/>
        <v>Zugo</v>
      </c>
      <c r="E142" s="432" t="s">
        <v>433</v>
      </c>
      <c r="F142" s="972" t="s">
        <v>575</v>
      </c>
      <c r="G142" s="433" t="s">
        <v>1364</v>
      </c>
    </row>
    <row r="143" spans="1:7" ht="25.95" customHeight="1">
      <c r="A143" s="431">
        <v>140</v>
      </c>
      <c r="B143" s="1002" t="s">
        <v>623</v>
      </c>
      <c r="C143" s="1002" t="s">
        <v>78</v>
      </c>
      <c r="D143" s="968" t="str">
        <f t="shared" si="2"/>
        <v>Zurigo</v>
      </c>
      <c r="E143" s="432" t="s">
        <v>434</v>
      </c>
      <c r="F143" s="972" t="s">
        <v>576</v>
      </c>
      <c r="G143" s="433" t="s">
        <v>1365</v>
      </c>
    </row>
    <row r="144" spans="1:7" ht="25.95" customHeight="1">
      <c r="A144" s="431">
        <v>141</v>
      </c>
      <c r="B144" s="1002" t="s">
        <v>623</v>
      </c>
      <c r="C144" s="1002" t="s">
        <v>79</v>
      </c>
      <c r="D144" s="968" t="str">
        <f t="shared" si="2"/>
        <v xml:space="preserve">Principato del Liechtenstein </v>
      </c>
      <c r="E144" s="432" t="s">
        <v>617</v>
      </c>
      <c r="F144" s="972" t="s">
        <v>577</v>
      </c>
      <c r="G144" s="433" t="s">
        <v>1366</v>
      </c>
    </row>
    <row r="145" spans="1:7" ht="25.95" customHeight="1">
      <c r="A145" s="431">
        <v>142</v>
      </c>
      <c r="B145" s="1002" t="s">
        <v>623</v>
      </c>
      <c r="C145" s="1002" t="s">
        <v>549</v>
      </c>
      <c r="D145" s="968" t="str">
        <f t="shared" si="2"/>
        <v>speciale</v>
      </c>
      <c r="E145" s="432" t="s">
        <v>548</v>
      </c>
      <c r="F145" s="972" t="s">
        <v>578</v>
      </c>
      <c r="G145" s="433" t="s">
        <v>1367</v>
      </c>
    </row>
    <row r="146" spans="1:7" ht="25.95" customHeight="1">
      <c r="A146" s="431">
        <v>143</v>
      </c>
      <c r="B146" s="1002" t="s">
        <v>53</v>
      </c>
      <c r="C146" s="1002" t="s">
        <v>940</v>
      </c>
      <c r="D146" s="968" t="str">
        <f t="shared" si="2"/>
        <v>Firme</v>
      </c>
      <c r="E146" s="432" t="s">
        <v>763</v>
      </c>
      <c r="F146" s="972" t="s">
        <v>1586</v>
      </c>
      <c r="G146" s="433" t="s">
        <v>1368</v>
      </c>
    </row>
    <row r="147" spans="1:7" ht="25.95" customHeight="1">
      <c r="A147" s="431">
        <v>144</v>
      </c>
      <c r="B147" s="1002" t="s">
        <v>53</v>
      </c>
      <c r="C147" s="1002" t="s">
        <v>941</v>
      </c>
      <c r="D147" s="968" t="str">
        <f t="shared" si="2"/>
        <v>Verifica elaborata da:</v>
      </c>
      <c r="E147" s="432" t="s">
        <v>764</v>
      </c>
      <c r="F147" s="972" t="s">
        <v>1587</v>
      </c>
      <c r="G147" s="433" t="s">
        <v>1369</v>
      </c>
    </row>
    <row r="148" spans="1:7" ht="25.95" customHeight="1">
      <c r="A148" s="431">
        <v>145</v>
      </c>
      <c r="B148" s="1002" t="s">
        <v>53</v>
      </c>
      <c r="C148" s="1002" t="s">
        <v>942</v>
      </c>
      <c r="D148" s="968" t="str">
        <f t="shared" si="2"/>
        <v>Controllo della verifica/Controllo esterno:</v>
      </c>
      <c r="E148" s="432" t="s">
        <v>765</v>
      </c>
      <c r="F148" s="972" t="s">
        <v>1588</v>
      </c>
      <c r="G148" s="433" t="s">
        <v>1370</v>
      </c>
    </row>
    <row r="149" spans="1:7" ht="25.95" customHeight="1">
      <c r="A149" s="431">
        <v>146</v>
      </c>
      <c r="B149" s="1002" t="s">
        <v>53</v>
      </c>
      <c r="C149" s="1002" t="s">
        <v>943</v>
      </c>
      <c r="D149" s="968" t="str">
        <f t="shared" si="2"/>
        <v>Si attesta la correttezza</v>
      </c>
      <c r="E149" s="432" t="s">
        <v>766</v>
      </c>
      <c r="F149" s="972" t="s">
        <v>1589</v>
      </c>
      <c r="G149" s="433" t="s">
        <v>1371</v>
      </c>
    </row>
    <row r="150" spans="1:7" ht="25.95" customHeight="1">
      <c r="A150" s="431">
        <v>147</v>
      </c>
      <c r="B150" s="1002" t="s">
        <v>53</v>
      </c>
      <c r="C150" s="1002" t="s">
        <v>944</v>
      </c>
      <c r="D150" s="968" t="str">
        <f t="shared" si="2"/>
        <v>Nome e indirizzo</v>
      </c>
      <c r="E150" s="432" t="s">
        <v>767</v>
      </c>
      <c r="F150" s="972" t="s">
        <v>1590</v>
      </c>
      <c r="G150" s="433" t="s">
        <v>1372</v>
      </c>
    </row>
    <row r="151" spans="1:7" ht="25.95" customHeight="1">
      <c r="A151" s="431">
        <v>148</v>
      </c>
      <c r="B151" s="1002" t="s">
        <v>53</v>
      </c>
      <c r="C151" s="1002" t="s">
        <v>945</v>
      </c>
      <c r="D151" s="968" t="str">
        <f t="shared" si="2"/>
        <v>risp. timbro della ditta</v>
      </c>
      <c r="E151" s="432" t="s">
        <v>768</v>
      </c>
      <c r="F151" s="972" t="s">
        <v>1591</v>
      </c>
      <c r="G151" s="433" t="s">
        <v>1373</v>
      </c>
    </row>
    <row r="152" spans="1:7" ht="25.95" customHeight="1">
      <c r="A152" s="431">
        <v>149</v>
      </c>
      <c r="B152" s="1002" t="s">
        <v>53</v>
      </c>
      <c r="C152" s="1002" t="s">
        <v>946</v>
      </c>
      <c r="D152" s="968" t="str">
        <f t="shared" si="2"/>
        <v>Responsabile, tel.:</v>
      </c>
      <c r="E152" s="432" t="s">
        <v>769</v>
      </c>
      <c r="F152" s="972" t="s">
        <v>1592</v>
      </c>
      <c r="G152" s="433" t="s">
        <v>1374</v>
      </c>
    </row>
    <row r="153" spans="1:7" ht="25.95" customHeight="1">
      <c r="A153" s="431">
        <v>150</v>
      </c>
      <c r="B153" s="1002" t="s">
        <v>53</v>
      </c>
      <c r="C153" s="1002" t="s">
        <v>949</v>
      </c>
      <c r="D153" s="968" t="str">
        <f t="shared" si="2"/>
        <v>Luogo, data, firma:</v>
      </c>
      <c r="E153" s="432" t="s">
        <v>770</v>
      </c>
      <c r="F153" s="972" t="s">
        <v>1593</v>
      </c>
      <c r="G153" s="433" t="s">
        <v>1375</v>
      </c>
    </row>
    <row r="154" spans="1:7" ht="25.95" customHeight="1">
      <c r="A154" s="431">
        <v>151</v>
      </c>
      <c r="B154" s="1002" t="s">
        <v>53</v>
      </c>
      <c r="C154" s="1002" t="s">
        <v>950</v>
      </c>
      <c r="D154" s="968" t="str">
        <f t="shared" si="2"/>
        <v>Controllo esecuzione:</v>
      </c>
      <c r="E154" s="432" t="s">
        <v>771</v>
      </c>
      <c r="F154" s="972" t="s">
        <v>1594</v>
      </c>
      <c r="G154" s="433" t="s">
        <v>1376</v>
      </c>
    </row>
    <row r="155" spans="1:7" ht="25.95" customHeight="1">
      <c r="A155" s="431">
        <v>152</v>
      </c>
      <c r="B155" s="1002" t="s">
        <v>53</v>
      </c>
      <c r="C155" s="1002" t="s">
        <v>952</v>
      </c>
      <c r="D155" s="968" t="str">
        <f t="shared" si="2"/>
        <v>stessa persona</v>
      </c>
      <c r="E155" s="432" t="s">
        <v>780</v>
      </c>
      <c r="F155" s="972" t="s">
        <v>1595</v>
      </c>
      <c r="G155" s="433" t="s">
        <v>1377</v>
      </c>
    </row>
    <row r="156" spans="1:7" ht="25.95" customHeight="1">
      <c r="A156" s="992">
        <v>153</v>
      </c>
      <c r="B156" s="1005" t="s">
        <v>53</v>
      </c>
      <c r="C156" s="1005" t="s">
        <v>953</v>
      </c>
      <c r="D156" s="993" t="str">
        <f t="shared" si="2"/>
        <v>oppure:</v>
      </c>
      <c r="E156" s="994" t="s">
        <v>781</v>
      </c>
      <c r="F156" s="995" t="s">
        <v>1596</v>
      </c>
      <c r="G156" s="996" t="s">
        <v>1378</v>
      </c>
    </row>
    <row r="157" spans="1:7" ht="25.95" customHeight="1">
      <c r="A157" s="505">
        <v>154</v>
      </c>
      <c r="B157" s="1002" t="s">
        <v>623</v>
      </c>
      <c r="C157" s="1002" t="s">
        <v>955</v>
      </c>
      <c r="D157" s="969" t="str">
        <f t="shared" si="2"/>
        <v>Caldaia a gasolio</v>
      </c>
      <c r="E157" s="506" t="s">
        <v>203</v>
      </c>
      <c r="F157" s="974" t="s">
        <v>1597</v>
      </c>
      <c r="G157" s="507" t="s">
        <v>1379</v>
      </c>
    </row>
    <row r="158" spans="1:7" ht="25.95" customHeight="1">
      <c r="A158" s="431">
        <v>155</v>
      </c>
      <c r="B158" s="1002" t="s">
        <v>623</v>
      </c>
      <c r="C158" s="1002" t="s">
        <v>956</v>
      </c>
      <c r="D158" s="968" t="str">
        <f t="shared" si="2"/>
        <v>Caldaia a gasolio con condensazione, solo riscaldamento</v>
      </c>
      <c r="E158" s="432" t="s">
        <v>86</v>
      </c>
      <c r="F158" s="972" t="s">
        <v>1598</v>
      </c>
      <c r="G158" s="433" t="s">
        <v>1380</v>
      </c>
    </row>
    <row r="159" spans="1:7" ht="25.95" customHeight="1">
      <c r="A159" s="431">
        <v>156</v>
      </c>
      <c r="B159" s="1002" t="s">
        <v>623</v>
      </c>
      <c r="C159" s="1002" t="s">
        <v>957</v>
      </c>
      <c r="D159" s="968" t="str">
        <f t="shared" si="2"/>
        <v>Caldaia a gasolio con condensazione, solo ACS</v>
      </c>
      <c r="E159" s="432" t="s">
        <v>87</v>
      </c>
      <c r="F159" s="972" t="s">
        <v>1599</v>
      </c>
      <c r="G159" s="433" t="s">
        <v>1381</v>
      </c>
    </row>
    <row r="160" spans="1:7" ht="25.95" customHeight="1">
      <c r="A160" s="431">
        <v>157</v>
      </c>
      <c r="B160" s="1002" t="s">
        <v>623</v>
      </c>
      <c r="C160" s="1002" t="s">
        <v>958</v>
      </c>
      <c r="D160" s="968" t="str">
        <f t="shared" si="2"/>
        <v>Caldaia a gas</v>
      </c>
      <c r="E160" s="432" t="s">
        <v>204</v>
      </c>
      <c r="F160" s="972" t="s">
        <v>1600</v>
      </c>
      <c r="G160" s="433" t="s">
        <v>1382</v>
      </c>
    </row>
    <row r="161" spans="1:7" ht="25.95" customHeight="1">
      <c r="A161" s="431">
        <v>158</v>
      </c>
      <c r="B161" s="1002" t="s">
        <v>623</v>
      </c>
      <c r="C161" s="1002" t="s">
        <v>959</v>
      </c>
      <c r="D161" s="968" t="str">
        <f t="shared" si="2"/>
        <v>Caldaia a gas con condensazione, solo riscaldamento</v>
      </c>
      <c r="E161" s="432" t="s">
        <v>88</v>
      </c>
      <c r="F161" s="972" t="s">
        <v>1601</v>
      </c>
      <c r="G161" s="433" t="s">
        <v>1383</v>
      </c>
    </row>
    <row r="162" spans="1:7" ht="25.95" customHeight="1">
      <c r="A162" s="431">
        <v>159</v>
      </c>
      <c r="B162" s="1002" t="s">
        <v>623</v>
      </c>
      <c r="C162" s="1002" t="s">
        <v>960</v>
      </c>
      <c r="D162" s="968" t="str">
        <f t="shared" si="2"/>
        <v>Caldaia a gas con condensazione, solo ACS</v>
      </c>
      <c r="E162" s="432" t="s">
        <v>89</v>
      </c>
      <c r="F162" s="972" t="s">
        <v>1602</v>
      </c>
      <c r="G162" s="433" t="s">
        <v>1384</v>
      </c>
    </row>
    <row r="163" spans="1:7" ht="26.1" customHeight="1">
      <c r="A163" s="431">
        <v>160</v>
      </c>
      <c r="B163" s="1002" t="s">
        <v>623</v>
      </c>
      <c r="C163" s="1002" t="s">
        <v>961</v>
      </c>
      <c r="D163" s="968" t="str">
        <f t="shared" si="2"/>
        <v>Scaldacqua a gas</v>
      </c>
      <c r="E163" s="432" t="s">
        <v>205</v>
      </c>
      <c r="F163" s="972" t="s">
        <v>1603</v>
      </c>
      <c r="G163" s="433" t="s">
        <v>1385</v>
      </c>
    </row>
    <row r="164" spans="1:7" ht="26.1" customHeight="1">
      <c r="A164" s="431">
        <v>161</v>
      </c>
      <c r="B164" s="1002" t="s">
        <v>623</v>
      </c>
      <c r="C164" s="1002" t="s">
        <v>962</v>
      </c>
      <c r="D164" s="968" t="str">
        <f t="shared" si="2"/>
        <v>Riscaldamento a legna</v>
      </c>
      <c r="E164" s="432" t="s">
        <v>318</v>
      </c>
      <c r="F164" s="972" t="s">
        <v>1604</v>
      </c>
      <c r="G164" s="433" t="s">
        <v>1386</v>
      </c>
    </row>
    <row r="165" spans="1:7" ht="26.1" customHeight="1">
      <c r="A165" s="431">
        <v>162</v>
      </c>
      <c r="B165" s="1002" t="s">
        <v>623</v>
      </c>
      <c r="C165" s="1002" t="s">
        <v>963</v>
      </c>
      <c r="D165" s="968" t="str">
        <f t="shared" si="2"/>
        <v>Riscaldamento a pellet</v>
      </c>
      <c r="E165" s="432" t="s">
        <v>22</v>
      </c>
      <c r="F165" s="972" t="s">
        <v>1605</v>
      </c>
      <c r="G165" s="433" t="s">
        <v>1387</v>
      </c>
    </row>
    <row r="166" spans="1:7" ht="26.1" customHeight="1">
      <c r="A166" s="431">
        <v>163</v>
      </c>
      <c r="B166" s="1002" t="s">
        <v>623</v>
      </c>
      <c r="C166" s="1002" t="s">
        <v>964</v>
      </c>
      <c r="D166" s="968" t="str">
        <f t="shared" si="2"/>
        <v>Teleriscaldamento (&lt;=50% di energie non rinnovabili)</v>
      </c>
      <c r="E166" s="432" t="s">
        <v>1242</v>
      </c>
      <c r="F166" s="972" t="s">
        <v>1606</v>
      </c>
      <c r="G166" s="433" t="s">
        <v>1504</v>
      </c>
    </row>
    <row r="167" spans="1:7" ht="26.1" customHeight="1">
      <c r="A167" s="431">
        <v>164</v>
      </c>
      <c r="B167" s="1002" t="s">
        <v>623</v>
      </c>
      <c r="C167" s="1002" t="s">
        <v>965</v>
      </c>
      <c r="D167" s="968" t="str">
        <f t="shared" si="2"/>
        <v>Riscaldamento elettrico diretto centralizzato</v>
      </c>
      <c r="E167" s="432" t="s">
        <v>186</v>
      </c>
      <c r="F167" s="972" t="s">
        <v>1607</v>
      </c>
      <c r="G167" s="433" t="s">
        <v>1388</v>
      </c>
    </row>
    <row r="168" spans="1:7" ht="26.1" customHeight="1">
      <c r="A168" s="431">
        <v>165</v>
      </c>
      <c r="B168" s="1002" t="s">
        <v>623</v>
      </c>
      <c r="C168" s="1002" t="s">
        <v>966</v>
      </c>
      <c r="D168" s="968" t="str">
        <f t="shared" si="2"/>
        <v>Elettrico diretto</v>
      </c>
      <c r="E168" s="432" t="s">
        <v>45</v>
      </c>
      <c r="F168" s="972" t="s">
        <v>1608</v>
      </c>
      <c r="G168" s="433" t="s">
        <v>1389</v>
      </c>
    </row>
    <row r="169" spans="1:7" ht="26.1" customHeight="1">
      <c r="A169" s="431">
        <v>166</v>
      </c>
      <c r="B169" s="1002" t="s">
        <v>623</v>
      </c>
      <c r="C169" s="1002" t="s">
        <v>967</v>
      </c>
      <c r="D169" s="968" t="str">
        <f t="shared" si="2"/>
        <v>Scaldacqua elettrico</v>
      </c>
      <c r="E169" s="432" t="s">
        <v>145</v>
      </c>
      <c r="F169" s="972" t="s">
        <v>1609</v>
      </c>
      <c r="G169" s="433" t="s">
        <v>1390</v>
      </c>
    </row>
    <row r="170" spans="1:7" ht="26.1" customHeight="1">
      <c r="A170" s="431">
        <v>167</v>
      </c>
      <c r="B170" s="1002" t="s">
        <v>623</v>
      </c>
      <c r="C170" s="1002" t="s">
        <v>968</v>
      </c>
      <c r="D170" s="968" t="str">
        <f t="shared" si="2"/>
        <v>Cogenerazione (fossile) - termico + elettrico</v>
      </c>
      <c r="E170" s="432" t="s">
        <v>708</v>
      </c>
      <c r="F170" s="972" t="s">
        <v>1610</v>
      </c>
      <c r="G170" s="433" t="s">
        <v>1391</v>
      </c>
    </row>
    <row r="171" spans="1:7" ht="26.1" customHeight="1">
      <c r="A171" s="431">
        <v>168</v>
      </c>
      <c r="B171" s="1002" t="s">
        <v>623</v>
      </c>
      <c r="C171" s="1002" t="s">
        <v>969</v>
      </c>
      <c r="D171" s="968" t="str">
        <f t="shared" si="2"/>
        <v>Cogenerazione (legna) - termico + elettrico</v>
      </c>
      <c r="E171" s="432" t="s">
        <v>459</v>
      </c>
      <c r="F171" s="972" t="s">
        <v>1611</v>
      </c>
      <c r="G171" s="433" t="s">
        <v>1392</v>
      </c>
    </row>
    <row r="172" spans="1:7" ht="25.95" customHeight="1">
      <c r="A172" s="431">
        <v>169</v>
      </c>
      <c r="B172" s="1002" t="s">
        <v>623</v>
      </c>
      <c r="C172" s="1002" t="s">
        <v>970</v>
      </c>
      <c r="D172" s="968" t="str">
        <f t="shared" si="2"/>
        <v>PdC aria-acqua, solo riscaldamento</v>
      </c>
      <c r="E172" s="432" t="s">
        <v>90</v>
      </c>
      <c r="F172" s="972" t="s">
        <v>1752</v>
      </c>
      <c r="G172" s="433" t="s">
        <v>2968</v>
      </c>
    </row>
    <row r="173" spans="1:7" ht="25.95" customHeight="1">
      <c r="A173" s="431">
        <v>170</v>
      </c>
      <c r="B173" s="1002" t="s">
        <v>623</v>
      </c>
      <c r="C173" s="1002" t="s">
        <v>971</v>
      </c>
      <c r="D173" s="968" t="str">
        <f t="shared" si="2"/>
        <v>PdC aria-acqua, solo ACS</v>
      </c>
      <c r="E173" s="432" t="s">
        <v>91</v>
      </c>
      <c r="F173" s="972" t="s">
        <v>1753</v>
      </c>
      <c r="G173" s="433" t="s">
        <v>2969</v>
      </c>
    </row>
    <row r="174" spans="1:7" ht="25.95" customHeight="1">
      <c r="A174" s="431">
        <v>171</v>
      </c>
      <c r="B174" s="1002" t="s">
        <v>623</v>
      </c>
      <c r="C174" s="1002" t="s">
        <v>972</v>
      </c>
      <c r="D174" s="968" t="str">
        <f t="shared" si="2"/>
        <v>PdC con sonde geotermiche, solo riscaldamento</v>
      </c>
      <c r="E174" s="432" t="s">
        <v>92</v>
      </c>
      <c r="F174" s="972" t="s">
        <v>1612</v>
      </c>
      <c r="G174" s="433" t="s">
        <v>1393</v>
      </c>
    </row>
    <row r="175" spans="1:7" ht="26.1" customHeight="1">
      <c r="A175" s="431">
        <v>172</v>
      </c>
      <c r="B175" s="1002" t="s">
        <v>623</v>
      </c>
      <c r="C175" s="1002" t="s">
        <v>973</v>
      </c>
      <c r="D175" s="968" t="str">
        <f t="shared" si="2"/>
        <v>PdC con sonde geotermiche, solo ACS</v>
      </c>
      <c r="E175" s="432" t="s">
        <v>93</v>
      </c>
      <c r="F175" s="972" t="s">
        <v>1613</v>
      </c>
      <c r="G175" s="433" t="s">
        <v>1394</v>
      </c>
    </row>
    <row r="176" spans="1:7" ht="26.1" customHeight="1">
      <c r="A176" s="431">
        <v>173</v>
      </c>
      <c r="B176" s="1002" t="s">
        <v>623</v>
      </c>
      <c r="C176" s="1002" t="s">
        <v>974</v>
      </c>
      <c r="D176" s="968" t="str">
        <f t="shared" si="2"/>
        <v>PdC con acqua di scarico, solo riscaldamento</v>
      </c>
      <c r="E176" s="432" t="s">
        <v>456</v>
      </c>
      <c r="F176" s="972" t="s">
        <v>1614</v>
      </c>
      <c r="G176" s="433" t="s">
        <v>1395</v>
      </c>
    </row>
    <row r="177" spans="1:7" ht="26.1" customHeight="1">
      <c r="A177" s="431">
        <v>174</v>
      </c>
      <c r="B177" s="1002" t="s">
        <v>623</v>
      </c>
      <c r="C177" s="1002" t="s">
        <v>975</v>
      </c>
      <c r="D177" s="968" t="str">
        <f t="shared" si="2"/>
        <v>PdC con acqua di scarico, solo ACS</v>
      </c>
      <c r="E177" s="432" t="s">
        <v>457</v>
      </c>
      <c r="F177" s="972" t="s">
        <v>1615</v>
      </c>
      <c r="G177" s="433" t="s">
        <v>1396</v>
      </c>
    </row>
    <row r="178" spans="1:7" ht="26.1" customHeight="1">
      <c r="A178" s="431">
        <v>175</v>
      </c>
      <c r="B178" s="1002" t="s">
        <v>623</v>
      </c>
      <c r="C178" s="1002" t="s">
        <v>976</v>
      </c>
      <c r="D178" s="968" t="str">
        <f t="shared" si="2"/>
        <v>PdC acqua-acqua, solo riscaldamento</v>
      </c>
      <c r="E178" s="432" t="s">
        <v>458</v>
      </c>
      <c r="F178" s="972" t="s">
        <v>1616</v>
      </c>
      <c r="G178" s="433" t="s">
        <v>2970</v>
      </c>
    </row>
    <row r="179" spans="1:7" ht="26.1" customHeight="1">
      <c r="A179" s="431">
        <v>176</v>
      </c>
      <c r="B179" s="1002" t="s">
        <v>623</v>
      </c>
      <c r="C179" s="1002" t="s">
        <v>977</v>
      </c>
      <c r="D179" s="968" t="str">
        <f t="shared" si="2"/>
        <v>PdC acqua-acqua, solo ACS</v>
      </c>
      <c r="E179" s="432" t="s">
        <v>218</v>
      </c>
      <c r="F179" s="972" t="s">
        <v>1617</v>
      </c>
      <c r="G179" s="433" t="s">
        <v>2971</v>
      </c>
    </row>
    <row r="180" spans="1:7" ht="26.1" customHeight="1">
      <c r="A180" s="431">
        <v>177</v>
      </c>
      <c r="B180" s="1002" t="s">
        <v>623</v>
      </c>
      <c r="C180" s="1002" t="s">
        <v>978</v>
      </c>
      <c r="D180" s="968" t="str">
        <f t="shared" si="2"/>
        <v>PdC con acqua di falda, diretto, solo riscaldamento</v>
      </c>
      <c r="E180" s="432" t="s">
        <v>219</v>
      </c>
      <c r="F180" s="972" t="s">
        <v>1618</v>
      </c>
      <c r="G180" s="433" t="s">
        <v>1397</v>
      </c>
    </row>
    <row r="181" spans="1:7" ht="26.1" customHeight="1">
      <c r="A181" s="431">
        <v>178</v>
      </c>
      <c r="B181" s="1002" t="s">
        <v>623</v>
      </c>
      <c r="C181" s="1002" t="s">
        <v>979</v>
      </c>
      <c r="D181" s="968" t="str">
        <f t="shared" si="2"/>
        <v>PdC con acqua di falda, diretto, solo ACS</v>
      </c>
      <c r="E181" s="432" t="s">
        <v>220</v>
      </c>
      <c r="F181" s="972" t="s">
        <v>1619</v>
      </c>
      <c r="G181" s="433" t="s">
        <v>1398</v>
      </c>
    </row>
    <row r="182" spans="1:7" ht="26.1" customHeight="1">
      <c r="A182" s="431">
        <v>179</v>
      </c>
      <c r="B182" s="1002" t="s">
        <v>623</v>
      </c>
      <c r="C182" s="1002" t="s">
        <v>980</v>
      </c>
      <c r="D182" s="968" t="str">
        <f t="shared" si="2"/>
        <v>PdC con acqua di falda, indiretto, solo riscaldamento</v>
      </c>
      <c r="E182" s="432" t="s">
        <v>221</v>
      </c>
      <c r="F182" s="972" t="s">
        <v>1620</v>
      </c>
      <c r="G182" s="433" t="s">
        <v>1399</v>
      </c>
    </row>
    <row r="183" spans="1:7" ht="26.1" customHeight="1">
      <c r="A183" s="431">
        <v>180</v>
      </c>
      <c r="B183" s="1002" t="s">
        <v>623</v>
      </c>
      <c r="C183" s="1002" t="s">
        <v>981</v>
      </c>
      <c r="D183" s="968" t="str">
        <f t="shared" si="2"/>
        <v>PdC con acqua di falda, indiretto, solo ACS</v>
      </c>
      <c r="E183" s="432" t="s">
        <v>222</v>
      </c>
      <c r="F183" s="972" t="s">
        <v>1621</v>
      </c>
      <c r="G183" s="433" t="s">
        <v>1400</v>
      </c>
    </row>
    <row r="184" spans="1:7" ht="26.1" customHeight="1">
      <c r="A184" s="431">
        <v>181</v>
      </c>
      <c r="B184" s="1002" t="s">
        <v>623</v>
      </c>
      <c r="C184" s="1002" t="s">
        <v>982</v>
      </c>
      <c r="D184" s="968" t="str">
        <f t="shared" si="2"/>
        <v>PdC con fasci di tubi orizzontali, solo riscaldamento</v>
      </c>
      <c r="E184" s="432" t="s">
        <v>223</v>
      </c>
      <c r="F184" s="972" t="s">
        <v>1622</v>
      </c>
      <c r="G184" s="433" t="s">
        <v>1401</v>
      </c>
    </row>
    <row r="185" spans="1:7" ht="26.1" customHeight="1">
      <c r="A185" s="431">
        <v>182</v>
      </c>
      <c r="B185" s="1002" t="s">
        <v>623</v>
      </c>
      <c r="C185" s="1002" t="s">
        <v>983</v>
      </c>
      <c r="D185" s="968" t="str">
        <f t="shared" si="2"/>
        <v>PdC con fasci di tubi orizzontali, solo ACS</v>
      </c>
      <c r="E185" s="432" t="s">
        <v>224</v>
      </c>
      <c r="F185" s="972" t="s">
        <v>1623</v>
      </c>
      <c r="G185" s="433" t="s">
        <v>1402</v>
      </c>
    </row>
    <row r="186" spans="1:7" ht="26.1" customHeight="1">
      <c r="A186" s="431">
        <v>183</v>
      </c>
      <c r="B186" s="1002" t="s">
        <v>623</v>
      </c>
      <c r="C186" s="1002" t="s">
        <v>984</v>
      </c>
      <c r="D186" s="968" t="str">
        <f t="shared" si="2"/>
        <v>Energia solare termica, solo riscaldamento</v>
      </c>
      <c r="E186" s="432" t="s">
        <v>225</v>
      </c>
      <c r="F186" s="972" t="s">
        <v>1624</v>
      </c>
      <c r="G186" s="433" t="s">
        <v>1403</v>
      </c>
    </row>
    <row r="187" spans="1:7" ht="26.1" customHeight="1">
      <c r="A187" s="431">
        <v>184</v>
      </c>
      <c r="B187" s="1002" t="s">
        <v>623</v>
      </c>
      <c r="C187" s="1002" t="s">
        <v>985</v>
      </c>
      <c r="D187" s="968" t="str">
        <f t="shared" si="2"/>
        <v>Energia solare termica, solo ACS</v>
      </c>
      <c r="E187" s="432" t="s">
        <v>226</v>
      </c>
      <c r="F187" s="972" t="s">
        <v>1625</v>
      </c>
      <c r="G187" s="433" t="s">
        <v>1404</v>
      </c>
    </row>
    <row r="188" spans="1:7" ht="26.1" customHeight="1">
      <c r="A188" s="431">
        <v>185</v>
      </c>
      <c r="B188" s="1002" t="s">
        <v>623</v>
      </c>
      <c r="C188" s="1002" t="s">
        <v>986</v>
      </c>
      <c r="D188" s="968" t="str">
        <f t="shared" si="2"/>
        <v>Energia solare termica, risc. + ACS</v>
      </c>
      <c r="E188" s="432" t="s">
        <v>147</v>
      </c>
      <c r="F188" s="972" t="s">
        <v>1626</v>
      </c>
      <c r="G188" s="433" t="s">
        <v>1405</v>
      </c>
    </row>
    <row r="189" spans="1:7" ht="26.1" customHeight="1">
      <c r="A189" s="431">
        <v>186</v>
      </c>
      <c r="B189" s="1002" t="s">
        <v>623</v>
      </c>
      <c r="C189" s="1002" t="s">
        <v>987</v>
      </c>
      <c r="D189" s="968" t="str">
        <f t="shared" si="2"/>
        <v>Fotovoltaico</v>
      </c>
      <c r="E189" s="432" t="s">
        <v>319</v>
      </c>
      <c r="F189" s="972" t="s">
        <v>1627</v>
      </c>
      <c r="G189" s="433" t="s">
        <v>1406</v>
      </c>
    </row>
    <row r="190" spans="1:7" ht="26.1" customHeight="1">
      <c r="A190" s="431">
        <v>187</v>
      </c>
      <c r="B190" s="1002" t="s">
        <v>623</v>
      </c>
      <c r="C190" s="1002" t="s">
        <v>988</v>
      </c>
      <c r="D190" s="968" t="str">
        <f t="shared" si="2"/>
        <v>Altro</v>
      </c>
      <c r="E190" s="432" t="s">
        <v>320</v>
      </c>
      <c r="F190" s="972" t="s">
        <v>1628</v>
      </c>
      <c r="G190" s="433" t="s">
        <v>1407</v>
      </c>
    </row>
    <row r="191" spans="1:7" ht="26.1" customHeight="1">
      <c r="A191" s="431">
        <v>188</v>
      </c>
      <c r="B191" s="1002" t="s">
        <v>623</v>
      </c>
      <c r="C191" s="1002" t="s">
        <v>989</v>
      </c>
      <c r="D191" s="968" t="str">
        <f t="shared" si="2"/>
        <v>Riporto</v>
      </c>
      <c r="E191" s="432" t="s">
        <v>686</v>
      </c>
      <c r="F191" s="972" t="s">
        <v>1629</v>
      </c>
      <c r="G191" s="433" t="s">
        <v>1408</v>
      </c>
    </row>
    <row r="192" spans="1:7" ht="26.1" customHeight="1">
      <c r="A192" s="431">
        <v>189</v>
      </c>
      <c r="B192" s="1002" t="s">
        <v>623</v>
      </c>
      <c r="C192" s="1002" t="s">
        <v>990</v>
      </c>
      <c r="D192" s="968" t="str">
        <f t="shared" si="2"/>
        <v>Impianto di immissione e espulsione dell'aria con recupero di calore e PdC sull'aspirazione dell'aria</v>
      </c>
      <c r="E192" s="432" t="s">
        <v>374</v>
      </c>
      <c r="F192" s="972" t="s">
        <v>579</v>
      </c>
      <c r="G192" s="433" t="s">
        <v>1409</v>
      </c>
    </row>
    <row r="193" spans="1:7" ht="26.1" customHeight="1">
      <c r="A193" s="431">
        <v>190</v>
      </c>
      <c r="B193" s="1002" t="s">
        <v>623</v>
      </c>
      <c r="C193" s="1002" t="s">
        <v>991</v>
      </c>
      <c r="D193" s="983" t="str">
        <f t="shared" si="2"/>
        <v>Impianto di immissione e espulsione dell'aria senza recupero di calore e con PdC sull'aspirazione dell'aria</v>
      </c>
      <c r="E193" s="432" t="s">
        <v>373</v>
      </c>
      <c r="F193" s="972" t="s">
        <v>580</v>
      </c>
      <c r="G193" s="433" t="s">
        <v>1410</v>
      </c>
    </row>
    <row r="194" spans="1:7" ht="26.1" customHeight="1">
      <c r="A194" s="997">
        <v>191</v>
      </c>
      <c r="B194" s="1002" t="s">
        <v>623</v>
      </c>
      <c r="C194" s="1002" t="s">
        <v>992</v>
      </c>
      <c r="D194" s="968" t="str">
        <f t="shared" si="2"/>
        <v>Impianto d'estrazione dell'aria, senza immissione, con PdC sull'aspirazione dell'aria.</v>
      </c>
      <c r="E194" s="432" t="s">
        <v>351</v>
      </c>
      <c r="F194" s="972" t="s">
        <v>581</v>
      </c>
      <c r="G194" s="433" t="s">
        <v>1411</v>
      </c>
    </row>
    <row r="195" spans="1:7" ht="26.1" customHeight="1">
      <c r="A195" s="431">
        <v>192</v>
      </c>
      <c r="B195" s="1002" t="s">
        <v>623</v>
      </c>
      <c r="C195" s="1002" t="s">
        <v>993</v>
      </c>
      <c r="D195" s="969" t="str">
        <f t="shared" si="2"/>
        <v>PdC aria-acqua compatta con immissione e espulsione dell'aria, con recupero di calore</v>
      </c>
      <c r="E195" s="432" t="s">
        <v>358</v>
      </c>
      <c r="F195" s="972" t="s">
        <v>1630</v>
      </c>
      <c r="G195" s="433" t="s">
        <v>1412</v>
      </c>
    </row>
    <row r="196" spans="1:7" ht="26.1" customHeight="1">
      <c r="A196" s="431">
        <v>193</v>
      </c>
      <c r="B196" s="1002" t="s">
        <v>623</v>
      </c>
      <c r="C196" s="1002" t="s">
        <v>994</v>
      </c>
      <c r="D196" s="968" t="str">
        <f t="shared" si="2"/>
        <v>PdC aria-acqua compatta con immissione e espulsione dell'aria, senza recupero di calore (solo riscaldamento)</v>
      </c>
      <c r="E196" s="432" t="s">
        <v>371</v>
      </c>
      <c r="F196" s="972" t="s">
        <v>1631</v>
      </c>
      <c r="G196" s="433" t="s">
        <v>1413</v>
      </c>
    </row>
    <row r="197" spans="1:7" ht="26.1" customHeight="1">
      <c r="A197" s="431">
        <v>194</v>
      </c>
      <c r="B197" s="1002" t="s">
        <v>623</v>
      </c>
      <c r="C197" s="1002" t="s">
        <v>995</v>
      </c>
      <c r="D197" s="968" t="str">
        <f t="shared" ref="D197:D260" si="3">INDEX($E$4:$G$503,$A197,$A$1)</f>
        <v>PdC aria-acqua compatta con immissione e espulsione dell'aria, senza recupero di calore (solo ACS)</v>
      </c>
      <c r="E197" s="432" t="s">
        <v>372</v>
      </c>
      <c r="F197" s="972" t="s">
        <v>1632</v>
      </c>
      <c r="G197" s="433" t="s">
        <v>1414</v>
      </c>
    </row>
    <row r="198" spans="1:7" ht="26.1" customHeight="1">
      <c r="A198" s="431">
        <v>195</v>
      </c>
      <c r="B198" s="1002" t="s">
        <v>623</v>
      </c>
      <c r="C198" s="1002" t="s">
        <v>996</v>
      </c>
      <c r="D198" s="968" t="str">
        <f t="shared" si="3"/>
        <v>Biomassa, collegata alla rete idraulica</v>
      </c>
      <c r="E198" s="432" t="s">
        <v>499</v>
      </c>
      <c r="F198" s="972" t="s">
        <v>158</v>
      </c>
      <c r="G198" s="433" t="s">
        <v>1415</v>
      </c>
    </row>
    <row r="199" spans="1:7" ht="26.1" customHeight="1">
      <c r="A199" s="431">
        <v>196</v>
      </c>
      <c r="B199" s="1002" t="s">
        <v>623</v>
      </c>
      <c r="C199" s="1002" t="s">
        <v>997</v>
      </c>
      <c r="D199" s="968" t="str">
        <f t="shared" si="3"/>
        <v>Teleriscaldamento (&gt;75% di energie non rinnovabili)</v>
      </c>
      <c r="E199" s="432" t="s">
        <v>1240</v>
      </c>
      <c r="F199" s="972" t="s">
        <v>1633</v>
      </c>
      <c r="G199" s="433" t="s">
        <v>1505</v>
      </c>
    </row>
    <row r="200" spans="1:7" ht="26.1" customHeight="1">
      <c r="A200" s="431">
        <v>197</v>
      </c>
      <c r="B200" s="1002" t="s">
        <v>623</v>
      </c>
      <c r="C200" s="1002" t="s">
        <v>998</v>
      </c>
      <c r="D200" s="968" t="str">
        <f t="shared" si="3"/>
        <v>Teleriscaldamento (&lt;=75% di energie non rinnovabili)</v>
      </c>
      <c r="E200" s="432" t="s">
        <v>1239</v>
      </c>
      <c r="F200" s="972" t="s">
        <v>1634</v>
      </c>
      <c r="G200" s="433" t="s">
        <v>1506</v>
      </c>
    </row>
    <row r="201" spans="1:7" ht="26.1" customHeight="1">
      <c r="A201" s="431">
        <v>198</v>
      </c>
      <c r="B201" s="1002" t="s">
        <v>623</v>
      </c>
      <c r="C201" s="1002" t="s">
        <v>999</v>
      </c>
      <c r="D201" s="968" t="str">
        <f t="shared" si="3"/>
        <v>Teleriscaldamento (&lt;=25% di energie non rinnovabili)</v>
      </c>
      <c r="E201" s="432" t="s">
        <v>1238</v>
      </c>
      <c r="F201" s="972" t="s">
        <v>1635</v>
      </c>
      <c r="G201" s="433" t="s">
        <v>1507</v>
      </c>
    </row>
    <row r="202" spans="1:7" ht="26.1" customHeight="1">
      <c r="A202" s="431">
        <v>199</v>
      </c>
      <c r="B202" s="1002" t="s">
        <v>623</v>
      </c>
      <c r="C202" s="1002" t="s">
        <v>1000</v>
      </c>
      <c r="D202" s="968" t="str">
        <f t="shared" si="3"/>
        <v>Caldaia a gasolio</v>
      </c>
      <c r="E202" s="432" t="s">
        <v>203</v>
      </c>
      <c r="F202" s="972" t="s">
        <v>1597</v>
      </c>
      <c r="G202" s="433" t="s">
        <v>1379</v>
      </c>
    </row>
    <row r="203" spans="1:7" ht="26.1" customHeight="1">
      <c r="A203" s="431">
        <v>200</v>
      </c>
      <c r="B203" s="1002" t="s">
        <v>623</v>
      </c>
      <c r="C203" s="1002" t="s">
        <v>1001</v>
      </c>
      <c r="D203" s="968" t="str">
        <f t="shared" si="3"/>
        <v>Caldaia a gasolio con condensazione</v>
      </c>
      <c r="E203" s="432" t="s">
        <v>472</v>
      </c>
      <c r="F203" s="972" t="s">
        <v>1636</v>
      </c>
      <c r="G203" s="433" t="s">
        <v>1416</v>
      </c>
    </row>
    <row r="204" spans="1:7" ht="26.1" customHeight="1">
      <c r="A204" s="431">
        <v>201</v>
      </c>
      <c r="B204" s="1002" t="s">
        <v>623</v>
      </c>
      <c r="C204" s="1002" t="s">
        <v>1002</v>
      </c>
      <c r="D204" s="968" t="str">
        <f t="shared" si="3"/>
        <v>Scaldacqua a gasolio con condensazione</v>
      </c>
      <c r="E204" s="432" t="s">
        <v>473</v>
      </c>
      <c r="F204" s="972" t="s">
        <v>1637</v>
      </c>
      <c r="G204" s="433" t="s">
        <v>1417</v>
      </c>
    </row>
    <row r="205" spans="1:7" ht="26.1" customHeight="1">
      <c r="A205" s="431">
        <v>202</v>
      </c>
      <c r="B205" s="1002" t="s">
        <v>623</v>
      </c>
      <c r="C205" s="1002" t="s">
        <v>1003</v>
      </c>
      <c r="D205" s="968" t="str">
        <f t="shared" si="3"/>
        <v>Caldaia a gas</v>
      </c>
      <c r="E205" s="432" t="s">
        <v>204</v>
      </c>
      <c r="F205" s="972" t="s">
        <v>1600</v>
      </c>
      <c r="G205" s="433" t="s">
        <v>1382</v>
      </c>
    </row>
    <row r="206" spans="1:7" ht="26.1" customHeight="1">
      <c r="A206" s="431">
        <v>203</v>
      </c>
      <c r="B206" s="1002" t="s">
        <v>623</v>
      </c>
      <c r="C206" s="1002" t="s">
        <v>1004</v>
      </c>
      <c r="D206" s="968" t="str">
        <f t="shared" si="3"/>
        <v>Caldaia a gas con condensazione</v>
      </c>
      <c r="E206" s="432" t="s">
        <v>474</v>
      </c>
      <c r="F206" s="972" t="s">
        <v>1638</v>
      </c>
      <c r="G206" s="433" t="s">
        <v>1418</v>
      </c>
    </row>
    <row r="207" spans="1:7" ht="26.1" customHeight="1">
      <c r="A207" s="431">
        <v>204</v>
      </c>
      <c r="B207" s="1002" t="s">
        <v>623</v>
      </c>
      <c r="C207" s="1002" t="s">
        <v>1005</v>
      </c>
      <c r="D207" s="968" t="str">
        <f t="shared" si="3"/>
        <v>Scaldacqua a gas con condensazione</v>
      </c>
      <c r="E207" s="432" t="s">
        <v>475</v>
      </c>
      <c r="F207" s="972" t="s">
        <v>1639</v>
      </c>
      <c r="G207" s="433" t="s">
        <v>1419</v>
      </c>
    </row>
    <row r="208" spans="1:7" ht="26.1" customHeight="1">
      <c r="A208" s="431">
        <v>205</v>
      </c>
      <c r="B208" s="1002" t="s">
        <v>623</v>
      </c>
      <c r="C208" s="1002" t="s">
        <v>1006</v>
      </c>
      <c r="D208" s="968" t="str">
        <f t="shared" si="3"/>
        <v>Scaldacqua a gas</v>
      </c>
      <c r="E208" s="432" t="s">
        <v>205</v>
      </c>
      <c r="F208" s="972" t="s">
        <v>1603</v>
      </c>
      <c r="G208" s="433" t="s">
        <v>1385</v>
      </c>
    </row>
    <row r="209" spans="1:7" ht="26.1" customHeight="1">
      <c r="A209" s="431">
        <v>206</v>
      </c>
      <c r="B209" s="1002" t="s">
        <v>623</v>
      </c>
      <c r="C209" s="1002" t="s">
        <v>1007</v>
      </c>
      <c r="D209" s="968" t="str">
        <f t="shared" si="3"/>
        <v>Caldaia a legna</v>
      </c>
      <c r="E209" s="432" t="s">
        <v>318</v>
      </c>
      <c r="F209" s="972" t="s">
        <v>1604</v>
      </c>
      <c r="G209" s="433" t="s">
        <v>1420</v>
      </c>
    </row>
    <row r="210" spans="1:7" ht="26.1" customHeight="1">
      <c r="A210" s="431">
        <v>207</v>
      </c>
      <c r="B210" s="1002" t="s">
        <v>623</v>
      </c>
      <c r="C210" s="1002" t="s">
        <v>1008</v>
      </c>
      <c r="D210" s="968" t="str">
        <f t="shared" si="3"/>
        <v>Caldaia a pellet</v>
      </c>
      <c r="E210" s="432" t="s">
        <v>22</v>
      </c>
      <c r="F210" s="972" t="s">
        <v>1605</v>
      </c>
      <c r="G210" s="433" t="s">
        <v>1421</v>
      </c>
    </row>
    <row r="211" spans="1:7" ht="26.1" customHeight="1">
      <c r="A211" s="431">
        <v>208</v>
      </c>
      <c r="B211" s="1002" t="s">
        <v>623</v>
      </c>
      <c r="C211" s="1002" t="s">
        <v>1009</v>
      </c>
      <c r="D211" s="968" t="str">
        <f t="shared" si="3"/>
        <v>Teleriscaldamento (&lt;=50% non rinnovabili)</v>
      </c>
      <c r="E211" s="432" t="s">
        <v>1241</v>
      </c>
      <c r="F211" s="972" t="s">
        <v>1640</v>
      </c>
      <c r="G211" s="433" t="s">
        <v>1508</v>
      </c>
    </row>
    <row r="212" spans="1:7" ht="26.1" customHeight="1">
      <c r="A212" s="431">
        <v>209</v>
      </c>
      <c r="B212" s="1002" t="s">
        <v>623</v>
      </c>
      <c r="C212" s="1002" t="s">
        <v>1010</v>
      </c>
      <c r="D212" s="968" t="str">
        <f t="shared" si="3"/>
        <v>Riscaldamento elettrico diretto centralizzato</v>
      </c>
      <c r="E212" s="432" t="s">
        <v>186</v>
      </c>
      <c r="F212" s="972" t="s">
        <v>1607</v>
      </c>
      <c r="G212" s="433" t="s">
        <v>1388</v>
      </c>
    </row>
    <row r="213" spans="1:7" ht="26.1" customHeight="1">
      <c r="A213" s="431">
        <v>210</v>
      </c>
      <c r="B213" s="1002" t="s">
        <v>623</v>
      </c>
      <c r="C213" s="1002" t="s">
        <v>1011</v>
      </c>
      <c r="D213" s="968" t="str">
        <f t="shared" si="3"/>
        <v>Elettrico diretto</v>
      </c>
      <c r="E213" s="432" t="s">
        <v>45</v>
      </c>
      <c r="F213" s="972" t="s">
        <v>1608</v>
      </c>
      <c r="G213" s="433" t="s">
        <v>1389</v>
      </c>
    </row>
    <row r="214" spans="1:7" ht="26.1" customHeight="1">
      <c r="A214" s="431">
        <v>211</v>
      </c>
      <c r="B214" s="1002" t="s">
        <v>623</v>
      </c>
      <c r="C214" s="1002" t="s">
        <v>1012</v>
      </c>
      <c r="D214" s="968" t="str">
        <f t="shared" si="3"/>
        <v>Scaldacqua elettrico</v>
      </c>
      <c r="E214" s="432" t="s">
        <v>145</v>
      </c>
      <c r="F214" s="972" t="s">
        <v>1609</v>
      </c>
      <c r="G214" s="433" t="s">
        <v>1390</v>
      </c>
    </row>
    <row r="215" spans="1:7" ht="26.1" customHeight="1">
      <c r="A215" s="431">
        <v>212</v>
      </c>
      <c r="B215" s="1002" t="s">
        <v>623</v>
      </c>
      <c r="C215" s="1002" t="s">
        <v>1013</v>
      </c>
      <c r="D215" s="968" t="str">
        <f t="shared" si="3"/>
        <v>Cogenerazione - termico+elettrico</v>
      </c>
      <c r="E215" s="432" t="s">
        <v>384</v>
      </c>
      <c r="F215" s="972" t="s">
        <v>1610</v>
      </c>
      <c r="G215" s="433" t="s">
        <v>1422</v>
      </c>
    </row>
    <row r="216" spans="1:7" ht="26.1" customHeight="1">
      <c r="A216" s="431">
        <v>213</v>
      </c>
      <c r="B216" s="1002" t="s">
        <v>623</v>
      </c>
      <c r="C216" s="1002" t="s">
        <v>1014</v>
      </c>
      <c r="D216" s="968" t="str">
        <f t="shared" si="3"/>
        <v>Cogenerazione a legna - termico+elettrico</v>
      </c>
      <c r="E216" s="432" t="s">
        <v>460</v>
      </c>
      <c r="F216" s="972" t="s">
        <v>1611</v>
      </c>
      <c r="G216" s="433" t="s">
        <v>1423</v>
      </c>
    </row>
    <row r="217" spans="1:7" ht="26.1" customHeight="1">
      <c r="A217" s="431">
        <v>214</v>
      </c>
      <c r="B217" s="1002" t="s">
        <v>623</v>
      </c>
      <c r="C217" s="1002" t="s">
        <v>1015</v>
      </c>
      <c r="D217" s="968" t="str">
        <f t="shared" si="3"/>
        <v>PdC ad aria, riscaldamento</v>
      </c>
      <c r="E217" s="432" t="s">
        <v>476</v>
      </c>
      <c r="F217" s="972" t="s">
        <v>1641</v>
      </c>
      <c r="G217" s="433" t="s">
        <v>1424</v>
      </c>
    </row>
    <row r="218" spans="1:7" ht="26.1" customHeight="1">
      <c r="A218" s="431">
        <v>215</v>
      </c>
      <c r="B218" s="1002" t="s">
        <v>623</v>
      </c>
      <c r="C218" s="1002" t="s">
        <v>1016</v>
      </c>
      <c r="D218" s="968" t="str">
        <f t="shared" si="3"/>
        <v>PdC ad aria, ACS</v>
      </c>
      <c r="E218" s="432" t="s">
        <v>477</v>
      </c>
      <c r="F218" s="972" t="s">
        <v>1642</v>
      </c>
      <c r="G218" s="433" t="s">
        <v>1425</v>
      </c>
    </row>
    <row r="219" spans="1:7" ht="26.1" customHeight="1">
      <c r="A219" s="431">
        <v>216</v>
      </c>
      <c r="B219" s="1002" t="s">
        <v>623</v>
      </c>
      <c r="C219" s="1002" t="s">
        <v>1017</v>
      </c>
      <c r="D219" s="968" t="str">
        <f t="shared" si="3"/>
        <v>PdC con sonde geotermiche, riscaldamento</v>
      </c>
      <c r="E219" s="432" t="s">
        <v>148</v>
      </c>
      <c r="F219" s="972" t="s">
        <v>1643</v>
      </c>
      <c r="G219" s="433" t="s">
        <v>1426</v>
      </c>
    </row>
    <row r="220" spans="1:7" ht="26.1" customHeight="1">
      <c r="A220" s="431">
        <v>217</v>
      </c>
      <c r="B220" s="1002" t="s">
        <v>623</v>
      </c>
      <c r="C220" s="1002" t="s">
        <v>1018</v>
      </c>
      <c r="D220" s="968" t="str">
        <f t="shared" si="3"/>
        <v>PdC con sonde geotermiche, ACS</v>
      </c>
      <c r="E220" s="432" t="s">
        <v>149</v>
      </c>
      <c r="F220" s="972" t="s">
        <v>1644</v>
      </c>
      <c r="G220" s="433" t="s">
        <v>1427</v>
      </c>
    </row>
    <row r="221" spans="1:7" ht="26.1" customHeight="1">
      <c r="A221" s="431">
        <v>218</v>
      </c>
      <c r="B221" s="1002" t="s">
        <v>623</v>
      </c>
      <c r="C221" s="1002" t="s">
        <v>1019</v>
      </c>
      <c r="D221" s="968" t="str">
        <f t="shared" si="3"/>
        <v>PdC con acqua di scarico, riscaldamento</v>
      </c>
      <c r="E221" s="432" t="s">
        <v>150</v>
      </c>
      <c r="F221" s="972" t="s">
        <v>1645</v>
      </c>
      <c r="G221" s="433" t="s">
        <v>1428</v>
      </c>
    </row>
    <row r="222" spans="1:7" ht="26.1" customHeight="1">
      <c r="A222" s="431">
        <v>219</v>
      </c>
      <c r="B222" s="1002" t="s">
        <v>623</v>
      </c>
      <c r="C222" s="1002" t="s">
        <v>1020</v>
      </c>
      <c r="D222" s="968" t="str">
        <f t="shared" si="3"/>
        <v>PdC con acqua di scarico, ACS</v>
      </c>
      <c r="E222" s="432" t="s">
        <v>151</v>
      </c>
      <c r="F222" s="972" t="s">
        <v>1646</v>
      </c>
      <c r="G222" s="433" t="s">
        <v>1429</v>
      </c>
    </row>
    <row r="223" spans="1:7" ht="26.1" customHeight="1">
      <c r="A223" s="431">
        <v>220</v>
      </c>
      <c r="B223" s="1002" t="s">
        <v>623</v>
      </c>
      <c r="C223" s="1002" t="s">
        <v>1021</v>
      </c>
      <c r="D223" s="968" t="str">
        <f t="shared" si="3"/>
        <v>PdC ad acqua, riscaldamento</v>
      </c>
      <c r="E223" s="432" t="s">
        <v>146</v>
      </c>
      <c r="F223" s="972" t="s">
        <v>1647</v>
      </c>
      <c r="G223" s="433" t="s">
        <v>1430</v>
      </c>
    </row>
    <row r="224" spans="1:7" ht="26.1" customHeight="1">
      <c r="A224" s="431">
        <v>221</v>
      </c>
      <c r="B224" s="1002" t="s">
        <v>623</v>
      </c>
      <c r="C224" s="1002" t="s">
        <v>1022</v>
      </c>
      <c r="D224" s="968" t="str">
        <f t="shared" si="3"/>
        <v>PdC ad acqua, ACS</v>
      </c>
      <c r="E224" s="432" t="s">
        <v>152</v>
      </c>
      <c r="F224" s="972" t="s">
        <v>1648</v>
      </c>
      <c r="G224" s="433" t="s">
        <v>1431</v>
      </c>
    </row>
    <row r="225" spans="1:7" ht="26.1" customHeight="1">
      <c r="A225" s="431">
        <v>222</v>
      </c>
      <c r="B225" s="1002" t="s">
        <v>623</v>
      </c>
      <c r="C225" s="1002" t="s">
        <v>1023</v>
      </c>
      <c r="D225" s="968" t="str">
        <f t="shared" si="3"/>
        <v>PdC con acqua di falda, diretto, riscaldamento</v>
      </c>
      <c r="E225" s="432" t="s">
        <v>521</v>
      </c>
      <c r="F225" s="972" t="s">
        <v>1649</v>
      </c>
      <c r="G225" s="433" t="s">
        <v>1432</v>
      </c>
    </row>
    <row r="226" spans="1:7" ht="26.1" customHeight="1">
      <c r="A226" s="431">
        <v>223</v>
      </c>
      <c r="B226" s="1002" t="s">
        <v>623</v>
      </c>
      <c r="C226" s="1002" t="s">
        <v>1024</v>
      </c>
      <c r="D226" s="968" t="str">
        <f t="shared" si="3"/>
        <v>PdC con acqua di falda, diretto, ACS</v>
      </c>
      <c r="E226" s="432" t="s">
        <v>522</v>
      </c>
      <c r="F226" s="972" t="s">
        <v>1650</v>
      </c>
      <c r="G226" s="433" t="s">
        <v>1433</v>
      </c>
    </row>
    <row r="227" spans="1:7" ht="26.1" customHeight="1">
      <c r="A227" s="431">
        <v>224</v>
      </c>
      <c r="B227" s="1002" t="s">
        <v>623</v>
      </c>
      <c r="C227" s="1002" t="s">
        <v>1025</v>
      </c>
      <c r="D227" s="968" t="str">
        <f t="shared" si="3"/>
        <v>PdC con acqua di falda, indiretto, riscaldamento</v>
      </c>
      <c r="E227" s="432" t="s">
        <v>261</v>
      </c>
      <c r="F227" s="972" t="s">
        <v>1651</v>
      </c>
      <c r="G227" s="433" t="s">
        <v>1434</v>
      </c>
    </row>
    <row r="228" spans="1:7" ht="26.1" customHeight="1">
      <c r="A228" s="431">
        <v>225</v>
      </c>
      <c r="B228" s="1002" t="s">
        <v>623</v>
      </c>
      <c r="C228" s="1002" t="s">
        <v>1026</v>
      </c>
      <c r="D228" s="968" t="str">
        <f t="shared" si="3"/>
        <v>PdC con acqua di falda, indiretto, ACS</v>
      </c>
      <c r="E228" s="432" t="s">
        <v>438</v>
      </c>
      <c r="F228" s="972" t="s">
        <v>1652</v>
      </c>
      <c r="G228" s="433" t="s">
        <v>1435</v>
      </c>
    </row>
    <row r="229" spans="1:7" ht="26.1" customHeight="1">
      <c r="A229" s="431">
        <v>226</v>
      </c>
      <c r="B229" s="1002" t="s">
        <v>623</v>
      </c>
      <c r="C229" s="1002" t="s">
        <v>1027</v>
      </c>
      <c r="D229" s="968" t="str">
        <f t="shared" si="3"/>
        <v>PdC con fasci di tubi orizzontali, riscaldamento</v>
      </c>
      <c r="E229" s="432" t="s">
        <v>259</v>
      </c>
      <c r="F229" s="972" t="s">
        <v>1653</v>
      </c>
      <c r="G229" s="433" t="s">
        <v>1436</v>
      </c>
    </row>
    <row r="230" spans="1:7" ht="25.95" customHeight="1">
      <c r="A230" s="431">
        <v>227</v>
      </c>
      <c r="B230" s="1002" t="s">
        <v>623</v>
      </c>
      <c r="C230" s="1002" t="s">
        <v>1028</v>
      </c>
      <c r="D230" s="968" t="str">
        <f t="shared" si="3"/>
        <v>PdC con fasci di tubi orizzontali, ACS</v>
      </c>
      <c r="E230" s="432" t="s">
        <v>260</v>
      </c>
      <c r="F230" s="972" t="s">
        <v>1654</v>
      </c>
      <c r="G230" s="433" t="s">
        <v>1437</v>
      </c>
    </row>
    <row r="231" spans="1:7" ht="25.95" customHeight="1">
      <c r="A231" s="431">
        <v>228</v>
      </c>
      <c r="B231" s="1002" t="s">
        <v>623</v>
      </c>
      <c r="C231" s="1002" t="s">
        <v>1029</v>
      </c>
      <c r="D231" s="968" t="str">
        <f t="shared" si="3"/>
        <v>Energia solare termica per riscaldamento</v>
      </c>
      <c r="E231" s="432" t="s">
        <v>322</v>
      </c>
      <c r="F231" s="972" t="s">
        <v>1655</v>
      </c>
      <c r="G231" s="433" t="s">
        <v>1438</v>
      </c>
    </row>
    <row r="232" spans="1:7" ht="25.95" customHeight="1">
      <c r="A232" s="431">
        <v>229</v>
      </c>
      <c r="B232" s="1002" t="s">
        <v>623</v>
      </c>
      <c r="C232" s="1002" t="s">
        <v>1030</v>
      </c>
      <c r="D232" s="968" t="str">
        <f t="shared" si="3"/>
        <v>Energia solare termica per ACS</v>
      </c>
      <c r="E232" s="432" t="s">
        <v>523</v>
      </c>
      <c r="F232" s="972" t="s">
        <v>1656</v>
      </c>
      <c r="G232" s="433" t="s">
        <v>1439</v>
      </c>
    </row>
    <row r="233" spans="1:7" ht="25.95" customHeight="1">
      <c r="A233" s="431">
        <v>230</v>
      </c>
      <c r="B233" s="1002" t="s">
        <v>623</v>
      </c>
      <c r="C233" s="1002" t="s">
        <v>1031</v>
      </c>
      <c r="D233" s="968" t="str">
        <f t="shared" si="3"/>
        <v>Energia solare per riscaldamento + ACS</v>
      </c>
      <c r="E233" s="432" t="s">
        <v>524</v>
      </c>
      <c r="F233" s="972" t="s">
        <v>1626</v>
      </c>
      <c r="G233" s="433" t="s">
        <v>1440</v>
      </c>
    </row>
    <row r="234" spans="1:7" ht="25.95" customHeight="1">
      <c r="A234" s="431">
        <v>231</v>
      </c>
      <c r="B234" s="1002" t="s">
        <v>623</v>
      </c>
      <c r="C234" s="1002" t="s">
        <v>1032</v>
      </c>
      <c r="D234" s="968" t="str">
        <f t="shared" si="3"/>
        <v>Fotovoltaico</v>
      </c>
      <c r="E234" s="432" t="s">
        <v>319</v>
      </c>
      <c r="F234" s="972" t="s">
        <v>1627</v>
      </c>
      <c r="G234" s="433" t="s">
        <v>1406</v>
      </c>
    </row>
    <row r="235" spans="1:7" ht="25.95" customHeight="1">
      <c r="A235" s="431">
        <v>232</v>
      </c>
      <c r="B235" s="1002" t="s">
        <v>623</v>
      </c>
      <c r="C235" s="1002" t="s">
        <v>1033</v>
      </c>
      <c r="D235" s="968" t="str">
        <f t="shared" si="3"/>
        <v>Altro</v>
      </c>
      <c r="E235" s="432" t="s">
        <v>320</v>
      </c>
      <c r="F235" s="972" t="s">
        <v>1628</v>
      </c>
      <c r="G235" s="433" t="s">
        <v>1407</v>
      </c>
    </row>
    <row r="236" spans="1:7" ht="25.95" customHeight="1">
      <c r="A236" s="431">
        <v>233</v>
      </c>
      <c r="B236" s="1002" t="s">
        <v>623</v>
      </c>
      <c r="C236" s="1002" t="s">
        <v>1034</v>
      </c>
      <c r="D236" s="968" t="str">
        <f t="shared" si="3"/>
        <v>Riporto</v>
      </c>
      <c r="E236" s="432" t="s">
        <v>686</v>
      </c>
      <c r="F236" s="972" t="s">
        <v>1629</v>
      </c>
      <c r="G236" s="433" t="s">
        <v>1408</v>
      </c>
    </row>
    <row r="237" spans="1:7" ht="25.95" customHeight="1">
      <c r="A237" s="431">
        <v>234</v>
      </c>
      <c r="B237" s="1002" t="s">
        <v>623</v>
      </c>
      <c r="C237" s="1002" t="s">
        <v>1035</v>
      </c>
      <c r="D237" s="968" t="str">
        <f t="shared" si="3"/>
        <v>Impianto di immissione e espulsione dell'aria con recupero di calore e PdC sull'aspirazione dell'aria</v>
      </c>
      <c r="E237" s="432" t="s">
        <v>375</v>
      </c>
      <c r="F237" s="972" t="s">
        <v>586</v>
      </c>
      <c r="G237" s="433" t="s">
        <v>1409</v>
      </c>
    </row>
    <row r="238" spans="1:7" ht="25.95" customHeight="1">
      <c r="A238" s="431">
        <v>235</v>
      </c>
      <c r="B238" s="1002" t="s">
        <v>623</v>
      </c>
      <c r="C238" s="1002" t="s">
        <v>1036</v>
      </c>
      <c r="D238" s="968" t="str">
        <f t="shared" si="3"/>
        <v>Impianto di immissione e espulsione dell'aria senza recupero di calore e con PdC sull'aspirazione dell'aria</v>
      </c>
      <c r="E238" s="432" t="s">
        <v>376</v>
      </c>
      <c r="F238" s="972" t="s">
        <v>587</v>
      </c>
      <c r="G238" s="433" t="s">
        <v>1410</v>
      </c>
    </row>
    <row r="239" spans="1:7" ht="25.95" customHeight="1">
      <c r="A239" s="431">
        <v>236</v>
      </c>
      <c r="B239" s="1002" t="s">
        <v>623</v>
      </c>
      <c r="C239" s="1002" t="s">
        <v>1037</v>
      </c>
      <c r="D239" s="968" t="str">
        <f t="shared" si="3"/>
        <v>Impianto d'estrazione dell'aria, senza immissione, con PdC sull'aspirazione dell'aria</v>
      </c>
      <c r="E239" s="432" t="s">
        <v>39</v>
      </c>
      <c r="F239" s="972" t="s">
        <v>588</v>
      </c>
      <c r="G239" s="433" t="s">
        <v>1441</v>
      </c>
    </row>
    <row r="240" spans="1:7" ht="25.95" customHeight="1">
      <c r="A240" s="431">
        <v>237</v>
      </c>
      <c r="B240" s="1002" t="s">
        <v>623</v>
      </c>
      <c r="C240" s="1002" t="s">
        <v>1038</v>
      </c>
      <c r="D240" s="968" t="str">
        <f t="shared" si="3"/>
        <v>PdC compatta + RC</v>
      </c>
      <c r="E240" s="432" t="s">
        <v>377</v>
      </c>
      <c r="F240" s="972" t="s">
        <v>589</v>
      </c>
      <c r="G240" s="433" t="s">
        <v>1442</v>
      </c>
    </row>
    <row r="241" spans="1:7" ht="25.95" customHeight="1">
      <c r="A241" s="431">
        <v>238</v>
      </c>
      <c r="B241" s="1002" t="s">
        <v>623</v>
      </c>
      <c r="C241" s="1002" t="s">
        <v>1039</v>
      </c>
      <c r="D241" s="968" t="str">
        <f t="shared" si="3"/>
        <v>PdC compatta senza RC, risc.</v>
      </c>
      <c r="E241" s="432" t="s">
        <v>378</v>
      </c>
      <c r="F241" s="972" t="s">
        <v>590</v>
      </c>
      <c r="G241" s="433" t="s">
        <v>1443</v>
      </c>
    </row>
    <row r="242" spans="1:7" ht="25.95" customHeight="1">
      <c r="A242" s="431">
        <v>239</v>
      </c>
      <c r="B242" s="1002" t="s">
        <v>623</v>
      </c>
      <c r="C242" s="1002" t="s">
        <v>1040</v>
      </c>
      <c r="D242" s="968" t="str">
        <f t="shared" si="3"/>
        <v>PdC compatta senza RC, ACS</v>
      </c>
      <c r="E242" s="432" t="s">
        <v>357</v>
      </c>
      <c r="F242" s="972" t="s">
        <v>1657</v>
      </c>
      <c r="G242" s="433" t="s">
        <v>1444</v>
      </c>
    </row>
    <row r="243" spans="1:7" ht="26.1" customHeight="1">
      <c r="A243" s="431">
        <v>240</v>
      </c>
      <c r="B243" s="1002" t="s">
        <v>623</v>
      </c>
      <c r="C243" s="1002" t="s">
        <v>1041</v>
      </c>
      <c r="D243" s="968" t="str">
        <f t="shared" si="3"/>
        <v>Biomassa, collegata</v>
      </c>
      <c r="E243" s="432" t="s">
        <v>498</v>
      </c>
      <c r="F243" s="972" t="s">
        <v>157</v>
      </c>
      <c r="G243" s="433" t="s">
        <v>1445</v>
      </c>
    </row>
    <row r="244" spans="1:7" ht="25.95" customHeight="1">
      <c r="A244" s="431">
        <v>241</v>
      </c>
      <c r="B244" s="1002" t="s">
        <v>623</v>
      </c>
      <c r="C244" s="1002" t="s">
        <v>1042</v>
      </c>
      <c r="D244" s="968" t="str">
        <f t="shared" si="3"/>
        <v>Teleriscaldamento (&gt;75% non rinnovabili)</v>
      </c>
      <c r="E244" s="432" t="s">
        <v>1235</v>
      </c>
      <c r="F244" s="972" t="s">
        <v>1658</v>
      </c>
      <c r="G244" s="433" t="s">
        <v>1509</v>
      </c>
    </row>
    <row r="245" spans="1:7" ht="25.95" customHeight="1">
      <c r="A245" s="431">
        <v>242</v>
      </c>
      <c r="B245" s="1002" t="s">
        <v>623</v>
      </c>
      <c r="C245" s="1002" t="s">
        <v>1043</v>
      </c>
      <c r="D245" s="968" t="str">
        <f t="shared" si="3"/>
        <v>Teleriscaldamento (&lt;=75% non rinnovabili)</v>
      </c>
      <c r="E245" s="432" t="s">
        <v>1237</v>
      </c>
      <c r="F245" s="972" t="s">
        <v>1659</v>
      </c>
      <c r="G245" s="433" t="s">
        <v>1510</v>
      </c>
    </row>
    <row r="246" spans="1:7" ht="25.95" customHeight="1">
      <c r="A246" s="431">
        <v>243</v>
      </c>
      <c r="B246" s="1002" t="s">
        <v>623</v>
      </c>
      <c r="C246" s="1002" t="s">
        <v>1044</v>
      </c>
      <c r="D246" s="968" t="str">
        <f t="shared" si="3"/>
        <v>Teleriscaldamento (&lt;=25% non rinnovabili)</v>
      </c>
      <c r="E246" s="432" t="s">
        <v>1236</v>
      </c>
      <c r="F246" s="972" t="s">
        <v>1660</v>
      </c>
      <c r="G246" s="433" t="s">
        <v>1511</v>
      </c>
    </row>
    <row r="247" spans="1:7" ht="25.95" customHeight="1">
      <c r="A247" s="431">
        <v>244</v>
      </c>
      <c r="B247" s="1002" t="s">
        <v>623</v>
      </c>
      <c r="C247" s="1002" t="s">
        <v>1245</v>
      </c>
      <c r="D247" s="968" t="str">
        <f t="shared" si="3"/>
        <v>L'elettricità per la PdC ha un fattore di ponderazione g=2</v>
      </c>
      <c r="E247" s="432" t="s">
        <v>1246</v>
      </c>
      <c r="F247" s="972" t="s">
        <v>1713</v>
      </c>
      <c r="G247" s="433" t="s">
        <v>1512</v>
      </c>
    </row>
    <row r="248" spans="1:7" ht="25.95" customHeight="1">
      <c r="A248" s="431">
        <v>245</v>
      </c>
      <c r="D248" s="968">
        <f t="shared" si="3"/>
        <v>0</v>
      </c>
    </row>
    <row r="249" spans="1:7" ht="25.95" customHeight="1">
      <c r="A249" s="431">
        <v>246</v>
      </c>
      <c r="B249" s="1002" t="s">
        <v>623</v>
      </c>
      <c r="C249" s="1002" t="s">
        <v>1046</v>
      </c>
      <c r="D249" s="968" t="str">
        <f t="shared" si="3"/>
        <v>Rendimento elettrico (allegare il calcolo)</v>
      </c>
      <c r="E249" s="432" t="s">
        <v>751</v>
      </c>
      <c r="F249" s="972" t="s">
        <v>1661</v>
      </c>
      <c r="G249" s="433" t="s">
        <v>1446</v>
      </c>
    </row>
    <row r="250" spans="1:7" ht="25.95" customHeight="1">
      <c r="A250" s="431">
        <v>247</v>
      </c>
      <c r="B250" s="1002" t="s">
        <v>623</v>
      </c>
      <c r="C250" s="1002" t="s">
        <v>1047</v>
      </c>
      <c r="D250" s="968" t="str">
        <f t="shared" si="3"/>
        <v>Superficie dell'assorbitore [m2]</v>
      </c>
      <c r="E250" s="432" t="s">
        <v>752</v>
      </c>
      <c r="F250" s="972" t="s">
        <v>1662</v>
      </c>
      <c r="G250" s="433" t="s">
        <v>1447</v>
      </c>
    </row>
    <row r="251" spans="1:7" ht="25.95" customHeight="1">
      <c r="A251" s="431">
        <v>248</v>
      </c>
      <c r="B251" s="1002" t="s">
        <v>623</v>
      </c>
      <c r="C251" s="1002" t="s">
        <v>1048</v>
      </c>
      <c r="D251" s="968" t="str">
        <f t="shared" si="3"/>
        <v>Potenza nominale (kWp)</v>
      </c>
      <c r="E251" s="432" t="s">
        <v>754</v>
      </c>
      <c r="F251" s="972" t="s">
        <v>1663</v>
      </c>
      <c r="G251" s="433" t="s">
        <v>1448</v>
      </c>
    </row>
    <row r="252" spans="1:7" ht="25.95" customHeight="1">
      <c r="A252" s="431">
        <v>249</v>
      </c>
      <c r="B252" s="1002" t="s">
        <v>623</v>
      </c>
      <c r="C252" s="1002" t="s">
        <v>1049</v>
      </c>
      <c r="D252" s="968" t="str">
        <f t="shared" si="3"/>
        <v>Produzione netta per m2 di assorbitore [kWh/m2]</v>
      </c>
      <c r="E252" s="432" t="s">
        <v>753</v>
      </c>
      <c r="F252" s="972" t="s">
        <v>1664</v>
      </c>
      <c r="G252" s="433" t="s">
        <v>1449</v>
      </c>
    </row>
    <row r="253" spans="1:7" ht="25.95" customHeight="1">
      <c r="A253" s="431">
        <v>250</v>
      </c>
      <c r="B253" s="1002" t="s">
        <v>623</v>
      </c>
      <c r="C253" s="1002" t="s">
        <v>1050</v>
      </c>
      <c r="D253" s="968" t="str">
        <f t="shared" si="3"/>
        <v>Produzione annuale netta [kWh/kWp] (allegare il calcolo)</v>
      </c>
      <c r="E253" s="432" t="s">
        <v>1165</v>
      </c>
      <c r="F253" s="972" t="s">
        <v>1665</v>
      </c>
      <c r="G253" s="433" t="s">
        <v>1450</v>
      </c>
    </row>
    <row r="254" spans="1:7" ht="25.95" customHeight="1">
      <c r="A254" s="431">
        <v>251</v>
      </c>
      <c r="B254" s="1002" t="s">
        <v>623</v>
      </c>
      <c r="C254" s="1002" t="s">
        <v>938</v>
      </c>
      <c r="D254" s="968" t="str">
        <f t="shared" si="3"/>
        <v>Motore AC</v>
      </c>
      <c r="E254" s="432" t="s">
        <v>644</v>
      </c>
      <c r="F254" s="972" t="s">
        <v>1584</v>
      </c>
      <c r="G254" s="433" t="s">
        <v>1332</v>
      </c>
    </row>
    <row r="255" spans="1:7" ht="25.95" customHeight="1">
      <c r="A255" s="431">
        <v>252</v>
      </c>
      <c r="B255" s="1002" t="s">
        <v>623</v>
      </c>
      <c r="C255" s="1002" t="s">
        <v>939</v>
      </c>
      <c r="D255" s="968" t="str">
        <f t="shared" si="3"/>
        <v>Motore DC/EC</v>
      </c>
      <c r="E255" s="432" t="s">
        <v>645</v>
      </c>
      <c r="F255" s="972" t="s">
        <v>1585</v>
      </c>
      <c r="G255" s="433" t="s">
        <v>1333</v>
      </c>
    </row>
    <row r="256" spans="1:7" ht="25.95" customHeight="1">
      <c r="A256" s="431">
        <v>253</v>
      </c>
      <c r="B256" s="1002" t="s">
        <v>707</v>
      </c>
      <c r="C256" s="1002" t="s">
        <v>1045</v>
      </c>
      <c r="D256" s="968" t="str">
        <f t="shared" si="3"/>
        <v>Produzione di calore:</v>
      </c>
      <c r="E256" s="432" t="s">
        <v>161</v>
      </c>
      <c r="F256" s="972" t="s">
        <v>1666</v>
      </c>
      <c r="G256" s="433" t="s">
        <v>1451</v>
      </c>
    </row>
    <row r="257" spans="1:7" ht="25.95" customHeight="1">
      <c r="A257" s="431">
        <v>254</v>
      </c>
      <c r="B257" s="1002" t="s">
        <v>707</v>
      </c>
      <c r="C257" s="1002" t="s">
        <v>1051</v>
      </c>
      <c r="D257" s="968" t="str">
        <f t="shared" si="3"/>
        <v>Rendimento / CLA</v>
      </c>
      <c r="E257" s="432" t="s">
        <v>779</v>
      </c>
      <c r="F257" s="972" t="s">
        <v>1667</v>
      </c>
      <c r="G257" s="433" t="s">
        <v>3303</v>
      </c>
    </row>
    <row r="258" spans="1:7" ht="25.95" customHeight="1">
      <c r="A258" s="431">
        <v>255</v>
      </c>
      <c r="B258" s="1002" t="s">
        <v>707</v>
      </c>
      <c r="C258" s="1002" t="s">
        <v>1052</v>
      </c>
      <c r="D258" s="968" t="str">
        <f t="shared" si="3"/>
        <v>Tasso di copertura [%]</v>
      </c>
      <c r="E258" s="432" t="s">
        <v>315</v>
      </c>
      <c r="F258" s="972" t="s">
        <v>1668</v>
      </c>
      <c r="G258" s="433" t="s">
        <v>1452</v>
      </c>
    </row>
    <row r="259" spans="1:7" ht="25.95" customHeight="1">
      <c r="A259" s="431">
        <v>256</v>
      </c>
      <c r="B259" s="1002" t="s">
        <v>707</v>
      </c>
      <c r="C259" s="1002" t="s">
        <v>851</v>
      </c>
      <c r="D259" s="968" t="str">
        <f t="shared" si="3"/>
        <v>Produzione di calore A</v>
      </c>
      <c r="E259" s="432" t="s">
        <v>324</v>
      </c>
      <c r="F259" s="972" t="s">
        <v>1669</v>
      </c>
      <c r="G259" s="433" t="s">
        <v>1453</v>
      </c>
    </row>
    <row r="260" spans="1:7" ht="25.95" customHeight="1">
      <c r="A260" s="431">
        <v>257</v>
      </c>
      <c r="B260" s="1002" t="s">
        <v>707</v>
      </c>
      <c r="C260" s="1002" t="s">
        <v>1054</v>
      </c>
      <c r="D260" s="968" t="str">
        <f t="shared" si="3"/>
        <v>Produzione di calore B</v>
      </c>
      <c r="E260" s="432" t="s">
        <v>327</v>
      </c>
      <c r="F260" s="972" t="s">
        <v>1670</v>
      </c>
      <c r="G260" s="433" t="s">
        <v>1454</v>
      </c>
    </row>
    <row r="261" spans="1:7" ht="25.95" customHeight="1">
      <c r="A261" s="431">
        <v>258</v>
      </c>
      <c r="B261" s="1002" t="s">
        <v>707</v>
      </c>
      <c r="C261" s="1002" t="s">
        <v>858</v>
      </c>
      <c r="D261" s="968" t="str">
        <f t="shared" ref="D261:D324" si="4">INDEX($E$4:$G$503,$A261,$A$1)</f>
        <v>Produzione di calore C</v>
      </c>
      <c r="E261" s="432" t="s">
        <v>326</v>
      </c>
      <c r="F261" s="972" t="s">
        <v>1671</v>
      </c>
      <c r="G261" s="433" t="s">
        <v>1455</v>
      </c>
    </row>
    <row r="262" spans="1:7" ht="25.95" customHeight="1">
      <c r="A262" s="431">
        <v>259</v>
      </c>
      <c r="B262" s="1002" t="s">
        <v>707</v>
      </c>
      <c r="C262" s="1002" t="s">
        <v>489</v>
      </c>
      <c r="D262" s="968" t="str">
        <f t="shared" si="4"/>
        <v>Produzione di calore D</v>
      </c>
      <c r="E262" s="432" t="s">
        <v>325</v>
      </c>
      <c r="F262" s="972" t="s">
        <v>1672</v>
      </c>
      <c r="G262" s="433" t="s">
        <v>1456</v>
      </c>
    </row>
    <row r="263" spans="1:7" ht="25.95" customHeight="1">
      <c r="A263" s="431">
        <v>260</v>
      </c>
      <c r="B263" s="1002" t="s">
        <v>707</v>
      </c>
      <c r="C263" s="1002" t="s">
        <v>852</v>
      </c>
      <c r="D263" s="968" t="str">
        <f t="shared" si="4"/>
        <v>Valore</v>
      </c>
      <c r="E263" s="432" t="s">
        <v>740</v>
      </c>
      <c r="F263" s="972" t="s">
        <v>1673</v>
      </c>
      <c r="G263" s="433" t="s">
        <v>1457</v>
      </c>
    </row>
    <row r="264" spans="1:7" ht="25.95" customHeight="1">
      <c r="A264" s="431">
        <v>261</v>
      </c>
      <c r="B264" s="1002" t="s">
        <v>707</v>
      </c>
      <c r="C264" s="1002" t="s">
        <v>1055</v>
      </c>
      <c r="D264" s="968" t="str">
        <f t="shared" si="4"/>
        <v>Valore utilizz.</v>
      </c>
      <c r="E264" s="432" t="s">
        <v>741</v>
      </c>
      <c r="F264" s="972" t="s">
        <v>1674</v>
      </c>
      <c r="G264" s="433" t="s">
        <v>1458</v>
      </c>
    </row>
    <row r="265" spans="1:7" ht="25.95" customHeight="1">
      <c r="A265" s="431">
        <v>262</v>
      </c>
      <c r="B265" s="1002" t="s">
        <v>707</v>
      </c>
      <c r="C265" s="1002" t="s">
        <v>1053</v>
      </c>
      <c r="D265" s="968" t="str">
        <f t="shared" si="4"/>
        <v>Riscaldam.</v>
      </c>
      <c r="E265" s="432" t="s">
        <v>243</v>
      </c>
      <c r="F265" s="972" t="s">
        <v>1675</v>
      </c>
      <c r="G265" s="433" t="s">
        <v>1459</v>
      </c>
    </row>
    <row r="266" spans="1:7" ht="25.95" customHeight="1">
      <c r="A266" s="431">
        <v>263</v>
      </c>
      <c r="B266" s="1002" t="s">
        <v>707</v>
      </c>
      <c r="C266" s="1002" t="s">
        <v>711</v>
      </c>
      <c r="D266" s="968" t="str">
        <f t="shared" si="4"/>
        <v>Acqua calda</v>
      </c>
      <c r="E266" s="432" t="s">
        <v>244</v>
      </c>
      <c r="F266" s="972" t="s">
        <v>1676</v>
      </c>
      <c r="G266" s="433" t="s">
        <v>1460</v>
      </c>
    </row>
    <row r="267" spans="1:7" ht="25.95" customHeight="1">
      <c r="A267" s="431">
        <v>264</v>
      </c>
      <c r="B267" s="1002" t="s">
        <v>707</v>
      </c>
      <c r="C267" s="1002" t="s">
        <v>551</v>
      </c>
      <c r="D267" s="968" t="str">
        <f t="shared" si="4"/>
        <v>Riporto da altre produzioni di calore</v>
      </c>
      <c r="E267" s="432" t="s">
        <v>702</v>
      </c>
      <c r="F267" s="972" t="s">
        <v>1677</v>
      </c>
      <c r="G267" s="433" t="s">
        <v>1461</v>
      </c>
    </row>
    <row r="268" spans="1:7" ht="25.95" customHeight="1">
      <c r="A268" s="431">
        <v>265</v>
      </c>
      <c r="B268" s="1002" t="s">
        <v>707</v>
      </c>
      <c r="C268" s="1002" t="s">
        <v>497</v>
      </c>
      <c r="D268" s="968" t="str">
        <f t="shared" si="4"/>
        <v>Elettricità fornita (non ponderata)</v>
      </c>
      <c r="E268" s="432" t="s">
        <v>782</v>
      </c>
      <c r="F268" s="972" t="s">
        <v>1678</v>
      </c>
      <c r="G268" s="433" t="s">
        <v>1462</v>
      </c>
    </row>
    <row r="269" spans="1:7" ht="25.95" customHeight="1">
      <c r="A269" s="431">
        <v>266</v>
      </c>
      <c r="B269" s="1002" t="s">
        <v>707</v>
      </c>
      <c r="C269" s="1002" t="s">
        <v>871</v>
      </c>
      <c r="D269" s="968" t="str">
        <f t="shared" si="4"/>
        <v>Energia fornita (escluso elettricità, ponderata)</v>
      </c>
      <c r="E269" s="432" t="s">
        <v>783</v>
      </c>
      <c r="F269" s="972" t="s">
        <v>1679</v>
      </c>
      <c r="G269" s="433" t="s">
        <v>1463</v>
      </c>
    </row>
    <row r="270" spans="1:7" ht="25.95" customHeight="1">
      <c r="A270" s="431">
        <v>267</v>
      </c>
      <c r="B270" s="1002" t="s">
        <v>707</v>
      </c>
      <c r="C270" s="1002" t="s">
        <v>1056</v>
      </c>
      <c r="D270" s="968" t="str">
        <f t="shared" si="4"/>
        <v>Copertura totale:</v>
      </c>
      <c r="E270" s="432" t="s">
        <v>746</v>
      </c>
      <c r="F270" s="972" t="s">
        <v>1680</v>
      </c>
      <c r="G270" s="433" t="s">
        <v>1464</v>
      </c>
    </row>
    <row r="271" spans="1:7" ht="25.95" customHeight="1">
      <c r="A271" s="431">
        <v>268</v>
      </c>
      <c r="B271" s="1002" t="s">
        <v>707</v>
      </c>
      <c r="C271" s="1002" t="s">
        <v>873</v>
      </c>
      <c r="D271" s="968" t="str">
        <f t="shared" si="4"/>
        <v>Dati dell'edificio, ventilazione e valori limite</v>
      </c>
      <c r="E271" s="432" t="s">
        <v>200</v>
      </c>
      <c r="F271" s="972" t="s">
        <v>1681</v>
      </c>
      <c r="G271" s="433" t="s">
        <v>1465</v>
      </c>
    </row>
    <row r="272" spans="1:7" ht="25.95" customHeight="1">
      <c r="A272" s="431">
        <v>269</v>
      </c>
      <c r="B272" s="1002" t="s">
        <v>707</v>
      </c>
      <c r="C272" s="1002" t="s">
        <v>1057</v>
      </c>
      <c r="D272" s="968" t="str">
        <f t="shared" si="4"/>
        <v>Tot./media</v>
      </c>
      <c r="E272" s="432" t="s">
        <v>649</v>
      </c>
      <c r="F272" s="972" t="s">
        <v>2616</v>
      </c>
      <c r="G272" s="433" t="s">
        <v>1466</v>
      </c>
    </row>
    <row r="273" spans="1:7" ht="25.95" customHeight="1">
      <c r="A273" s="431">
        <v>270</v>
      </c>
      <c r="B273" s="1002" t="s">
        <v>707</v>
      </c>
      <c r="C273" s="1002" t="s">
        <v>97</v>
      </c>
      <c r="D273" s="968" t="str">
        <f t="shared" si="4"/>
        <v>Fabbisogno termico per il riscaldamento Qh,eff</v>
      </c>
      <c r="E273" s="432" t="s">
        <v>1058</v>
      </c>
      <c r="F273" s="972" t="s">
        <v>1682</v>
      </c>
      <c r="G273" s="433" t="s">
        <v>1467</v>
      </c>
    </row>
    <row r="274" spans="1:7" ht="25.95" customHeight="1">
      <c r="A274" s="431">
        <v>271</v>
      </c>
      <c r="B274" s="1002" t="s">
        <v>707</v>
      </c>
      <c r="C274" s="1002" t="s">
        <v>97</v>
      </c>
      <c r="D274" s="968" t="str">
        <f t="shared" si="4"/>
        <v>Qh con ricambio d'aria effettivo</v>
      </c>
      <c r="E274" s="432" t="s">
        <v>1059</v>
      </c>
      <c r="F274" s="972" t="s">
        <v>1683</v>
      </c>
      <c r="G274" s="433" t="s">
        <v>1468</v>
      </c>
    </row>
    <row r="275" spans="1:7" ht="25.95" customHeight="1">
      <c r="A275" s="431">
        <v>272</v>
      </c>
      <c r="B275" s="1002" t="s">
        <v>707</v>
      </c>
      <c r="C275" s="1002" t="s">
        <v>98</v>
      </c>
      <c r="D275" s="968" t="str">
        <f t="shared" si="4"/>
        <v>Qww Fabbisogno di calore per ACS SIA 380/1</v>
      </c>
      <c r="E275" s="432" t="s">
        <v>2752</v>
      </c>
      <c r="F275" s="972" t="s">
        <v>2753</v>
      </c>
      <c r="G275" s="433" t="s">
        <v>2754</v>
      </c>
    </row>
    <row r="276" spans="1:7" ht="25.95" customHeight="1">
      <c r="A276" s="431">
        <v>273</v>
      </c>
      <c r="B276" s="1002" t="s">
        <v>707</v>
      </c>
      <c r="C276" s="1002" t="s">
        <v>488</v>
      </c>
      <c r="D276" s="968" t="str">
        <f t="shared" si="4"/>
        <v>Fabbisogno elettrico per ventilazione</v>
      </c>
      <c r="E276" s="432" t="s">
        <v>496</v>
      </c>
      <c r="F276" s="972" t="s">
        <v>1684</v>
      </c>
      <c r="G276" s="433" t="s">
        <v>1469</v>
      </c>
    </row>
    <row r="277" spans="1:7" ht="25.95" customHeight="1">
      <c r="A277" s="431">
        <v>274</v>
      </c>
      <c r="B277" s="1002" t="s">
        <v>707</v>
      </c>
      <c r="C277" s="1002" t="s">
        <v>879</v>
      </c>
      <c r="D277" s="968" t="str">
        <f t="shared" si="4"/>
        <v>Elettricità per ausiliari/climatizzazione</v>
      </c>
      <c r="E277" s="432" t="s">
        <v>1060</v>
      </c>
      <c r="F277" s="972" t="s">
        <v>1685</v>
      </c>
      <c r="G277" s="433" t="s">
        <v>1470</v>
      </c>
    </row>
    <row r="278" spans="1:7" ht="25.95" customHeight="1">
      <c r="A278" s="431">
        <v>275</v>
      </c>
      <c r="B278" s="1002" t="s">
        <v>707</v>
      </c>
      <c r="C278" s="1002" t="s">
        <v>879</v>
      </c>
      <c r="D278" s="968" t="str">
        <f t="shared" si="4"/>
        <v>Fabbisogno elettrico per climatizzazione e ausiliari</v>
      </c>
      <c r="E278" s="432" t="s">
        <v>1197</v>
      </c>
      <c r="F278" s="972" t="s">
        <v>1686</v>
      </c>
      <c r="G278" s="433" t="s">
        <v>1471</v>
      </c>
    </row>
    <row r="279" spans="1:7" ht="25.95" customHeight="1">
      <c r="A279" s="431">
        <v>276</v>
      </c>
      <c r="B279" s="1002" t="s">
        <v>707</v>
      </c>
      <c r="C279" s="1002" t="s">
        <v>884</v>
      </c>
      <c r="D279" s="968" t="str">
        <f t="shared" si="4"/>
        <v>Valore limite determinante</v>
      </c>
      <c r="E279" s="432" t="s">
        <v>555</v>
      </c>
      <c r="F279" s="972" t="s">
        <v>1687</v>
      </c>
      <c r="G279" s="433" t="s">
        <v>1472</v>
      </c>
    </row>
    <row r="280" spans="1:7" ht="25.95" customHeight="1">
      <c r="A280" s="431">
        <v>277</v>
      </c>
      <c r="B280" s="1002" t="s">
        <v>707</v>
      </c>
      <c r="C280" s="1002" t="s">
        <v>885</v>
      </c>
      <c r="D280" s="968" t="str">
        <f t="shared" si="4"/>
        <v>Produzione di calore:</v>
      </c>
      <c r="E280" s="432" t="s">
        <v>161</v>
      </c>
      <c r="F280" s="972" t="s">
        <v>1666</v>
      </c>
      <c r="G280" s="433" t="s">
        <v>1451</v>
      </c>
    </row>
    <row r="281" spans="1:7" ht="25.95" customHeight="1">
      <c r="A281" s="431">
        <v>278</v>
      </c>
      <c r="B281" s="1002" t="s">
        <v>707</v>
      </c>
      <c r="C281" s="1002" t="s">
        <v>886</v>
      </c>
      <c r="D281" s="968" t="str">
        <f t="shared" si="4"/>
        <v>(Riscaldamento+ACS)</v>
      </c>
      <c r="E281" s="432" t="s">
        <v>647</v>
      </c>
      <c r="F281" s="972" t="s">
        <v>1688</v>
      </c>
      <c r="G281" s="433" t="s">
        <v>1473</v>
      </c>
    </row>
    <row r="282" spans="1:7" ht="25.95" customHeight="1">
      <c r="A282" s="431">
        <v>279</v>
      </c>
      <c r="B282" s="1002" t="s">
        <v>707</v>
      </c>
      <c r="C282" s="1002" t="s">
        <v>1061</v>
      </c>
      <c r="D282" s="968" t="str">
        <f t="shared" si="4"/>
        <v>o COP</v>
      </c>
      <c r="E282" s="432" t="s">
        <v>693</v>
      </c>
      <c r="F282" s="972" t="s">
        <v>1689</v>
      </c>
      <c r="G282" s="433" t="s">
        <v>1474</v>
      </c>
    </row>
    <row r="283" spans="1:7" ht="25.95" customHeight="1">
      <c r="A283" s="431">
        <v>280</v>
      </c>
      <c r="B283" s="1002" t="s">
        <v>707</v>
      </c>
      <c r="C283" s="1002" t="s">
        <v>1063</v>
      </c>
      <c r="D283" s="968" t="str">
        <f t="shared" si="4"/>
        <v>Pondera-
zione</v>
      </c>
      <c r="E283" s="432" t="s">
        <v>1062</v>
      </c>
      <c r="F283" s="972" t="s">
        <v>1690</v>
      </c>
      <c r="G283" s="433" t="s">
        <v>2615</v>
      </c>
    </row>
    <row r="284" spans="1:7" ht="25.95" customHeight="1">
      <c r="A284" s="431">
        <v>281</v>
      </c>
      <c r="B284" s="1002" t="s">
        <v>707</v>
      </c>
      <c r="C284" s="1002" t="s">
        <v>1064</v>
      </c>
      <c r="D284" s="968" t="str">
        <f t="shared" si="4"/>
        <v>Tasso di copertura</v>
      </c>
      <c r="E284" s="432" t="s">
        <v>691</v>
      </c>
      <c r="F284" s="972" t="s">
        <v>1691</v>
      </c>
      <c r="G284" s="433" t="s">
        <v>1475</v>
      </c>
    </row>
    <row r="285" spans="1:7" ht="25.95" customHeight="1">
      <c r="A285" s="431">
        <v>282</v>
      </c>
      <c r="B285" s="1002" t="s">
        <v>707</v>
      </c>
      <c r="C285" s="1002" t="s">
        <v>1066</v>
      </c>
      <c r="D285" s="968" t="str">
        <f t="shared" si="4"/>
        <v>Fabb. fin. pond. kWh/m2</v>
      </c>
      <c r="E285" s="432" t="s">
        <v>1065</v>
      </c>
      <c r="F285" s="972" t="s">
        <v>1692</v>
      </c>
      <c r="G285" s="433" t="s">
        <v>1476</v>
      </c>
    </row>
    <row r="286" spans="1:7" ht="25.95" customHeight="1">
      <c r="A286" s="431">
        <v>283</v>
      </c>
      <c r="B286" s="1002" t="s">
        <v>707</v>
      </c>
      <c r="C286" s="1002" t="s">
        <v>1067</v>
      </c>
      <c r="D286" s="968" t="str">
        <f t="shared" si="4"/>
        <v>Elettricità</v>
      </c>
      <c r="E286" s="432" t="s">
        <v>732</v>
      </c>
      <c r="F286" s="972" t="s">
        <v>1693</v>
      </c>
      <c r="G286" s="433" t="s">
        <v>1477</v>
      </c>
    </row>
    <row r="287" spans="1:7" ht="25.95" customHeight="1">
      <c r="A287" s="431">
        <v>284</v>
      </c>
      <c r="B287" s="1002" t="s">
        <v>707</v>
      </c>
      <c r="C287" s="1002" t="s">
        <v>1068</v>
      </c>
      <c r="D287" s="968" t="str">
        <f t="shared" si="4"/>
        <v>altro</v>
      </c>
      <c r="E287" s="432" t="s">
        <v>179</v>
      </c>
      <c r="F287" s="972" t="s">
        <v>1694</v>
      </c>
      <c r="G287" s="433" t="s">
        <v>1478</v>
      </c>
    </row>
    <row r="288" spans="1:7" ht="25.95" customHeight="1">
      <c r="A288" s="431">
        <v>285</v>
      </c>
      <c r="B288" s="1002" t="s">
        <v>707</v>
      </c>
      <c r="C288" s="1002" t="s">
        <v>1069</v>
      </c>
      <c r="D288" s="968" t="str">
        <f t="shared" si="4"/>
        <v>Calore</v>
      </c>
      <c r="E288" s="432" t="s">
        <v>730</v>
      </c>
      <c r="F288" s="972" t="s">
        <v>1695</v>
      </c>
      <c r="G288" s="433" t="s">
        <v>1479</v>
      </c>
    </row>
    <row r="289" spans="1:7" ht="25.95" customHeight="1">
      <c r="A289" s="431">
        <v>286</v>
      </c>
      <c r="B289" s="1002" t="s">
        <v>707</v>
      </c>
      <c r="C289" s="1002" t="s">
        <v>945</v>
      </c>
      <c r="D289" s="968" t="str">
        <f t="shared" si="4"/>
        <v>Fabb. elettricità impianti di aerazione</v>
      </c>
      <c r="E289" s="432" t="s">
        <v>496</v>
      </c>
      <c r="F289" s="972" t="s">
        <v>1696</v>
      </c>
      <c r="G289" s="433" t="s">
        <v>1480</v>
      </c>
    </row>
    <row r="290" spans="1:7" ht="25.95" customHeight="1">
      <c r="A290" s="431">
        <v>287</v>
      </c>
      <c r="B290" s="1002" t="s">
        <v>707</v>
      </c>
      <c r="C290" s="1002" t="s">
        <v>1070</v>
      </c>
      <c r="D290" s="968" t="str">
        <f t="shared" si="4"/>
        <v>Elettricità per climatizzazione + ausiliari</v>
      </c>
      <c r="E290" s="432" t="s">
        <v>513</v>
      </c>
      <c r="F290" s="972" t="s">
        <v>1697</v>
      </c>
      <c r="G290" s="433" t="s">
        <v>1481</v>
      </c>
    </row>
    <row r="291" spans="1:7" ht="25.95" customHeight="1">
      <c r="A291" s="431">
        <v>288</v>
      </c>
      <c r="B291" s="1002" t="s">
        <v>707</v>
      </c>
      <c r="C291" s="1002" t="s">
        <v>1070</v>
      </c>
      <c r="D291" s="968" t="str">
        <f t="shared" si="4"/>
        <v>Elettricità per climatizzazione + ausiliari</v>
      </c>
      <c r="E291" s="432" t="s">
        <v>1204</v>
      </c>
      <c r="F291" s="972" t="s">
        <v>1697</v>
      </c>
      <c r="G291" s="433" t="s">
        <v>1481</v>
      </c>
    </row>
    <row r="292" spans="1:7" ht="25.95" customHeight="1">
      <c r="A292" s="431">
        <v>289</v>
      </c>
      <c r="B292" s="1002" t="s">
        <v>707</v>
      </c>
      <c r="C292" s="1002" t="s">
        <v>1071</v>
      </c>
      <c r="D292" s="968" t="str">
        <f t="shared" si="4"/>
        <v>Totale:</v>
      </c>
      <c r="E292" s="432" t="s">
        <v>692</v>
      </c>
      <c r="F292" s="972" t="s">
        <v>692</v>
      </c>
      <c r="G292" s="433" t="s">
        <v>1482</v>
      </c>
    </row>
    <row r="293" spans="1:7" ht="25.95" customHeight="1">
      <c r="A293" s="431">
        <v>290</v>
      </c>
      <c r="B293" s="1002" t="s">
        <v>707</v>
      </c>
      <c r="C293" s="1002" t="s">
        <v>947</v>
      </c>
      <c r="D293" s="968" t="str">
        <f t="shared" si="4"/>
        <v>Rispetto delle esigenze:</v>
      </c>
      <c r="E293" s="432" t="s">
        <v>14</v>
      </c>
      <c r="F293" s="972" t="s">
        <v>1698</v>
      </c>
      <c r="G293" s="433" t="s">
        <v>1483</v>
      </c>
    </row>
    <row r="294" spans="1:7" ht="25.95" customHeight="1">
      <c r="A294" s="431">
        <v>291</v>
      </c>
      <c r="B294" s="1002" t="s">
        <v>707</v>
      </c>
      <c r="C294" s="1002" t="s">
        <v>591</v>
      </c>
      <c r="D294" s="968" t="str">
        <f t="shared" si="4"/>
        <v>Esigenza</v>
      </c>
      <c r="E294" s="432" t="s">
        <v>495</v>
      </c>
      <c r="F294" s="972" t="s">
        <v>1699</v>
      </c>
      <c r="G294" s="433" t="s">
        <v>1484</v>
      </c>
    </row>
    <row r="295" spans="1:7" ht="25.95" customHeight="1">
      <c r="A295" s="431">
        <v>292</v>
      </c>
      <c r="B295" s="1002" t="s">
        <v>707</v>
      </c>
      <c r="C295" s="1002" t="s">
        <v>1072</v>
      </c>
      <c r="D295" s="968" t="str">
        <f t="shared" si="4"/>
        <v>Valore calcolato</v>
      </c>
      <c r="E295" s="432" t="s">
        <v>34</v>
      </c>
      <c r="F295" s="972" t="s">
        <v>1674</v>
      </c>
      <c r="G295" s="433" t="s">
        <v>1485</v>
      </c>
    </row>
    <row r="296" spans="1:7" ht="25.95" customHeight="1">
      <c r="A296" s="431">
        <v>293</v>
      </c>
      <c r="B296" s="1002" t="s">
        <v>707</v>
      </c>
      <c r="C296" s="1002" t="s">
        <v>948</v>
      </c>
      <c r="D296" s="968" t="str">
        <f t="shared" si="4"/>
        <v>Indice termico MINERGIE</v>
      </c>
      <c r="E296" s="432" t="s">
        <v>1073</v>
      </c>
      <c r="F296" s="972" t="s">
        <v>1700</v>
      </c>
      <c r="G296" s="433" t="s">
        <v>1486</v>
      </c>
    </row>
    <row r="297" spans="1:7" ht="25.95" customHeight="1">
      <c r="A297" s="431">
        <v>294</v>
      </c>
      <c r="B297" s="1002" t="s">
        <v>707</v>
      </c>
      <c r="C297" s="1002" t="s">
        <v>948</v>
      </c>
      <c r="D297" s="968" t="str">
        <f t="shared" si="4"/>
        <v>Valore limite MINERGIE - P</v>
      </c>
      <c r="E297" s="432" t="s">
        <v>1074</v>
      </c>
      <c r="F297" s="972" t="s">
        <v>1701</v>
      </c>
      <c r="G297" s="433" t="s">
        <v>1487</v>
      </c>
    </row>
    <row r="298" spans="1:7" ht="25.95" customHeight="1">
      <c r="A298" s="431">
        <v>295</v>
      </c>
      <c r="B298" s="1002" t="s">
        <v>707</v>
      </c>
      <c r="C298" s="1002" t="s">
        <v>948</v>
      </c>
      <c r="D298" s="968" t="str">
        <f t="shared" si="4"/>
        <v>Valore limite</v>
      </c>
      <c r="E298" s="432" t="s">
        <v>658</v>
      </c>
      <c r="F298" s="972" t="s">
        <v>1702</v>
      </c>
      <c r="G298" s="433" t="s">
        <v>1488</v>
      </c>
    </row>
    <row r="299" spans="1:7" ht="25.95" customHeight="1">
      <c r="A299" s="431">
        <v>296</v>
      </c>
      <c r="B299" s="1002" t="s">
        <v>707</v>
      </c>
      <c r="C299" s="1002" t="s">
        <v>1075</v>
      </c>
      <c r="D299" s="968" t="str">
        <f t="shared" si="4"/>
        <v>Rispettato?</v>
      </c>
      <c r="E299" s="432" t="s">
        <v>35</v>
      </c>
      <c r="F299" s="972" t="s">
        <v>1703</v>
      </c>
      <c r="G299" s="433" t="s">
        <v>1489</v>
      </c>
    </row>
    <row r="300" spans="1:7" ht="25.95" customHeight="1">
      <c r="A300" s="431">
        <v>297</v>
      </c>
      <c r="B300" s="1002" t="s">
        <v>707</v>
      </c>
      <c r="C300" s="1002" t="s">
        <v>944</v>
      </c>
      <c r="D300" s="968" t="str">
        <f t="shared" si="4"/>
        <v>altri produttori di calore</v>
      </c>
      <c r="E300" s="432" t="s">
        <v>1076</v>
      </c>
      <c r="F300" s="972" t="s">
        <v>1704</v>
      </c>
      <c r="G300" s="433" t="s">
        <v>1490</v>
      </c>
    </row>
    <row r="301" spans="1:7" ht="25.95" customHeight="1">
      <c r="A301" s="431">
        <v>298</v>
      </c>
      <c r="B301" s="1002" t="s">
        <v>707</v>
      </c>
      <c r="C301" s="1002" t="s">
        <v>951</v>
      </c>
      <c r="D301" s="968" t="str">
        <f t="shared" si="4"/>
        <v>Allegati (presentare tutti gli allegati della colonna a sinistra)</v>
      </c>
      <c r="E301" s="432" t="s">
        <v>759</v>
      </c>
      <c r="F301" s="972" t="s">
        <v>1705</v>
      </c>
      <c r="G301" s="433" t="s">
        <v>1491</v>
      </c>
    </row>
    <row r="302" spans="1:7" ht="25.95" customHeight="1">
      <c r="A302" s="431">
        <v>299</v>
      </c>
      <c r="B302" s="1002" t="s">
        <v>707</v>
      </c>
      <c r="C302" s="1002" t="s">
        <v>1077</v>
      </c>
      <c r="D302" s="968" t="str">
        <f t="shared" si="4"/>
        <v>Crociare gli allegati da presentare</v>
      </c>
      <c r="E302" s="432" t="s">
        <v>760</v>
      </c>
      <c r="F302" s="972" t="s">
        <v>1706</v>
      </c>
      <c r="G302" s="433" t="s">
        <v>1492</v>
      </c>
    </row>
    <row r="303" spans="1:7" ht="25.95" customHeight="1">
      <c r="A303" s="431">
        <v>300</v>
      </c>
      <c r="B303" s="1002" t="s">
        <v>707</v>
      </c>
      <c r="C303" s="1002" t="s">
        <v>1078</v>
      </c>
      <c r="D303" s="968" t="str">
        <f t="shared" si="4"/>
        <v>Schema riscaldamento e ventilazione</v>
      </c>
      <c r="E303" s="432" t="s">
        <v>776</v>
      </c>
      <c r="F303" s="972" t="s">
        <v>1707</v>
      </c>
      <c r="G303" s="433" t="s">
        <v>1493</v>
      </c>
    </row>
    <row r="304" spans="1:7" ht="25.95" customHeight="1">
      <c r="A304" s="431">
        <v>301</v>
      </c>
      <c r="B304" s="1002" t="s">
        <v>707</v>
      </c>
      <c r="C304" s="1002" t="s">
        <v>1079</v>
      </c>
      <c r="D304" s="968" t="str">
        <f t="shared" si="4"/>
        <v>Calcoli e schede tecniche</v>
      </c>
      <c r="E304" s="432" t="s">
        <v>777</v>
      </c>
      <c r="F304" s="972" t="s">
        <v>1708</v>
      </c>
      <c r="G304" s="433" t="s">
        <v>1494</v>
      </c>
    </row>
    <row r="305" spans="1:7" ht="25.95" customHeight="1">
      <c r="A305" s="431">
        <v>302</v>
      </c>
      <c r="B305" s="1002" t="s">
        <v>707</v>
      </c>
      <c r="C305" s="1002" t="s">
        <v>1081</v>
      </c>
      <c r="D305" s="968" t="str">
        <f t="shared" si="4"/>
        <v>Fabbisogno non coperto</v>
      </c>
      <c r="E305" s="432" t="s">
        <v>1080</v>
      </c>
      <c r="F305" s="972" t="s">
        <v>1709</v>
      </c>
      <c r="G305" s="433" t="s">
        <v>1495</v>
      </c>
    </row>
    <row r="306" spans="1:7" ht="25.95" customHeight="1">
      <c r="A306" s="431">
        <v>303</v>
      </c>
      <c r="B306" s="1002" t="s">
        <v>707</v>
      </c>
      <c r="C306" s="1002" t="s">
        <v>1081</v>
      </c>
      <c r="D306" s="968" t="str">
        <f t="shared" si="4"/>
        <v>senza piscina</v>
      </c>
      <c r="E306" s="432" t="s">
        <v>1082</v>
      </c>
      <c r="F306" s="972" t="s">
        <v>1710</v>
      </c>
      <c r="G306" s="433" t="s">
        <v>1496</v>
      </c>
    </row>
    <row r="307" spans="1:7" ht="29.25" customHeight="1">
      <c r="A307" s="431">
        <v>304</v>
      </c>
      <c r="B307" s="1002" t="s">
        <v>707</v>
      </c>
      <c r="C307" s="1002" t="s">
        <v>1083</v>
      </c>
      <c r="D307" s="968" t="str">
        <f t="shared" si="4"/>
        <v>ACS prodotta con almeno 20% di energie rinnovabili (per ristoranti/impianti sportivi/piscine)</v>
      </c>
      <c r="E307" s="432" t="s">
        <v>805</v>
      </c>
      <c r="F307" s="972" t="s">
        <v>1711</v>
      </c>
      <c r="G307" s="433" t="s">
        <v>1497</v>
      </c>
    </row>
    <row r="308" spans="1:7" ht="25.95" customHeight="1">
      <c r="A308" s="431">
        <v>305</v>
      </c>
      <c r="B308" s="1002" t="s">
        <v>707</v>
      </c>
      <c r="C308" s="1002" t="s">
        <v>1164</v>
      </c>
      <c r="D308" s="968" t="str">
        <f t="shared" si="4"/>
        <v>Copertura &lt;&gt; 100%</v>
      </c>
      <c r="E308" s="432" t="s">
        <v>1163</v>
      </c>
      <c r="F308" s="972" t="s">
        <v>1712</v>
      </c>
      <c r="G308" s="433" t="s">
        <v>1498</v>
      </c>
    </row>
    <row r="309" spans="1:7" ht="25.95" customHeight="1">
      <c r="A309" s="431">
        <v>306</v>
      </c>
      <c r="D309" s="968" t="str">
        <f t="shared" si="4"/>
        <v>Apporto annuale netto per kWp (valore standard)</v>
      </c>
      <c r="E309" s="432" t="s">
        <v>85</v>
      </c>
      <c r="F309" s="972" t="s">
        <v>625</v>
      </c>
      <c r="G309" s="433" t="s">
        <v>1499</v>
      </c>
    </row>
    <row r="310" spans="1:7" ht="92.25" customHeight="1">
      <c r="A310" s="431">
        <v>307</v>
      </c>
      <c r="B310" s="1002" t="s">
        <v>53</v>
      </c>
      <c r="C310" s="1002" t="s">
        <v>890</v>
      </c>
      <c r="D310" s="968" t="str">
        <f t="shared" si="4"/>
        <v>Valore richiesto per Qh,eff. O Qh,corr.:
inserire fabbisogno di calore per il riscaldamento Qh,eff. con portata d'aria esterna termicamente determinante Vth secondo calcolo SIA 380/1:2009.
Facoltativo: invece di Qh,eff. può essere inserito Qh,corr. che considera anche la correzione dell'altezza del locale (corrzione secondo indicazioni MINERGIE)</v>
      </c>
      <c r="E310" s="432" t="s">
        <v>1084</v>
      </c>
      <c r="F310" s="972" t="s">
        <v>1085</v>
      </c>
      <c r="G310" s="433" t="s">
        <v>1500</v>
      </c>
    </row>
    <row r="311" spans="1:7" ht="25.95" customHeight="1">
      <c r="A311" s="431">
        <v>308</v>
      </c>
      <c r="D311" s="968" t="str">
        <f t="shared" si="4"/>
        <v>Scegliere "Impianto d'estrazione dell'aria, con PdC sull'aspirazione dell'aria".</v>
      </c>
      <c r="E311" s="432" t="s">
        <v>42</v>
      </c>
      <c r="F311" s="972" t="s">
        <v>106</v>
      </c>
      <c r="G311" s="433" t="s">
        <v>1501</v>
      </c>
    </row>
    <row r="312" spans="1:7" ht="25.95" customHeight="1">
      <c r="A312" s="431">
        <v>309</v>
      </c>
      <c r="D312" s="968" t="str">
        <f t="shared" si="4"/>
        <v>Scegliere "Impianto di immissione e espulsione dell'aria senza recupero di calore e con PdC sull'aspirazione dell'aria" oppure "PdC aria-acqua compatta con immissione e espulsione dell'aria, senza recupero di calore"</v>
      </c>
      <c r="E312" s="432" t="s">
        <v>43</v>
      </c>
      <c r="F312" s="972" t="s">
        <v>107</v>
      </c>
      <c r="G312" s="433" t="s">
        <v>1502</v>
      </c>
    </row>
    <row r="313" spans="1:7" ht="25.95" customHeight="1">
      <c r="A313" s="431">
        <v>310</v>
      </c>
      <c r="D313" s="968" t="str">
        <f t="shared" si="4"/>
        <v>Scegliere "Impianto di immissione e espulsione dell'aria con recupero di calore e  PdC sull'aspirazione dell'aria" oppure "PdC aria-acqua compatta con immissione e espulsione dell'aria e ACS, con recupero di calore"</v>
      </c>
      <c r="E313" s="432" t="s">
        <v>44</v>
      </c>
      <c r="F313" s="972" t="s">
        <v>624</v>
      </c>
      <c r="G313" s="433" t="s">
        <v>1503</v>
      </c>
    </row>
    <row r="314" spans="1:7" ht="45" customHeight="1">
      <c r="A314" s="431">
        <v>311</v>
      </c>
      <c r="B314" s="1002" t="s">
        <v>1790</v>
      </c>
      <c r="C314" s="1002" t="s">
        <v>1807</v>
      </c>
      <c r="D314" s="968" t="str">
        <f t="shared" si="4"/>
        <v>Se si riscontra questa situazione, la percentuale di vetro non è rilevante. Se una delle caratteristiche elencate non è presente, bisogna rispondere n.a.</v>
      </c>
      <c r="E314" s="432" t="s">
        <v>1806</v>
      </c>
      <c r="F314" s="972" t="s">
        <v>2399</v>
      </c>
      <c r="G314" s="433" t="s">
        <v>1969</v>
      </c>
    </row>
    <row r="315" spans="1:7" ht="25.95" customHeight="1">
      <c r="A315" s="431">
        <v>312</v>
      </c>
      <c r="B315" s="1002" t="s">
        <v>53</v>
      </c>
      <c r="C315" s="1002" t="s">
        <v>1791</v>
      </c>
      <c r="D315" s="968" t="str">
        <f t="shared" si="4"/>
        <v>Dati</v>
      </c>
      <c r="E315" s="432" t="s">
        <v>53</v>
      </c>
      <c r="F315" s="972" t="s">
        <v>1718</v>
      </c>
      <c r="G315" s="433" t="s">
        <v>1717</v>
      </c>
    </row>
    <row r="316" spans="1:7" ht="25.95" customHeight="1">
      <c r="A316" s="431">
        <v>313</v>
      </c>
      <c r="B316" s="1002" t="s">
        <v>707</v>
      </c>
      <c r="C316" s="1002" t="s">
        <v>1791</v>
      </c>
      <c r="D316" s="968" t="str">
        <f t="shared" si="4"/>
        <v>Verifica</v>
      </c>
      <c r="E316" s="432" t="s">
        <v>707</v>
      </c>
      <c r="F316" s="972" t="s">
        <v>1719</v>
      </c>
      <c r="G316" s="433" t="s">
        <v>1716</v>
      </c>
    </row>
    <row r="317" spans="1:7" ht="25.95" customHeight="1">
      <c r="A317" s="431">
        <v>314</v>
      </c>
      <c r="B317" s="1002" t="s">
        <v>1840</v>
      </c>
      <c r="C317" s="1002" t="s">
        <v>1791</v>
      </c>
      <c r="D317" s="968" t="str">
        <f t="shared" si="4"/>
        <v>Visione d'insieme</v>
      </c>
      <c r="E317" s="432" t="s">
        <v>1839</v>
      </c>
      <c r="F317" s="972" t="s">
        <v>2400</v>
      </c>
      <c r="G317" s="433" t="s">
        <v>2499</v>
      </c>
    </row>
    <row r="318" spans="1:7" ht="25.95" customHeight="1">
      <c r="A318" s="431">
        <v>315</v>
      </c>
      <c r="B318" s="1002" t="s">
        <v>1840</v>
      </c>
      <c r="C318" s="1002" t="s">
        <v>848</v>
      </c>
      <c r="D318" s="968" t="str">
        <f t="shared" si="4"/>
        <v>Visione d'insieme</v>
      </c>
      <c r="E318" s="432" t="s">
        <v>1924</v>
      </c>
      <c r="F318" s="972" t="s">
        <v>2400</v>
      </c>
      <c r="G318" s="433" t="s">
        <v>2499</v>
      </c>
    </row>
    <row r="319" spans="1:7" ht="25.95" customHeight="1">
      <c r="A319" s="431">
        <v>316</v>
      </c>
      <c r="B319" s="1002" t="s">
        <v>1790</v>
      </c>
      <c r="C319" s="1002" t="s">
        <v>1791</v>
      </c>
      <c r="D319" s="968" t="str">
        <f t="shared" si="4"/>
        <v>Estate</v>
      </c>
      <c r="E319" s="432" t="s">
        <v>1790</v>
      </c>
      <c r="F319" s="972" t="s">
        <v>2401</v>
      </c>
      <c r="G319" s="433" t="s">
        <v>2500</v>
      </c>
    </row>
    <row r="320" spans="1:7" ht="25.95" customHeight="1">
      <c r="A320" s="431">
        <v>317</v>
      </c>
      <c r="B320" s="1002" t="s">
        <v>1790</v>
      </c>
      <c r="C320" s="1002" t="s">
        <v>1792</v>
      </c>
      <c r="D320" s="968" t="str">
        <f t="shared" si="4"/>
        <v>Protezione termica estiva secondo lo standard Minergie</v>
      </c>
      <c r="E320" s="432" t="s">
        <v>2972</v>
      </c>
      <c r="F320" s="972" t="s">
        <v>2973</v>
      </c>
      <c r="G320" s="433" t="s">
        <v>2974</v>
      </c>
    </row>
    <row r="321" spans="1:7" ht="96" customHeight="1">
      <c r="A321" s="431">
        <v>318</v>
      </c>
      <c r="B321" s="1002" t="s">
        <v>1790</v>
      </c>
      <c r="C321" s="1002" t="s">
        <v>854</v>
      </c>
      <c r="D321" s="968" t="str">
        <f t="shared" si="4"/>
        <v>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v>
      </c>
      <c r="E321" s="432" t="s">
        <v>1754</v>
      </c>
      <c r="F321" s="972" t="s">
        <v>2402</v>
      </c>
      <c r="G321" s="433" t="s">
        <v>2501</v>
      </c>
    </row>
    <row r="322" spans="1:7" ht="39" customHeight="1">
      <c r="A322" s="431">
        <v>319</v>
      </c>
      <c r="B322" s="1002" t="s">
        <v>1790</v>
      </c>
      <c r="C322" s="1002" t="s">
        <v>1794</v>
      </c>
      <c r="D322" s="968" t="str">
        <f t="shared" si="4"/>
        <v>Variante 1: valutazione complessiva di casi standard per le categorie d'edificio abitazioni, amministrazioni (uffici singoli e non), sale riunioni e depositi (senza raffreddamento).</v>
      </c>
      <c r="E322" s="432" t="s">
        <v>1793</v>
      </c>
      <c r="F322" s="972" t="s">
        <v>2403</v>
      </c>
      <c r="G322" s="433" t="s">
        <v>2502</v>
      </c>
    </row>
    <row r="323" spans="1:7" ht="25.95" customHeight="1">
      <c r="A323" s="431">
        <v>320</v>
      </c>
      <c r="B323" s="1002" t="s">
        <v>1790</v>
      </c>
      <c r="C323" s="1002" t="s">
        <v>1054</v>
      </c>
      <c r="D323" s="968" t="str">
        <f t="shared" si="4"/>
        <v>La valutazione globale si applica alle zone in cui tutti i locali rispettano le seguenti condizioni:</v>
      </c>
      <c r="E323" s="432" t="s">
        <v>1755</v>
      </c>
      <c r="F323" s="972" t="s">
        <v>2404</v>
      </c>
      <c r="G323" s="433" t="s">
        <v>2503</v>
      </c>
    </row>
    <row r="324" spans="1:7" ht="54.9" customHeight="1">
      <c r="A324" s="431">
        <v>321</v>
      </c>
      <c r="B324" s="1002" t="s">
        <v>1790</v>
      </c>
      <c r="C324" s="1002" t="s">
        <v>1795</v>
      </c>
      <c r="D324" s="968" t="str">
        <f t="shared" si="4"/>
        <v>- non ci sono lucernari o finestre a tetto con una superficie vetrata &gt; 0.5 m2, vetrate più grandi possono essere trasformate in
   superfici verticali -&gt; si rimanda alla guida all'uso</v>
      </c>
      <c r="E324" s="459" t="s">
        <v>1757</v>
      </c>
      <c r="F324" s="1538" t="s">
        <v>2975</v>
      </c>
      <c r="G324" s="1537" t="s">
        <v>3031</v>
      </c>
    </row>
    <row r="325" spans="1:7" ht="25.95" customHeight="1">
      <c r="A325" s="431">
        <v>322</v>
      </c>
      <c r="B325" s="1002" t="s">
        <v>1790</v>
      </c>
      <c r="C325" s="1002" t="s">
        <v>855</v>
      </c>
      <c r="D325" s="968" t="str">
        <f t="shared" ref="D325:D388" si="5">INDEX($E$4:$G$503,$A325,$A$1)</f>
        <v>- schermatura solare esterna mobile tramite tapparella o lamella; (p. es. modulo minergie per protezioni solari)</v>
      </c>
      <c r="E325" s="459" t="s">
        <v>2976</v>
      </c>
      <c r="F325" s="972" t="s">
        <v>2977</v>
      </c>
      <c r="G325" s="1537" t="s">
        <v>2978</v>
      </c>
    </row>
    <row r="326" spans="1:7" ht="25.95" customHeight="1">
      <c r="A326" s="431">
        <v>323</v>
      </c>
      <c r="B326" s="1002" t="s">
        <v>1790</v>
      </c>
      <c r="C326" s="1002" t="s">
        <v>467</v>
      </c>
      <c r="D326" s="968" t="str">
        <f t="shared" si="5"/>
        <v>- è possibile eseguire il raffreddamento notturno tramite finestre;</v>
      </c>
      <c r="E326" s="459" t="s">
        <v>1758</v>
      </c>
      <c r="F326" s="972" t="s">
        <v>2405</v>
      </c>
      <c r="G326" s="433" t="s">
        <v>2504</v>
      </c>
    </row>
    <row r="327" spans="1:7" ht="25.95" customHeight="1">
      <c r="A327" s="431">
        <v>324</v>
      </c>
      <c r="B327" s="1002" t="s">
        <v>1790</v>
      </c>
      <c r="C327" s="1002" t="s">
        <v>858</v>
      </c>
      <c r="D327" s="968" t="str">
        <f t="shared" si="5"/>
        <v>- carichi interni non superiori ai valori standard secondo quaderno tecnico SIA 2024</v>
      </c>
      <c r="E327" s="459" t="s">
        <v>1760</v>
      </c>
      <c r="F327" s="972" t="s">
        <v>2406</v>
      </c>
      <c r="G327" s="433" t="s">
        <v>2505</v>
      </c>
    </row>
    <row r="328" spans="1:7" ht="25.95" customHeight="1">
      <c r="A328" s="431">
        <v>325</v>
      </c>
      <c r="B328" s="1002" t="s">
        <v>1790</v>
      </c>
      <c r="C328" s="1002" t="s">
        <v>860</v>
      </c>
      <c r="D328" s="968" t="str">
        <f t="shared" si="5"/>
        <v>Nella zona, i locali soddisfano i seguenti criteri?</v>
      </c>
      <c r="E328" s="432" t="s">
        <v>1763</v>
      </c>
      <c r="F328" s="972" t="s">
        <v>2407</v>
      </c>
      <c r="G328" s="433" t="s">
        <v>2506</v>
      </c>
    </row>
    <row r="329" spans="1:7" ht="25.95" customHeight="1">
      <c r="A329" s="431">
        <v>326</v>
      </c>
      <c r="B329" s="1002" t="s">
        <v>1790</v>
      </c>
      <c r="C329" s="1002" t="s">
        <v>1796</v>
      </c>
      <c r="D329" s="968" t="str">
        <f t="shared" si="5"/>
        <v>Schermatura solare esterna mobile. Se "altro" precisare qui:</v>
      </c>
      <c r="E329" s="432" t="s">
        <v>1765</v>
      </c>
      <c r="F329" s="972" t="s">
        <v>2408</v>
      </c>
      <c r="G329" s="433" t="s">
        <v>2507</v>
      </c>
    </row>
    <row r="330" spans="1:7" ht="25.95" customHeight="1">
      <c r="A330" s="431">
        <v>327</v>
      </c>
      <c r="B330" s="1002" t="s">
        <v>1790</v>
      </c>
      <c r="C330" s="1002" t="s">
        <v>893</v>
      </c>
      <c r="D330" s="968" t="str">
        <f t="shared" si="5"/>
        <v>Valore g e descrizione del prodotto</v>
      </c>
      <c r="E330" s="432" t="s">
        <v>1797</v>
      </c>
      <c r="F330" s="972" t="s">
        <v>2409</v>
      </c>
      <c r="G330" s="433" t="s">
        <v>2508</v>
      </c>
    </row>
    <row r="331" spans="1:7" ht="46.5" customHeight="1">
      <c r="A331" s="431">
        <v>328</v>
      </c>
      <c r="B331" s="1002" t="s">
        <v>1790</v>
      </c>
      <c r="C331" s="1002" t="s">
        <v>1798</v>
      </c>
      <c r="D331" s="968" t="str">
        <f t="shared" si="5"/>
        <v>Abitazioni (mono- e plurifamiliari), locale con 1 facciata, soletta in calcestruzzo (libera &gt;80%): - percentuale di vetro &lt;70%</v>
      </c>
      <c r="E331" s="432" t="s">
        <v>1766</v>
      </c>
      <c r="F331" s="972" t="s">
        <v>2606</v>
      </c>
      <c r="G331" s="433" t="s">
        <v>2612</v>
      </c>
    </row>
    <row r="332" spans="1:7" ht="34.950000000000003" customHeight="1">
      <c r="A332" s="431">
        <v>329</v>
      </c>
      <c r="B332" s="1002" t="s">
        <v>1790</v>
      </c>
      <c r="C332" s="1002" t="s">
        <v>550</v>
      </c>
      <c r="D332" s="968" t="str">
        <f t="shared" si="5"/>
        <v>Abitazioni (mono - e plurifamiliari), locale ad angolo, soletta in calcestruzzo (libera &gt;80%): - percentuale di vetro per facciata &lt;50%</v>
      </c>
      <c r="E332" s="432" t="s">
        <v>1767</v>
      </c>
      <c r="F332" s="972" t="s">
        <v>2607</v>
      </c>
      <c r="G332" s="1537" t="s">
        <v>2613</v>
      </c>
    </row>
    <row r="333" spans="1:7" ht="49.5" customHeight="1">
      <c r="A333" s="431">
        <v>330</v>
      </c>
      <c r="B333" s="1002" t="s">
        <v>1790</v>
      </c>
      <c r="C333" s="1002" t="s">
        <v>1799</v>
      </c>
      <c r="D333" s="968" t="str">
        <f t="shared" si="5"/>
        <v>Abitazioni (mono - e plurifamiliari), locale con 1 facciata o locale ad angolo. Soletta in legno con sottofondo cementizio (min. 6 cm) o anidritico (min. 5 cm):   - percentuale di vetro &lt;40%</v>
      </c>
      <c r="E333" s="432" t="s">
        <v>1768</v>
      </c>
      <c r="F333" s="972" t="s">
        <v>3027</v>
      </c>
      <c r="G333" s="433" t="s">
        <v>3026</v>
      </c>
    </row>
    <row r="334" spans="1:7" ht="66" customHeight="1">
      <c r="A334" s="431">
        <v>331</v>
      </c>
      <c r="B334" s="1002" t="s">
        <v>1790</v>
      </c>
      <c r="C334" s="1002" t="s">
        <v>551</v>
      </c>
      <c r="D334" s="968" t="str">
        <f t="shared" si="5"/>
        <v>Abitazioni (mono - e plurifamiliari), locale con 1 facciata, soletta in calcestruzzo (libera &gt;80%) o con sottofondo cementizio (min. 6 cm) o anidritico (min. 5 cm), orientato a sud con ombreggiamento tramite balcone di min. 1 m di profondità:  - percentuale di vetro &lt;100%</v>
      </c>
      <c r="E334" s="432" t="s">
        <v>1769</v>
      </c>
      <c r="F334" s="972" t="s">
        <v>2608</v>
      </c>
      <c r="G334" s="1537" t="s">
        <v>3028</v>
      </c>
    </row>
    <row r="335" spans="1:7" ht="42.75" customHeight="1">
      <c r="A335" s="431">
        <v>332</v>
      </c>
      <c r="B335" s="1002" t="s">
        <v>1790</v>
      </c>
      <c r="C335" s="1002" t="s">
        <v>552</v>
      </c>
      <c r="D335" s="968" t="str">
        <f t="shared" si="5"/>
        <v>Ufficio singolo, ufficio di gruppo, sala riunioni con 1 facciata, soletta in calcestruzzo (libera &gt;80%):  - percentuale di vetro &lt;50% e regolazione automatica della schermatura solare</v>
      </c>
      <c r="E335" s="432" t="s">
        <v>1800</v>
      </c>
      <c r="F335" s="972" t="s">
        <v>2609</v>
      </c>
      <c r="G335" s="433" t="s">
        <v>3030</v>
      </c>
    </row>
    <row r="336" spans="1:7" ht="40.5" customHeight="1">
      <c r="A336" s="431">
        <v>333</v>
      </c>
      <c r="B336" s="1002" t="s">
        <v>1790</v>
      </c>
      <c r="C336" s="1002" t="s">
        <v>497</v>
      </c>
      <c r="D336" s="968" t="str">
        <f t="shared" si="5"/>
        <v>Ufficio singolo, ufficio di gruppo, sala riunioni a locali d’angolo, soletta in calcestruzzo (libera &gt;80%):  - percentuale di vetro &lt; 35% e regolazione automatica della schermatura solare</v>
      </c>
      <c r="E336" s="432" t="s">
        <v>1801</v>
      </c>
      <c r="F336" s="972" t="s">
        <v>2610</v>
      </c>
      <c r="G336" s="433" t="s">
        <v>3029</v>
      </c>
    </row>
    <row r="337" spans="1:7" ht="25.95" customHeight="1">
      <c r="A337" s="431">
        <v>334</v>
      </c>
      <c r="B337" s="1002" t="s">
        <v>1790</v>
      </c>
      <c r="C337" s="1002" t="s">
        <v>1803</v>
      </c>
      <c r="D337" s="968" t="str">
        <f t="shared" si="5"/>
        <v>Magazzino con bassi carichi di calore interni</v>
      </c>
      <c r="E337" s="432" t="s">
        <v>1802</v>
      </c>
      <c r="F337" s="972" t="s">
        <v>2410</v>
      </c>
      <c r="G337" s="433" t="s">
        <v>2509</v>
      </c>
    </row>
    <row r="338" spans="1:7" ht="67.5" customHeight="1">
      <c r="A338" s="431">
        <v>335</v>
      </c>
      <c r="B338" s="1002" t="s">
        <v>1790</v>
      </c>
      <c r="C338" s="1002" t="s">
        <v>874</v>
      </c>
      <c r="D338" s="968" t="str">
        <f t="shared" si="5"/>
        <v>"n.a.": non applicabile. Un locale di questo tipo non esiste
"si":    un locale di questo tipo esiste e tutti i criteri sono soddisfatti
"no":   un locale di questo tipo esiste, ma i criteri non sono soddisfatti (p.es. percentuale di vetro troppo elevata)</v>
      </c>
      <c r="E338" s="432" t="s">
        <v>1770</v>
      </c>
      <c r="F338" s="972" t="s">
        <v>2611</v>
      </c>
      <c r="G338" s="433" t="s">
        <v>2614</v>
      </c>
    </row>
    <row r="339" spans="1:7" ht="25.95" customHeight="1">
      <c r="A339" s="431">
        <v>336</v>
      </c>
      <c r="B339" s="1002" t="s">
        <v>1790</v>
      </c>
      <c r="C339" s="1002" t="s">
        <v>1805</v>
      </c>
      <c r="D339" s="968" t="str">
        <f t="shared" si="5"/>
        <v>Se S14 è vero, in S11 bisogna inserire n.a</v>
      </c>
      <c r="E339" s="432" t="s">
        <v>1804</v>
      </c>
      <c r="F339" s="972" t="s">
        <v>2411</v>
      </c>
      <c r="G339" s="433" t="s">
        <v>2517</v>
      </c>
    </row>
    <row r="340" spans="1:7" ht="43.5" customHeight="1">
      <c r="A340" s="431">
        <v>337</v>
      </c>
      <c r="B340" s="1002" t="s">
        <v>1790</v>
      </c>
      <c r="C340" s="1002" t="s">
        <v>1807</v>
      </c>
      <c r="D340" s="968" t="str">
        <f t="shared" si="5"/>
        <v>Se si riscontra questa situazione, la percentuale di vetro non è rilevante. Se una delle caratteristiche elencate non è presente, bisogna rispondere n.a.</v>
      </c>
      <c r="E340" s="432" t="s">
        <v>1806</v>
      </c>
      <c r="F340" s="972" t="s">
        <v>2399</v>
      </c>
      <c r="G340" s="433" t="s">
        <v>1969</v>
      </c>
    </row>
    <row r="341" spans="1:7" ht="25.95" customHeight="1">
      <c r="A341" s="431">
        <v>338</v>
      </c>
      <c r="B341" s="1002" t="s">
        <v>1790</v>
      </c>
      <c r="C341" s="1002" t="s">
        <v>876</v>
      </c>
      <c r="D341" s="968" t="str">
        <f t="shared" si="5"/>
        <v>Variante 2: verifica esterna dei criteri secondo SIA 382/1 (senza raffreddamento)</v>
      </c>
      <c r="E341" s="432" t="s">
        <v>1771</v>
      </c>
      <c r="F341" s="972" t="s">
        <v>2412</v>
      </c>
      <c r="G341" s="433" t="s">
        <v>2511</v>
      </c>
    </row>
    <row r="342" spans="1:7" ht="25.95" customHeight="1">
      <c r="A342" s="431">
        <v>339</v>
      </c>
      <c r="B342" s="1002" t="s">
        <v>1790</v>
      </c>
      <c r="C342" s="1002" t="s">
        <v>1808</v>
      </c>
      <c r="D342" s="968" t="str">
        <f t="shared" si="5"/>
        <v>Il rispetto di questi criteri è descritto e documentato negli allegati</v>
      </c>
      <c r="E342" s="432" t="s">
        <v>1772</v>
      </c>
      <c r="F342" s="972" t="s">
        <v>2413</v>
      </c>
      <c r="G342" s="433" t="s">
        <v>2512</v>
      </c>
    </row>
    <row r="343" spans="1:7" ht="25.95" customHeight="1">
      <c r="A343" s="431">
        <v>340</v>
      </c>
      <c r="B343" s="1002" t="s">
        <v>1790</v>
      </c>
      <c r="C343" s="1002" t="s">
        <v>97</v>
      </c>
      <c r="D343" s="968" t="str">
        <f t="shared" si="5"/>
        <v>SIA 382/1 cfr.</v>
      </c>
      <c r="E343" s="432" t="s">
        <v>1773</v>
      </c>
      <c r="F343" s="972" t="s">
        <v>2414</v>
      </c>
      <c r="G343" s="433" t="s">
        <v>2513</v>
      </c>
    </row>
    <row r="344" spans="1:7" ht="25.95" customHeight="1">
      <c r="A344" s="431">
        <v>341</v>
      </c>
      <c r="B344" s="1002" t="s">
        <v>1790</v>
      </c>
      <c r="C344" s="1002" t="s">
        <v>1809</v>
      </c>
      <c r="D344" s="968" t="str">
        <f t="shared" si="5"/>
        <v>I requisiti per la protezione termica estiva sono soddisfatti tramite il formulario supplementare.</v>
      </c>
      <c r="E344" s="432" t="s">
        <v>1776</v>
      </c>
      <c r="F344" s="972" t="s">
        <v>2415</v>
      </c>
      <c r="G344" s="433" t="s">
        <v>2514</v>
      </c>
    </row>
    <row r="345" spans="1:7" ht="25.95" customHeight="1">
      <c r="A345" s="431">
        <v>342</v>
      </c>
      <c r="B345" s="1002" t="s">
        <v>1790</v>
      </c>
      <c r="C345" s="1002" t="s">
        <v>877</v>
      </c>
      <c r="D345" s="968" t="str">
        <f t="shared" si="5"/>
        <v>Osservazioni sulla verifica esterna (tipo, allegati, p.es. criteri di scelta secondo la guida all'uso):</v>
      </c>
      <c r="E345" s="432" t="s">
        <v>1782</v>
      </c>
      <c r="F345" s="972" t="s">
        <v>2416</v>
      </c>
      <c r="G345" s="433" t="s">
        <v>2515</v>
      </c>
    </row>
    <row r="346" spans="1:7" ht="25.95" customHeight="1">
      <c r="A346" s="431">
        <v>343</v>
      </c>
      <c r="B346" s="1002" t="s">
        <v>1790</v>
      </c>
      <c r="C346" s="1002" t="s">
        <v>885</v>
      </c>
      <c r="D346" s="968" t="str">
        <f t="shared" si="5"/>
        <v>Variante 3: calcolo tramite Tool SIA TEC 382/1 (con raffreddamento)</v>
      </c>
      <c r="E346" s="432" t="s">
        <v>1810</v>
      </c>
      <c r="F346" s="972" t="s">
        <v>2417</v>
      </c>
      <c r="G346" s="433" t="s">
        <v>2516</v>
      </c>
    </row>
    <row r="347" spans="1:7" ht="41.25" customHeight="1">
      <c r="A347" s="431">
        <v>344</v>
      </c>
      <c r="B347" s="1002" t="s">
        <v>1790</v>
      </c>
      <c r="C347" s="1002" t="s">
        <v>1811</v>
      </c>
      <c r="D347" s="968" t="str">
        <f t="shared" si="5"/>
        <v>Le temperature estive dell'aria interna sono calcolate tramite SIA 382/1, cifra 4.4.4. La curva dei valori limite non viene oltrepassata per più di 100 h senza raffreddamento.</v>
      </c>
      <c r="E347" s="432" t="s">
        <v>1783</v>
      </c>
      <c r="F347" s="972" t="s">
        <v>2418</v>
      </c>
      <c r="G347" s="433" t="s">
        <v>2518</v>
      </c>
    </row>
    <row r="348" spans="1:7" ht="44.25" customHeight="1">
      <c r="A348" s="431">
        <v>345</v>
      </c>
      <c r="B348" s="1002" t="s">
        <v>1790</v>
      </c>
      <c r="C348" s="1002" t="s">
        <v>940</v>
      </c>
      <c r="D348" s="968" t="str">
        <f t="shared" si="5"/>
        <v>La zona è climatizzata e il fabbisogno energetico è stato calcolato. Nei locali non si riscontrano temperature estive elevate.</v>
      </c>
      <c r="E348" s="432" t="s">
        <v>1785</v>
      </c>
      <c r="F348" s="972" t="s">
        <v>2423</v>
      </c>
      <c r="G348" s="433" t="s">
        <v>2519</v>
      </c>
    </row>
    <row r="349" spans="1:7" ht="25.95" customHeight="1">
      <c r="A349" s="431">
        <v>346</v>
      </c>
      <c r="B349" s="1002" t="s">
        <v>1790</v>
      </c>
      <c r="C349" s="1002" t="s">
        <v>945</v>
      </c>
      <c r="D349" s="968" t="str">
        <f t="shared" si="5"/>
        <v>Secondo quanto dichiarato, i requisiti per la protezione termica estiva sono soddisfatte.</v>
      </c>
      <c r="E349" s="432" t="s">
        <v>1789</v>
      </c>
      <c r="F349" s="972" t="s">
        <v>2419</v>
      </c>
      <c r="G349" s="433" t="s">
        <v>2520</v>
      </c>
    </row>
    <row r="350" spans="1:7" ht="25.95" customHeight="1">
      <c r="A350" s="431">
        <v>347</v>
      </c>
      <c r="B350" s="1002" t="s">
        <v>1790</v>
      </c>
      <c r="C350" s="1002" t="s">
        <v>1812</v>
      </c>
      <c r="D350" s="968" t="str">
        <f t="shared" si="5"/>
        <v>Tapparelle</v>
      </c>
      <c r="E350" s="432" t="s">
        <v>1756</v>
      </c>
      <c r="F350" s="972" t="s">
        <v>2420</v>
      </c>
      <c r="G350" s="433" t="s">
        <v>2979</v>
      </c>
    </row>
    <row r="351" spans="1:7" ht="25.95" customHeight="1">
      <c r="A351" s="431">
        <v>348</v>
      </c>
      <c r="B351" s="1002" t="s">
        <v>1790</v>
      </c>
      <c r="C351" s="1002" t="s">
        <v>1813</v>
      </c>
      <c r="D351" s="968" t="str">
        <f t="shared" si="5"/>
        <v>Lamelle</v>
      </c>
      <c r="E351" s="432" t="s">
        <v>1814</v>
      </c>
      <c r="F351" s="972" t="s">
        <v>2421</v>
      </c>
      <c r="G351" s="433" t="s">
        <v>2521</v>
      </c>
    </row>
    <row r="352" spans="1:7" ht="25.95" customHeight="1">
      <c r="A352" s="431">
        <v>349</v>
      </c>
      <c r="B352" s="1002" t="s">
        <v>1790</v>
      </c>
      <c r="C352" s="1002" t="s">
        <v>1815</v>
      </c>
      <c r="D352" s="968" t="str">
        <f t="shared" si="5"/>
        <v>Modulo Minergie</v>
      </c>
      <c r="E352" s="432" t="s">
        <v>2980</v>
      </c>
      <c r="F352" s="972" t="s">
        <v>2981</v>
      </c>
      <c r="G352" s="433" t="s">
        <v>2522</v>
      </c>
    </row>
    <row r="353" spans="1:7" ht="25.95" customHeight="1">
      <c r="A353" s="431">
        <v>350</v>
      </c>
      <c r="B353" s="1002" t="s">
        <v>1790</v>
      </c>
      <c r="C353" s="1002" t="s">
        <v>1816</v>
      </c>
      <c r="D353" s="968" t="str">
        <f t="shared" si="5"/>
        <v>altro</v>
      </c>
      <c r="E353" s="432" t="s">
        <v>179</v>
      </c>
      <c r="F353" s="972" t="s">
        <v>2422</v>
      </c>
      <c r="G353" s="433" t="s">
        <v>1478</v>
      </c>
    </row>
    <row r="354" spans="1:7" ht="25.95" customHeight="1">
      <c r="A354" s="431">
        <v>351</v>
      </c>
      <c r="B354" s="1002" t="s">
        <v>1790</v>
      </c>
      <c r="C354" s="1002" t="s">
        <v>893</v>
      </c>
      <c r="D354" s="968" t="str">
        <f t="shared" si="5"/>
        <v>Valore g e descrizione del prodotto</v>
      </c>
      <c r="E354" s="432" t="s">
        <v>1797</v>
      </c>
      <c r="F354" s="972" t="s">
        <v>2409</v>
      </c>
      <c r="G354" s="433" t="s">
        <v>2508</v>
      </c>
    </row>
    <row r="355" spans="1:7" ht="25.95" customHeight="1">
      <c r="A355" s="431">
        <v>352</v>
      </c>
      <c r="B355" s="1002" t="s">
        <v>1790</v>
      </c>
      <c r="C355" s="1002" t="s">
        <v>1805</v>
      </c>
      <c r="D355" s="968" t="str">
        <f t="shared" si="5"/>
        <v>Se S14 è vero, in S11 bisogna inserire n.a.</v>
      </c>
      <c r="E355" s="432" t="s">
        <v>1804</v>
      </c>
      <c r="F355" s="972" t="s">
        <v>2411</v>
      </c>
      <c r="G355" s="433" t="s">
        <v>2510</v>
      </c>
    </row>
    <row r="356" spans="1:7" ht="25.95" customHeight="1">
      <c r="A356" s="431">
        <v>353</v>
      </c>
      <c r="B356" s="1002" t="s">
        <v>53</v>
      </c>
      <c r="C356" s="1002" t="s">
        <v>851</v>
      </c>
      <c r="D356" s="968" t="str">
        <f t="shared" si="5"/>
        <v>Nome del progetto:</v>
      </c>
      <c r="E356" s="432" t="s">
        <v>1818</v>
      </c>
      <c r="F356" s="972" t="s">
        <v>2424</v>
      </c>
      <c r="G356" s="433" t="s">
        <v>2523</v>
      </c>
    </row>
    <row r="357" spans="1:7" ht="25.95" customHeight="1">
      <c r="A357" s="431">
        <v>354</v>
      </c>
      <c r="B357" s="1002" t="s">
        <v>53</v>
      </c>
      <c r="C357" s="1002" t="s">
        <v>551</v>
      </c>
      <c r="D357" s="968" t="str">
        <f t="shared" si="5"/>
        <v>Rapporto di forma</v>
      </c>
      <c r="E357" s="432" t="s">
        <v>176</v>
      </c>
      <c r="F357" s="972" t="s">
        <v>2425</v>
      </c>
      <c r="G357" s="433" t="s">
        <v>2524</v>
      </c>
    </row>
    <row r="358" spans="1:7" ht="25.95" customHeight="1">
      <c r="A358" s="431">
        <v>355</v>
      </c>
      <c r="B358" s="1002" t="s">
        <v>53</v>
      </c>
      <c r="C358" s="1002" t="s">
        <v>1819</v>
      </c>
      <c r="D358" s="968" t="str">
        <f t="shared" si="5"/>
        <v xml:space="preserve">n. MOP: </v>
      </c>
      <c r="E358" s="432" t="s">
        <v>1820</v>
      </c>
      <c r="F358" s="972" t="s">
        <v>2426</v>
      </c>
      <c r="G358" s="433" t="s">
        <v>3032</v>
      </c>
    </row>
    <row r="359" spans="1:7" ht="25.95" customHeight="1">
      <c r="A359" s="431">
        <v>356</v>
      </c>
      <c r="B359" s="1002" t="s">
        <v>53</v>
      </c>
      <c r="C359" s="1002" t="s">
        <v>854</v>
      </c>
      <c r="D359" s="968" t="str">
        <f t="shared" si="5"/>
        <v>Indirizzo dell'edificio</v>
      </c>
      <c r="E359" s="432" t="s">
        <v>1821</v>
      </c>
      <c r="F359" s="972" t="s">
        <v>2427</v>
      </c>
      <c r="G359" s="433" t="s">
        <v>2525</v>
      </c>
    </row>
    <row r="360" spans="1:7" ht="25.95" customHeight="1">
      <c r="A360" s="431">
        <v>357</v>
      </c>
      <c r="B360" s="1002" t="s">
        <v>707</v>
      </c>
      <c r="C360" s="1002" t="s">
        <v>884</v>
      </c>
      <c r="D360" s="968" t="str">
        <f t="shared" si="5"/>
        <v>Valore limite fabbisogno finale d'energia senza PV</v>
      </c>
      <c r="E360" s="432" t="s">
        <v>1822</v>
      </c>
      <c r="F360" s="972" t="s">
        <v>2428</v>
      </c>
      <c r="G360" s="433" t="s">
        <v>2526</v>
      </c>
    </row>
    <row r="361" spans="1:7" ht="25.95" customHeight="1">
      <c r="A361" s="431">
        <v>358</v>
      </c>
      <c r="B361" s="1002" t="s">
        <v>707</v>
      </c>
      <c r="C361" s="1002" t="s">
        <v>706</v>
      </c>
      <c r="D361" s="968" t="str">
        <f t="shared" si="5"/>
        <v>Valore limite indice Minergie</v>
      </c>
      <c r="E361" s="432" t="s">
        <v>1823</v>
      </c>
      <c r="F361" s="972" t="s">
        <v>2429</v>
      </c>
      <c r="G361" s="433" t="s">
        <v>2527</v>
      </c>
    </row>
    <row r="362" spans="1:7" ht="25.95" customHeight="1">
      <c r="A362" s="431">
        <v>359</v>
      </c>
      <c r="B362" s="1002" t="s">
        <v>313</v>
      </c>
      <c r="C362" s="1002" t="s">
        <v>1796</v>
      </c>
      <c r="D362" s="968" t="str">
        <f t="shared" si="5"/>
        <v>- riduttori di flusso per rubinetteria</v>
      </c>
      <c r="E362" s="432" t="s">
        <v>1864</v>
      </c>
      <c r="F362" s="972" t="s">
        <v>2430</v>
      </c>
      <c r="G362" s="1537" t="s">
        <v>2530</v>
      </c>
    </row>
    <row r="363" spans="1:7" ht="25.95" customHeight="1">
      <c r="A363" s="431">
        <v>360</v>
      </c>
      <c r="B363" s="1002" t="s">
        <v>313</v>
      </c>
      <c r="C363" s="1002" t="s">
        <v>489</v>
      </c>
      <c r="D363" s="968" t="str">
        <f t="shared" si="5"/>
        <v>- riduttori per mantenimento del calore</v>
      </c>
      <c r="E363" s="432" t="s">
        <v>1865</v>
      </c>
      <c r="F363" s="972" t="s">
        <v>2431</v>
      </c>
      <c r="G363" s="1537" t="s">
        <v>2531</v>
      </c>
    </row>
    <row r="364" spans="1:7" ht="25.95" customHeight="1">
      <c r="A364" s="431">
        <v>361</v>
      </c>
      <c r="B364" s="1002" t="s">
        <v>313</v>
      </c>
      <c r="C364" s="1002" t="s">
        <v>874</v>
      </c>
      <c r="D364" s="968" t="str">
        <f t="shared" si="5"/>
        <v>Elettricità</v>
      </c>
      <c r="E364" s="432" t="s">
        <v>1736</v>
      </c>
      <c r="F364" s="972" t="s">
        <v>2432</v>
      </c>
      <c r="G364" s="433" t="s">
        <v>1477</v>
      </c>
    </row>
    <row r="365" spans="1:7" ht="25.95" customHeight="1">
      <c r="A365" s="431">
        <v>362</v>
      </c>
      <c r="B365" s="1002" t="s">
        <v>313</v>
      </c>
      <c r="C365" s="1002" t="s">
        <v>876</v>
      </c>
      <c r="D365" s="968" t="str">
        <f t="shared" si="5"/>
        <v>Informazioni sull'utilizzo dell'abitazione</v>
      </c>
      <c r="E365" s="432" t="s">
        <v>1744</v>
      </c>
      <c r="F365" s="972" t="s">
        <v>2433</v>
      </c>
      <c r="G365" s="433" t="s">
        <v>2528</v>
      </c>
    </row>
    <row r="366" spans="1:7" ht="25.95" customHeight="1">
      <c r="A366" s="431">
        <v>363</v>
      </c>
      <c r="B366" s="1002" t="s">
        <v>313</v>
      </c>
      <c r="C366" s="1002" t="s">
        <v>1808</v>
      </c>
      <c r="D366" s="968" t="str">
        <f t="shared" si="5"/>
        <v>Impianti di elevazione / lift presenti</v>
      </c>
      <c r="E366" s="432" t="s">
        <v>2058</v>
      </c>
      <c r="F366" s="972" t="s">
        <v>2434</v>
      </c>
      <c r="G366" s="433" t="s">
        <v>2529</v>
      </c>
    </row>
    <row r="367" spans="1:7" ht="25.95" customHeight="1">
      <c r="A367" s="431">
        <v>364</v>
      </c>
      <c r="B367" s="1002" t="s">
        <v>313</v>
      </c>
      <c r="C367" s="1002" t="s">
        <v>97</v>
      </c>
      <c r="D367" s="968" t="str">
        <f t="shared" si="5"/>
        <v>Tutte le lavastoviglie classe A+++</v>
      </c>
      <c r="E367" s="432" t="s">
        <v>1738</v>
      </c>
      <c r="F367" s="972" t="s">
        <v>2435</v>
      </c>
      <c r="G367" s="433" t="s">
        <v>2532</v>
      </c>
    </row>
    <row r="368" spans="1:7" ht="25.95" customHeight="1">
      <c r="A368" s="431">
        <v>365</v>
      </c>
      <c r="B368" s="1002" t="s">
        <v>313</v>
      </c>
      <c r="C368" s="1002" t="s">
        <v>98</v>
      </c>
      <c r="D368" s="968" t="str">
        <f t="shared" si="5"/>
        <v>Tutti i congelatori classe A+++</v>
      </c>
      <c r="E368" s="432" t="s">
        <v>1737</v>
      </c>
      <c r="F368" s="972" t="s">
        <v>2436</v>
      </c>
      <c r="G368" s="433" t="s">
        <v>2533</v>
      </c>
    </row>
    <row r="369" spans="1:7" ht="25.95" customHeight="1">
      <c r="A369" s="431">
        <v>366</v>
      </c>
      <c r="B369" s="1002" t="s">
        <v>313</v>
      </c>
      <c r="C369" s="1002" t="s">
        <v>1836</v>
      </c>
      <c r="D369" s="968" t="str">
        <f t="shared" si="5"/>
        <v>Tutti le macchine da lavare classe A+++</v>
      </c>
      <c r="E369" s="432" t="s">
        <v>1739</v>
      </c>
      <c r="F369" s="972" t="s">
        <v>2437</v>
      </c>
      <c r="G369" s="433" t="s">
        <v>2534</v>
      </c>
    </row>
    <row r="370" spans="1:7" ht="25.95" customHeight="1">
      <c r="A370" s="431">
        <v>367</v>
      </c>
      <c r="B370" s="1002" t="s">
        <v>313</v>
      </c>
      <c r="C370" s="1002" t="s">
        <v>439</v>
      </c>
      <c r="D370" s="968" t="str">
        <f t="shared" si="5"/>
        <v>Tutti le asciugatrici classe A+++</v>
      </c>
      <c r="E370" s="432" t="s">
        <v>1740</v>
      </c>
      <c r="F370" s="972" t="s">
        <v>2438</v>
      </c>
      <c r="G370" s="433" t="s">
        <v>2535</v>
      </c>
    </row>
    <row r="371" spans="1:7" ht="25.95" customHeight="1">
      <c r="A371" s="431">
        <v>368</v>
      </c>
      <c r="B371" s="1002" t="s">
        <v>313</v>
      </c>
      <c r="C371" s="1002" t="s">
        <v>381</v>
      </c>
      <c r="D371" s="968" t="str">
        <f t="shared" si="5"/>
        <v>Tutti i piani di cottura ad induzione</v>
      </c>
      <c r="E371" s="432" t="s">
        <v>1741</v>
      </c>
      <c r="F371" s="972" t="s">
        <v>2439</v>
      </c>
      <c r="G371" s="433" t="s">
        <v>2536</v>
      </c>
    </row>
    <row r="372" spans="1:7" ht="25.95" customHeight="1">
      <c r="A372" s="431">
        <v>369</v>
      </c>
      <c r="B372" s="1002" t="s">
        <v>313</v>
      </c>
      <c r="C372" s="1002" t="s">
        <v>488</v>
      </c>
      <c r="D372" s="968" t="str">
        <f t="shared" si="5"/>
        <v>Illuminazione fissa con LED A++</v>
      </c>
      <c r="E372" s="432" t="s">
        <v>1742</v>
      </c>
      <c r="F372" s="972" t="s">
        <v>2440</v>
      </c>
      <c r="G372" s="433" t="s">
        <v>2537</v>
      </c>
    </row>
    <row r="373" spans="1:7" ht="25.95" customHeight="1">
      <c r="A373" s="431">
        <v>370</v>
      </c>
      <c r="B373" s="1002" t="s">
        <v>313</v>
      </c>
      <c r="C373" s="1002" t="s">
        <v>879</v>
      </c>
      <c r="D373" s="968" t="str">
        <f t="shared" si="5"/>
        <v>Illuminazione generale LED A++ e regolazione</v>
      </c>
      <c r="E373" s="432" t="s">
        <v>1743</v>
      </c>
      <c r="F373" s="972" t="s">
        <v>2441</v>
      </c>
      <c r="G373" s="433" t="s">
        <v>2538</v>
      </c>
    </row>
    <row r="374" spans="1:7" ht="25.95" customHeight="1">
      <c r="A374" s="431">
        <v>371</v>
      </c>
      <c r="B374" s="1002" t="s">
        <v>313</v>
      </c>
      <c r="C374" s="1002" t="s">
        <v>884</v>
      </c>
      <c r="D374" s="968" t="str">
        <f t="shared" si="5"/>
        <v>Altri utilizzi: dati sull'illuminazione</v>
      </c>
      <c r="E374" s="432" t="s">
        <v>1837</v>
      </c>
      <c r="F374" s="972" t="s">
        <v>2442</v>
      </c>
      <c r="G374" s="433" t="s">
        <v>2539</v>
      </c>
    </row>
    <row r="375" spans="1:7" ht="25.95" customHeight="1">
      <c r="A375" s="431">
        <v>372</v>
      </c>
      <c r="B375" s="1002" t="s">
        <v>313</v>
      </c>
      <c r="C375" s="1002" t="s">
        <v>848</v>
      </c>
      <c r="D375" s="968" t="str">
        <f t="shared" si="5"/>
        <v>Dati supplementari per</v>
      </c>
      <c r="E375" s="432" t="s">
        <v>1747</v>
      </c>
      <c r="F375" s="972" t="s">
        <v>2443</v>
      </c>
      <c r="G375" s="433" t="s">
        <v>2540</v>
      </c>
    </row>
    <row r="376" spans="1:7" ht="25.95" customHeight="1">
      <c r="A376" s="431">
        <v>373</v>
      </c>
      <c r="B376" s="1002" t="s">
        <v>313</v>
      </c>
      <c r="C376" s="1002" t="s">
        <v>849</v>
      </c>
      <c r="D376" s="968" t="str">
        <f t="shared" si="5"/>
        <v>Verifica Minergie</v>
      </c>
      <c r="E376" s="432" t="s">
        <v>2982</v>
      </c>
      <c r="F376" s="972" t="s">
        <v>2983</v>
      </c>
      <c r="G376" s="433" t="s">
        <v>2541</v>
      </c>
    </row>
    <row r="377" spans="1:7" ht="25.95" customHeight="1">
      <c r="A377" s="431">
        <v>374</v>
      </c>
      <c r="B377" s="1002" t="s">
        <v>313</v>
      </c>
      <c r="C377" s="1002" t="s">
        <v>886</v>
      </c>
      <c r="D377" s="968" t="str">
        <f t="shared" si="5"/>
        <v>Luminari: modulo Minergie o  luminari efficienti &gt;100 lm/W</v>
      </c>
      <c r="E377" s="432" t="s">
        <v>2984</v>
      </c>
      <c r="F377" s="972" t="s">
        <v>2444</v>
      </c>
      <c r="G377" s="433" t="s">
        <v>3025</v>
      </c>
    </row>
    <row r="378" spans="1:7" ht="25.95" customHeight="1">
      <c r="A378" s="431">
        <v>375</v>
      </c>
      <c r="B378" s="1002" t="s">
        <v>313</v>
      </c>
      <c r="C378" s="1002" t="s">
        <v>1811</v>
      </c>
      <c r="D378" s="968" t="str">
        <f t="shared" si="5"/>
        <v>Regolazione illuminazione con sensori di presenza e/o luminosità</v>
      </c>
      <c r="E378" s="432" t="s">
        <v>2985</v>
      </c>
      <c r="F378" s="972" t="s">
        <v>2445</v>
      </c>
      <c r="G378" s="433" t="s">
        <v>2986</v>
      </c>
    </row>
    <row r="379" spans="1:7" ht="25.95" customHeight="1">
      <c r="A379" s="431">
        <v>376</v>
      </c>
      <c r="B379" s="1002" t="s">
        <v>313</v>
      </c>
      <c r="C379" s="1002" t="s">
        <v>1070</v>
      </c>
      <c r="D379" s="968" t="str">
        <f t="shared" si="5"/>
        <v>Impianto fotovoltaico</v>
      </c>
      <c r="E379" s="432" t="s">
        <v>1745</v>
      </c>
      <c r="F379" s="972" t="s">
        <v>1627</v>
      </c>
      <c r="G379" s="433" t="s">
        <v>2542</v>
      </c>
    </row>
    <row r="380" spans="1:7" ht="25.95" customHeight="1">
      <c r="A380" s="431">
        <v>377</v>
      </c>
      <c r="B380" s="1002" t="s">
        <v>313</v>
      </c>
      <c r="C380" s="1002" t="s">
        <v>1893</v>
      </c>
      <c r="D380" s="968" t="str">
        <f t="shared" si="5"/>
        <v>Produzione annuale [kWh/m2]</v>
      </c>
      <c r="E380" s="432" t="s">
        <v>1746</v>
      </c>
      <c r="F380" s="972" t="s">
        <v>2446</v>
      </c>
      <c r="G380" s="433" t="s">
        <v>2543</v>
      </c>
    </row>
    <row r="381" spans="1:7" ht="25.95" customHeight="1">
      <c r="A381" s="431">
        <v>378</v>
      </c>
      <c r="B381" s="1002" t="s">
        <v>313</v>
      </c>
      <c r="C381" s="1002" t="s">
        <v>2196</v>
      </c>
      <c r="D381" s="968" t="str">
        <f t="shared" si="5"/>
        <v>Autoconsumo [%]</v>
      </c>
      <c r="E381" s="432" t="s">
        <v>2826</v>
      </c>
      <c r="F381" s="972" t="s">
        <v>2447</v>
      </c>
      <c r="G381" s="433" t="s">
        <v>2544</v>
      </c>
    </row>
    <row r="382" spans="1:7" ht="25.95" customHeight="1">
      <c r="A382" s="431">
        <v>379</v>
      </c>
      <c r="B382" s="1002" t="s">
        <v>313</v>
      </c>
      <c r="C382" s="1002" t="s">
        <v>946</v>
      </c>
      <c r="D382" s="968" t="str">
        <f t="shared" si="5"/>
        <v>Potenza nominale (senza cogenerazione) [kWp]</v>
      </c>
      <c r="E382" s="432" t="s">
        <v>2822</v>
      </c>
      <c r="F382" s="972" t="s">
        <v>2823</v>
      </c>
      <c r="G382" s="433" t="s">
        <v>2679</v>
      </c>
    </row>
    <row r="383" spans="1:7" ht="25.95" customHeight="1">
      <c r="A383" s="431">
        <v>380</v>
      </c>
      <c r="B383" s="1002" t="s">
        <v>313</v>
      </c>
      <c r="C383" s="1002" t="s">
        <v>948</v>
      </c>
      <c r="D383" s="968" t="str">
        <f t="shared" si="5"/>
        <v>Produzione annuale netta [kWh/m2] (allegare calcolo)</v>
      </c>
      <c r="E383" s="432" t="s">
        <v>1165</v>
      </c>
      <c r="F383" s="972" t="s">
        <v>2448</v>
      </c>
      <c r="G383" s="433" t="s">
        <v>2545</v>
      </c>
    </row>
    <row r="384" spans="1:7" ht="25.95" customHeight="1">
      <c r="A384" s="431">
        <v>381</v>
      </c>
      <c r="B384" s="1002" t="s">
        <v>313</v>
      </c>
      <c r="C384" s="1002" t="s">
        <v>1892</v>
      </c>
      <c r="D384" s="968" t="str">
        <f t="shared" si="5"/>
        <v>Altri requisiti</v>
      </c>
      <c r="E384" s="432" t="s">
        <v>1856</v>
      </c>
      <c r="F384" s="972" t="s">
        <v>2449</v>
      </c>
      <c r="G384" s="433" t="s">
        <v>2546</v>
      </c>
    </row>
    <row r="385" spans="1:7" ht="25.95" customHeight="1">
      <c r="A385" s="431">
        <v>382</v>
      </c>
      <c r="B385" s="1002" t="s">
        <v>313</v>
      </c>
      <c r="C385" s="1002" t="s">
        <v>1891</v>
      </c>
      <c r="D385" s="968" t="str">
        <f t="shared" si="5"/>
        <v>Autodichiarazione/conferma</v>
      </c>
      <c r="E385" s="432" t="s">
        <v>84</v>
      </c>
      <c r="F385" s="972" t="s">
        <v>2450</v>
      </c>
      <c r="G385" s="433" t="s">
        <v>2547</v>
      </c>
    </row>
    <row r="386" spans="1:7" ht="25.95" customHeight="1">
      <c r="A386" s="431">
        <v>383</v>
      </c>
      <c r="B386" s="1002" t="s">
        <v>313</v>
      </c>
      <c r="C386" s="1002" t="s">
        <v>2197</v>
      </c>
      <c r="D386" s="968" t="str">
        <f t="shared" si="5"/>
        <v xml:space="preserve">Requisito soddisfatto?    </v>
      </c>
      <c r="E386" s="432" t="s">
        <v>3137</v>
      </c>
      <c r="F386" s="972" t="s">
        <v>3135</v>
      </c>
      <c r="G386" s="433" t="s">
        <v>3136</v>
      </c>
    </row>
    <row r="387" spans="1:7" ht="25.95" customHeight="1">
      <c r="A387" s="431">
        <v>384</v>
      </c>
      <c r="B387" s="1002" t="s">
        <v>313</v>
      </c>
      <c r="C387" s="1002" t="s">
        <v>1890</v>
      </c>
      <c r="D387" s="968" t="str">
        <f t="shared" si="5"/>
        <v>Requisito</v>
      </c>
      <c r="E387" s="432" t="s">
        <v>495</v>
      </c>
      <c r="F387" s="972" t="s">
        <v>2451</v>
      </c>
      <c r="G387" s="433" t="s">
        <v>2548</v>
      </c>
    </row>
    <row r="388" spans="1:7" ht="25.95" customHeight="1">
      <c r="A388" s="431">
        <v>385</v>
      </c>
      <c r="B388" s="1002" t="s">
        <v>313</v>
      </c>
      <c r="C388" s="1002" t="s">
        <v>1889</v>
      </c>
      <c r="D388" s="968" t="str">
        <f t="shared" si="5"/>
        <v>Valore oggetto</v>
      </c>
      <c r="E388" s="432" t="s">
        <v>166</v>
      </c>
      <c r="F388" s="972" t="s">
        <v>2452</v>
      </c>
      <c r="G388" s="433" t="s">
        <v>2549</v>
      </c>
    </row>
    <row r="389" spans="1:7" ht="25.95" customHeight="1">
      <c r="A389" s="431">
        <v>386</v>
      </c>
      <c r="B389" s="1002" t="s">
        <v>623</v>
      </c>
      <c r="C389" s="1002" t="s">
        <v>1841</v>
      </c>
      <c r="D389" s="968" t="str">
        <f t="shared" ref="D389:D452" si="6">INDEX($E$4:$G$503,$A389,$A$1)</f>
        <v>Ermeticità involucro</v>
      </c>
      <c r="E389" s="432" t="s">
        <v>2818</v>
      </c>
      <c r="F389" s="972" t="s">
        <v>2819</v>
      </c>
      <c r="G389" s="433" t="s">
        <v>2820</v>
      </c>
    </row>
    <row r="390" spans="1:7" ht="25.95" customHeight="1">
      <c r="A390" s="431">
        <v>387</v>
      </c>
      <c r="B390" s="1002" t="s">
        <v>623</v>
      </c>
      <c r="C390" s="1002" t="s">
        <v>1842</v>
      </c>
      <c r="D390" s="968" t="str">
        <f t="shared" si="6"/>
        <v>Ermeticità involucro, risanamento</v>
      </c>
      <c r="E390" s="432" t="s">
        <v>2669</v>
      </c>
      <c r="F390" s="972" t="s">
        <v>2453</v>
      </c>
      <c r="G390" s="433" t="s">
        <v>2550</v>
      </c>
    </row>
    <row r="391" spans="1:7" ht="25.95" customHeight="1">
      <c r="A391" s="431">
        <v>388</v>
      </c>
      <c r="B391" s="1002" t="s">
        <v>313</v>
      </c>
      <c r="C391" s="1002" t="s">
        <v>878</v>
      </c>
      <c r="D391" s="968" t="str">
        <f t="shared" si="6"/>
        <v>Apparecchi efficienti corrente comune</v>
      </c>
      <c r="E391" s="432" t="s">
        <v>2987</v>
      </c>
      <c r="F391" s="972" t="s">
        <v>2680</v>
      </c>
      <c r="G391" s="433" t="s">
        <v>2678</v>
      </c>
    </row>
    <row r="392" spans="1:7" ht="25.95" customHeight="1">
      <c r="A392" s="431">
        <v>389</v>
      </c>
      <c r="B392" s="1002" t="s">
        <v>623</v>
      </c>
      <c r="C392" s="1002" t="s">
        <v>1843</v>
      </c>
      <c r="D392" s="968" t="str">
        <f t="shared" si="6"/>
        <v>Acqua calda sanitaria</v>
      </c>
      <c r="E392" s="432" t="s">
        <v>244</v>
      </c>
      <c r="F392" s="972" t="s">
        <v>1676</v>
      </c>
      <c r="G392" s="433" t="s">
        <v>2551</v>
      </c>
    </row>
    <row r="393" spans="1:7" ht="25.95" customHeight="1">
      <c r="A393" s="431">
        <v>390</v>
      </c>
      <c r="B393" s="1002" t="s">
        <v>623</v>
      </c>
      <c r="C393" s="1002" t="s">
        <v>1844</v>
      </c>
      <c r="D393" s="968" t="str">
        <f t="shared" si="6"/>
        <v>Calore residuo industriale</v>
      </c>
      <c r="E393" s="432" t="s">
        <v>195</v>
      </c>
      <c r="F393" s="972" t="s">
        <v>2454</v>
      </c>
      <c r="G393" s="433" t="s">
        <v>2552</v>
      </c>
    </row>
    <row r="394" spans="1:7" ht="25.95" customHeight="1">
      <c r="A394" s="431">
        <v>391</v>
      </c>
      <c r="B394" s="1002" t="s">
        <v>623</v>
      </c>
      <c r="C394" s="1002" t="s">
        <v>1845</v>
      </c>
      <c r="D394" s="968" t="str">
        <f t="shared" si="6"/>
        <v>Calore residuo</v>
      </c>
      <c r="E394" s="432" t="s">
        <v>38</v>
      </c>
      <c r="F394" s="972" t="s">
        <v>2455</v>
      </c>
      <c r="G394" s="433" t="s">
        <v>2553</v>
      </c>
    </row>
    <row r="395" spans="1:7" ht="25.95" customHeight="1">
      <c r="A395" s="431">
        <v>392</v>
      </c>
      <c r="B395" s="1002" t="s">
        <v>623</v>
      </c>
      <c r="C395" s="1002" t="s">
        <v>1847</v>
      </c>
      <c r="D395" s="968" t="str">
        <f t="shared" si="6"/>
        <v>Utilizzo del calore residuo</v>
      </c>
      <c r="E395" s="432" t="s">
        <v>1846</v>
      </c>
      <c r="F395" s="972" t="s">
        <v>2456</v>
      </c>
      <c r="G395" s="433" t="s">
        <v>2554</v>
      </c>
    </row>
    <row r="396" spans="1:7" ht="25.95" customHeight="1">
      <c r="A396" s="431">
        <v>393</v>
      </c>
      <c r="B396" s="1002" t="s">
        <v>623</v>
      </c>
      <c r="C396" s="1002" t="s">
        <v>1848</v>
      </c>
      <c r="D396" s="968" t="str">
        <f t="shared" si="6"/>
        <v>Ottimizzazione d'esercizio per piscine coperte</v>
      </c>
      <c r="E396" s="432" t="s">
        <v>167</v>
      </c>
      <c r="F396" s="972" t="s">
        <v>2457</v>
      </c>
      <c r="G396" s="433" t="s">
        <v>2555</v>
      </c>
    </row>
    <row r="397" spans="1:7" ht="25.95" customHeight="1">
      <c r="A397" s="431">
        <v>394</v>
      </c>
      <c r="B397" s="1002" t="s">
        <v>623</v>
      </c>
      <c r="C397" s="1002" t="s">
        <v>1844</v>
      </c>
      <c r="D397" s="968" t="str">
        <f t="shared" si="6"/>
        <v>Utilizzo energie rinnovabili</v>
      </c>
      <c r="E397" s="432" t="s">
        <v>1984</v>
      </c>
      <c r="F397" s="972" t="s">
        <v>2458</v>
      </c>
      <c r="G397" s="433" t="s">
        <v>2556</v>
      </c>
    </row>
    <row r="398" spans="1:7" ht="25.95" customHeight="1">
      <c r="A398" s="431">
        <v>395</v>
      </c>
      <c r="B398" s="1002" t="s">
        <v>623</v>
      </c>
      <c r="C398" s="1002" t="s">
        <v>1983</v>
      </c>
      <c r="D398" s="968" t="str">
        <f t="shared" si="6"/>
        <v>In presenza di calore residuo?</v>
      </c>
      <c r="E398" s="432" t="s">
        <v>37</v>
      </c>
      <c r="F398" s="972" t="s">
        <v>2459</v>
      </c>
      <c r="G398" s="433" t="s">
        <v>2557</v>
      </c>
    </row>
    <row r="399" spans="1:7" ht="25.95" customHeight="1">
      <c r="A399" s="431">
        <v>396</v>
      </c>
      <c r="B399" s="1002" t="s">
        <v>623</v>
      </c>
      <c r="C399" s="1002" t="s">
        <v>1849</v>
      </c>
      <c r="D399" s="968" t="str">
        <f t="shared" si="6"/>
        <v>20% coperto con energie rinnovabili?</v>
      </c>
      <c r="E399" s="432" t="s">
        <v>1972</v>
      </c>
      <c r="F399" s="972" t="s">
        <v>2460</v>
      </c>
      <c r="G399" s="433" t="s">
        <v>2558</v>
      </c>
    </row>
    <row r="400" spans="1:7" ht="25.95" customHeight="1">
      <c r="A400" s="431">
        <v>397</v>
      </c>
      <c r="B400" s="1002" t="s">
        <v>623</v>
      </c>
      <c r="C400" s="1002" t="s">
        <v>1850</v>
      </c>
      <c r="D400" s="968" t="str">
        <f t="shared" si="6"/>
        <v>Ermeticità involucro qa,50 &lt; 1.2 m3/(h*m2)</v>
      </c>
      <c r="E400" s="432" t="s">
        <v>2670</v>
      </c>
      <c r="F400" s="972" t="s">
        <v>2461</v>
      </c>
      <c r="G400" s="433" t="s">
        <v>2559</v>
      </c>
    </row>
    <row r="401" spans="1:7" ht="25.95" customHeight="1">
      <c r="A401" s="431">
        <v>398</v>
      </c>
      <c r="B401" s="1002" t="s">
        <v>623</v>
      </c>
      <c r="C401" s="1002" t="s">
        <v>1850</v>
      </c>
      <c r="D401" s="968" t="str">
        <f t="shared" si="6"/>
        <v>Ermeticità involucro qa,50 &lt; 0.8 m3/(h*m2)</v>
      </c>
      <c r="E401" s="432" t="s">
        <v>2671</v>
      </c>
      <c r="F401" s="972" t="s">
        <v>2462</v>
      </c>
      <c r="G401" s="433" t="s">
        <v>2560</v>
      </c>
    </row>
    <row r="402" spans="1:7" ht="25.95" customHeight="1">
      <c r="A402" s="431">
        <v>399</v>
      </c>
      <c r="B402" s="1002" t="s">
        <v>623</v>
      </c>
      <c r="C402" s="1002" t="s">
        <v>1852</v>
      </c>
      <c r="D402" s="968" t="str">
        <f t="shared" si="6"/>
        <v>Il calore residuo è utilizzato?</v>
      </c>
      <c r="E402" s="432" t="s">
        <v>1851</v>
      </c>
      <c r="F402" s="972" t="s">
        <v>2463</v>
      </c>
      <c r="G402" s="433" t="s">
        <v>2561</v>
      </c>
    </row>
    <row r="403" spans="1:7" ht="25.95" customHeight="1">
      <c r="A403" s="431">
        <v>400</v>
      </c>
      <c r="B403" s="1002" t="s">
        <v>623</v>
      </c>
      <c r="C403" s="1002" t="s">
        <v>1853</v>
      </c>
      <c r="D403" s="968" t="str">
        <f t="shared" si="6"/>
        <v>Recupero di calore con PdC sulla ventilazione, recupero di calore dall'acqua della vasca</v>
      </c>
      <c r="E403" s="432" t="s">
        <v>529</v>
      </c>
      <c r="F403" s="972" t="s">
        <v>2464</v>
      </c>
      <c r="G403" s="433" t="s">
        <v>2562</v>
      </c>
    </row>
    <row r="404" spans="1:7" ht="25.95" customHeight="1">
      <c r="A404" s="431">
        <v>401</v>
      </c>
      <c r="B404" s="1002" t="s">
        <v>623</v>
      </c>
      <c r="C404" s="1002" t="s">
        <v>1054</v>
      </c>
      <c r="D404" s="968" t="str">
        <f t="shared" si="6"/>
        <v>Ermeticità involucro qa,50 &lt; 1.6 m3/(h*m2)</v>
      </c>
      <c r="E404" s="432" t="s">
        <v>2672</v>
      </c>
      <c r="F404" s="972" t="s">
        <v>2465</v>
      </c>
      <c r="G404" s="433" t="s">
        <v>2563</v>
      </c>
    </row>
    <row r="405" spans="1:7" ht="25.95" customHeight="1">
      <c r="A405" s="431">
        <v>402</v>
      </c>
      <c r="B405" s="1002" t="s">
        <v>623</v>
      </c>
      <c r="C405" s="1002" t="s">
        <v>1982</v>
      </c>
      <c r="D405" s="968" t="str">
        <f t="shared" si="6"/>
        <v>Carico di picco con fonti fossili, massimo 30%?</v>
      </c>
      <c r="E405" s="432" t="s">
        <v>1985</v>
      </c>
      <c r="F405" s="972" t="s">
        <v>2466</v>
      </c>
      <c r="G405" s="433" t="s">
        <v>2564</v>
      </c>
    </row>
    <row r="406" spans="1:7" ht="25.95" customHeight="1">
      <c r="A406" s="431">
        <v>403</v>
      </c>
      <c r="B406" s="1002" t="s">
        <v>623</v>
      </c>
      <c r="C406" s="1002" t="s">
        <v>1850</v>
      </c>
      <c r="D406" s="968" t="str">
        <f t="shared" si="6"/>
        <v>Concetto dell'ermeticità  è stato allegato?</v>
      </c>
      <c r="E406" s="432" t="s">
        <v>3140</v>
      </c>
      <c r="F406" s="972" t="s">
        <v>3138</v>
      </c>
      <c r="G406" s="433" t="s">
        <v>3139</v>
      </c>
    </row>
    <row r="407" spans="1:7" ht="25.95" customHeight="1">
      <c r="A407" s="431">
        <v>404</v>
      </c>
      <c r="B407" s="1002" t="s">
        <v>313</v>
      </c>
      <c r="C407" s="1002" t="s">
        <v>1838</v>
      </c>
      <c r="D407" s="968" t="str">
        <f t="shared" si="6"/>
        <v>Illuminazione: valori di progetto SIA 380/4</v>
      </c>
      <c r="E407" s="432" t="s">
        <v>2988</v>
      </c>
      <c r="F407" s="972" t="s">
        <v>2467</v>
      </c>
      <c r="G407" s="433" t="s">
        <v>2565</v>
      </c>
    </row>
    <row r="408" spans="1:7" ht="25.95" customHeight="1">
      <c r="A408" s="431">
        <v>405</v>
      </c>
      <c r="B408" s="1002" t="s">
        <v>313</v>
      </c>
      <c r="C408" s="1002" t="s">
        <v>940</v>
      </c>
      <c r="D408" s="968" t="str">
        <f t="shared" si="6"/>
        <v>Illuminazione: valori mirati SIA 380/4</v>
      </c>
      <c r="E408" s="432" t="s">
        <v>2989</v>
      </c>
      <c r="F408" s="972" t="s">
        <v>2468</v>
      </c>
      <c r="G408" s="433" t="s">
        <v>2566</v>
      </c>
    </row>
    <row r="409" spans="1:7" ht="25.95" customHeight="1">
      <c r="A409" s="431">
        <v>406</v>
      </c>
      <c r="B409" s="1002" t="s">
        <v>313</v>
      </c>
      <c r="C409" s="1002" t="s">
        <v>1888</v>
      </c>
      <c r="D409" s="968" t="str">
        <f t="shared" si="6"/>
        <v>I requisiti sull'illuminazione sono rispettati?</v>
      </c>
      <c r="E409" s="432" t="s">
        <v>1855</v>
      </c>
      <c r="F409" s="972" t="s">
        <v>2469</v>
      </c>
      <c r="G409" s="433" t="s">
        <v>2567</v>
      </c>
    </row>
    <row r="410" spans="1:7" ht="25.95" customHeight="1">
      <c r="A410" s="431">
        <v>407</v>
      </c>
      <c r="B410" s="1002" t="s">
        <v>313</v>
      </c>
      <c r="C410" s="1002" t="s">
        <v>497</v>
      </c>
      <c r="D410" s="968" t="str">
        <f t="shared" si="6"/>
        <v>Numero unità abitative</v>
      </c>
      <c r="E410" s="432" t="s">
        <v>2390</v>
      </c>
      <c r="F410" s="972" t="s">
        <v>2681</v>
      </c>
      <c r="G410" s="433" t="s">
        <v>2677</v>
      </c>
    </row>
    <row r="411" spans="1:7" ht="25.95" customHeight="1">
      <c r="A411" s="431">
        <v>408</v>
      </c>
      <c r="B411" s="1002" t="s">
        <v>313</v>
      </c>
      <c r="C411" s="1002" t="s">
        <v>1798</v>
      </c>
      <c r="D411" s="968" t="str">
        <f t="shared" si="6"/>
        <v>- lunghezza cavo riscaldante</v>
      </c>
      <c r="E411" s="459" t="s">
        <v>1881</v>
      </c>
      <c r="F411" s="972" t="s">
        <v>2470</v>
      </c>
      <c r="G411" s="1537" t="s">
        <v>2585</v>
      </c>
    </row>
    <row r="412" spans="1:7" ht="25.95" customHeight="1">
      <c r="A412" s="431">
        <v>409</v>
      </c>
      <c r="B412" s="1002" t="s">
        <v>313</v>
      </c>
      <c r="C412" s="1002" t="s">
        <v>885</v>
      </c>
      <c r="D412" s="968" t="str">
        <f t="shared" si="6"/>
        <v>Illuminazione: risanamento completo?</v>
      </c>
      <c r="E412" s="432" t="s">
        <v>1887</v>
      </c>
      <c r="F412" s="972" t="s">
        <v>2471</v>
      </c>
      <c r="G412" s="433" t="s">
        <v>2568</v>
      </c>
    </row>
    <row r="413" spans="1:7" ht="25.95" customHeight="1">
      <c r="A413" s="431">
        <v>410</v>
      </c>
      <c r="B413" s="1002" t="s">
        <v>313</v>
      </c>
      <c r="C413" s="1002" t="s">
        <v>2195</v>
      </c>
      <c r="D413" s="968" t="str">
        <f t="shared" si="6"/>
        <v>Apporto annuale specifico [kWh/kWp]</v>
      </c>
      <c r="E413" s="432" t="s">
        <v>2827</v>
      </c>
      <c r="F413" s="972" t="s">
        <v>3301</v>
      </c>
      <c r="G413" s="433" t="s">
        <v>3302</v>
      </c>
    </row>
    <row r="414" spans="1:7" ht="25.95" customHeight="1">
      <c r="A414" s="431">
        <v>411</v>
      </c>
      <c r="B414" s="1002" t="s">
        <v>313</v>
      </c>
      <c r="C414" s="1002" t="s">
        <v>949</v>
      </c>
      <c r="D414" s="968" t="str">
        <f t="shared" si="6"/>
        <v>Potenza specifica installata per m2 AE</v>
      </c>
      <c r="E414" s="432" t="s">
        <v>1910</v>
      </c>
      <c r="F414" s="972" t="s">
        <v>2472</v>
      </c>
      <c r="G414" s="433" t="s">
        <v>2569</v>
      </c>
    </row>
    <row r="415" spans="1:7" ht="25.95" customHeight="1">
      <c r="A415" s="431">
        <v>412</v>
      </c>
      <c r="B415" s="1002" t="s">
        <v>623</v>
      </c>
      <c r="C415" s="1002" t="s">
        <v>1854</v>
      </c>
      <c r="D415" s="968" t="str">
        <f t="shared" si="6"/>
        <v>Interventi importanti sull'impiantistica?</v>
      </c>
      <c r="E415" s="432" t="s">
        <v>1989</v>
      </c>
      <c r="F415" s="972" t="s">
        <v>2473</v>
      </c>
      <c r="G415" s="433" t="s">
        <v>2570</v>
      </c>
    </row>
    <row r="416" spans="1:7" ht="25.95" customHeight="1">
      <c r="A416" s="431">
        <v>413</v>
      </c>
      <c r="B416" s="1002" t="s">
        <v>623</v>
      </c>
      <c r="C416" s="1002" t="s">
        <v>1988</v>
      </c>
      <c r="D416" s="968" t="str">
        <f t="shared" si="6"/>
        <v>Concetto di monitoraggio</v>
      </c>
      <c r="E416" s="432" t="s">
        <v>1986</v>
      </c>
      <c r="F416" s="972" t="s">
        <v>2474</v>
      </c>
      <c r="G416" s="433" t="s">
        <v>2571</v>
      </c>
    </row>
    <row r="417" spans="1:7" ht="25.95" customHeight="1">
      <c r="A417" s="431">
        <v>414</v>
      </c>
      <c r="B417" s="1002" t="s">
        <v>623</v>
      </c>
      <c r="C417" s="1002" t="s">
        <v>1991</v>
      </c>
      <c r="D417" s="968" t="str">
        <f t="shared" si="6"/>
        <v>Il concetto di monitoraggio è stato allegato?</v>
      </c>
      <c r="E417" s="432" t="s">
        <v>1992</v>
      </c>
      <c r="F417" s="972" t="s">
        <v>2475</v>
      </c>
      <c r="G417" s="433" t="s">
        <v>2572</v>
      </c>
    </row>
    <row r="418" spans="1:7" ht="25.95" customHeight="1">
      <c r="A418" s="431">
        <v>415</v>
      </c>
      <c r="B418" s="1002" t="s">
        <v>1840</v>
      </c>
      <c r="C418" s="1002" t="s">
        <v>1798</v>
      </c>
      <c r="D418" s="968" t="str">
        <f t="shared" si="6"/>
        <v>Progetto</v>
      </c>
      <c r="E418" s="432" t="s">
        <v>1934</v>
      </c>
      <c r="F418" s="972" t="s">
        <v>2476</v>
      </c>
      <c r="G418" s="433" t="s">
        <v>2573</v>
      </c>
    </row>
    <row r="419" spans="1:7" ht="25.95" customHeight="1">
      <c r="A419" s="431">
        <v>416</v>
      </c>
      <c r="B419" s="1002" t="s">
        <v>1840</v>
      </c>
      <c r="C419" s="1002" t="s">
        <v>854</v>
      </c>
      <c r="D419" s="968" t="str">
        <f t="shared" si="6"/>
        <v>Istruzioni</v>
      </c>
      <c r="E419" s="432" t="s">
        <v>1925</v>
      </c>
      <c r="F419" s="972" t="s">
        <v>2477</v>
      </c>
      <c r="G419" s="433" t="s">
        <v>2574</v>
      </c>
    </row>
    <row r="420" spans="1:7" ht="45" customHeight="1">
      <c r="A420" s="431">
        <v>417</v>
      </c>
      <c r="B420" s="1002" t="s">
        <v>1840</v>
      </c>
      <c r="C420" s="1002" t="s">
        <v>1937</v>
      </c>
      <c r="D420" s="968" t="str">
        <f t="shared" si="6"/>
        <v>Questo formulario di verifica è necessario per la verifica dello standard Minergie, Minergie-P e Minergie A. Lo standard corrispon-</v>
      </c>
      <c r="E420" s="432" t="s">
        <v>1926</v>
      </c>
      <c r="F420" s="972" t="s">
        <v>3017</v>
      </c>
      <c r="G420" s="433" t="s">
        <v>3021</v>
      </c>
    </row>
    <row r="421" spans="1:7" ht="42" customHeight="1">
      <c r="A421" s="431">
        <v>418</v>
      </c>
      <c r="B421" s="1002" t="s">
        <v>1840</v>
      </c>
      <c r="C421" s="1002" t="s">
        <v>1794</v>
      </c>
      <c r="D421" s="968" t="str">
        <f t="shared" si="6"/>
        <v>dente può essere selezionato nel foglio "Dati". Il formulario compilato va caricato sulla piattaforma Minergie Online (MOP).</v>
      </c>
      <c r="E421" s="432" t="s">
        <v>1927</v>
      </c>
      <c r="F421" s="972" t="s">
        <v>3016</v>
      </c>
      <c r="G421" s="433" t="s">
        <v>3022</v>
      </c>
    </row>
    <row r="422" spans="1:7" ht="42.75" customHeight="1">
      <c r="A422" s="431">
        <v>419</v>
      </c>
      <c r="B422" s="1002" t="s">
        <v>1840</v>
      </c>
      <c r="C422" s="1002" t="s">
        <v>1054</v>
      </c>
      <c r="D422" s="968" t="str">
        <f t="shared" si="6"/>
        <v>La richiesta di certificazione è generata automaticamente tramite MOP. La richiesta firmata, il presente formulario di verifica</v>
      </c>
      <c r="E422" s="432" t="s">
        <v>1928</v>
      </c>
      <c r="F422" s="972" t="s">
        <v>3018</v>
      </c>
      <c r="G422" s="433" t="s">
        <v>3024</v>
      </c>
    </row>
    <row r="423" spans="1:7" ht="45" customHeight="1">
      <c r="A423" s="431">
        <v>420</v>
      </c>
      <c r="B423" s="1002" t="s">
        <v>1840</v>
      </c>
      <c r="C423" s="1002" t="s">
        <v>1795</v>
      </c>
      <c r="D423" s="968" t="str">
        <f t="shared" si="6"/>
        <v>nonché altri documenti necessari, devono essere inviati in forma cartacea al centro di certificazione.</v>
      </c>
      <c r="E423" s="432" t="s">
        <v>1929</v>
      </c>
      <c r="F423" s="972" t="s">
        <v>3019</v>
      </c>
      <c r="G423" s="433" t="s">
        <v>3023</v>
      </c>
    </row>
    <row r="424" spans="1:7" ht="36" customHeight="1">
      <c r="A424" s="431">
        <v>421</v>
      </c>
      <c r="B424" s="1002" t="s">
        <v>1840</v>
      </c>
      <c r="C424" s="1002" t="s">
        <v>855</v>
      </c>
      <c r="D424" s="968" t="str">
        <f t="shared" si="6"/>
        <v>La seguente codifica cromatica è da ricordare durante la compilazione del formulario di verifica.</v>
      </c>
      <c r="E424" s="432" t="s">
        <v>1930</v>
      </c>
      <c r="F424" s="972" t="s">
        <v>3020</v>
      </c>
      <c r="G424" s="433" t="s">
        <v>2575</v>
      </c>
    </row>
    <row r="425" spans="1:7" ht="25.95" customHeight="1">
      <c r="A425" s="431">
        <v>422</v>
      </c>
      <c r="B425" s="1002" t="s">
        <v>1840</v>
      </c>
      <c r="C425" s="1002" t="s">
        <v>860</v>
      </c>
      <c r="D425" s="968" t="str">
        <f t="shared" si="6"/>
        <v>Immissione dati (obbligatori)</v>
      </c>
      <c r="E425" s="432" t="s">
        <v>1931</v>
      </c>
      <c r="F425" s="972" t="s">
        <v>2478</v>
      </c>
      <c r="G425" s="433" t="s">
        <v>2576</v>
      </c>
    </row>
    <row r="426" spans="1:7" ht="25.95" customHeight="1">
      <c r="A426" s="431">
        <v>423</v>
      </c>
      <c r="B426" s="1002" t="s">
        <v>1840</v>
      </c>
      <c r="C426" s="1002" t="s">
        <v>1938</v>
      </c>
      <c r="D426" s="968" t="str">
        <f t="shared" si="6"/>
        <v>Immissione dati (facoltativi)</v>
      </c>
      <c r="E426" s="432" t="s">
        <v>1932</v>
      </c>
      <c r="F426" s="972" t="s">
        <v>2479</v>
      </c>
      <c r="G426" s="433" t="s">
        <v>2577</v>
      </c>
    </row>
    <row r="427" spans="1:7" ht="25.95" customHeight="1">
      <c r="A427" s="431">
        <v>424</v>
      </c>
      <c r="B427" s="1002" t="s">
        <v>1840</v>
      </c>
      <c r="C427" s="1002" t="s">
        <v>1939</v>
      </c>
      <c r="D427" s="968" t="str">
        <f t="shared" si="6"/>
        <v>Campo di selezione(facoltativo)</v>
      </c>
      <c r="E427" s="432" t="s">
        <v>1933</v>
      </c>
      <c r="F427" s="972" t="s">
        <v>2480</v>
      </c>
      <c r="G427" s="433" t="s">
        <v>2578</v>
      </c>
    </row>
    <row r="428" spans="1:7" ht="25.95" customHeight="1">
      <c r="A428" s="431">
        <v>425</v>
      </c>
      <c r="B428" s="1002" t="s">
        <v>1840</v>
      </c>
      <c r="C428" s="1002" t="s">
        <v>872</v>
      </c>
      <c r="D428" s="968" t="str">
        <f t="shared" si="6"/>
        <v>Rispetto del requisito principale</v>
      </c>
      <c r="E428" s="432" t="s">
        <v>1935</v>
      </c>
      <c r="F428" s="972" t="s">
        <v>2481</v>
      </c>
      <c r="G428" s="433" t="s">
        <v>2579</v>
      </c>
    </row>
    <row r="429" spans="1:7" ht="25.95" customHeight="1">
      <c r="A429" s="431">
        <v>426</v>
      </c>
      <c r="B429" s="1002" t="s">
        <v>1840</v>
      </c>
      <c r="C429" s="1002" t="s">
        <v>98</v>
      </c>
      <c r="D429" s="968" t="str">
        <f t="shared" si="6"/>
        <v>Rispetto dei requisiti supplementari</v>
      </c>
      <c r="E429" s="432" t="s">
        <v>2382</v>
      </c>
      <c r="F429" s="972" t="s">
        <v>2482</v>
      </c>
      <c r="G429" s="433" t="s">
        <v>2580</v>
      </c>
    </row>
    <row r="430" spans="1:7" ht="25.95" customHeight="1">
      <c r="A430" s="431">
        <v>427</v>
      </c>
      <c r="B430" s="1002" t="s">
        <v>1840</v>
      </c>
      <c r="C430" s="1002" t="s">
        <v>874</v>
      </c>
      <c r="D430" s="968" t="str">
        <f t="shared" si="6"/>
        <v>Indice Minergie in kWh/m2</v>
      </c>
      <c r="E430" s="432" t="s">
        <v>1936</v>
      </c>
      <c r="F430" s="972" t="s">
        <v>2483</v>
      </c>
      <c r="G430" s="433" t="s">
        <v>2581</v>
      </c>
    </row>
    <row r="431" spans="1:7" ht="25.95" customHeight="1">
      <c r="A431" s="431">
        <v>428</v>
      </c>
      <c r="B431" s="1002" t="s">
        <v>1840</v>
      </c>
      <c r="C431" s="1002" t="s">
        <v>514</v>
      </c>
      <c r="D431" s="968" t="str">
        <f t="shared" si="6"/>
        <v>Indice Minergie in CO2/m2</v>
      </c>
      <c r="E431" s="432" t="s">
        <v>2367</v>
      </c>
      <c r="F431" s="972" t="s">
        <v>2484</v>
      </c>
      <c r="G431" s="433" t="s">
        <v>2582</v>
      </c>
    </row>
    <row r="432" spans="1:7" ht="25.95" customHeight="1">
      <c r="A432" s="431">
        <v>429</v>
      </c>
      <c r="B432" s="1002" t="s">
        <v>1840</v>
      </c>
      <c r="C432" s="1002" t="s">
        <v>439</v>
      </c>
      <c r="D432" s="968" t="str">
        <f t="shared" si="6"/>
        <v>Fabbisogno per il riscaldamento in kWh/m2</v>
      </c>
      <c r="E432" s="432" t="s">
        <v>2990</v>
      </c>
      <c r="F432" s="972" t="s">
        <v>2991</v>
      </c>
      <c r="G432" s="433" t="s">
        <v>2583</v>
      </c>
    </row>
    <row r="433" spans="1:7" ht="25.95" customHeight="1">
      <c r="A433" s="431">
        <v>430</v>
      </c>
      <c r="B433" s="1002" t="s">
        <v>1840</v>
      </c>
      <c r="C433" s="1002" t="s">
        <v>381</v>
      </c>
      <c r="D433" s="968" t="str">
        <f t="shared" si="6"/>
        <v>Energia finale senza PV in kWh/m2</v>
      </c>
      <c r="E433" s="432" t="s">
        <v>2992</v>
      </c>
      <c r="F433" s="972" t="s">
        <v>2993</v>
      </c>
      <c r="G433" s="433" t="s">
        <v>2584</v>
      </c>
    </row>
    <row r="434" spans="1:7" ht="25.95" customHeight="1">
      <c r="A434" s="431">
        <v>431</v>
      </c>
      <c r="B434" s="1002" t="s">
        <v>1840</v>
      </c>
      <c r="C434" s="1002" t="s">
        <v>488</v>
      </c>
      <c r="D434" s="968" t="str">
        <f t="shared" si="6"/>
        <v>Valore limite Minergieper l'illuminazione in kWh/m2</v>
      </c>
      <c r="E434" s="432" t="s">
        <v>2994</v>
      </c>
      <c r="F434" s="972" t="s">
        <v>2995</v>
      </c>
      <c r="G434" s="433" t="s">
        <v>2586</v>
      </c>
    </row>
    <row r="435" spans="1:7" ht="25.95" customHeight="1">
      <c r="A435" s="431">
        <v>432</v>
      </c>
      <c r="B435" s="1002" t="s">
        <v>1840</v>
      </c>
      <c r="C435" s="1002" t="s">
        <v>878</v>
      </c>
      <c r="D435" s="968" t="str">
        <f t="shared" si="6"/>
        <v>Visualizzazione Indice Minergie</v>
      </c>
      <c r="E435" s="432" t="s">
        <v>2996</v>
      </c>
      <c r="F435" s="972" t="s">
        <v>2485</v>
      </c>
      <c r="G435" s="433" t="s">
        <v>2587</v>
      </c>
    </row>
    <row r="436" spans="1:7" ht="25.95" customHeight="1">
      <c r="A436" s="431">
        <v>433</v>
      </c>
      <c r="B436" s="1002" t="s">
        <v>1840</v>
      </c>
      <c r="C436" s="1002" t="s">
        <v>1949</v>
      </c>
      <c r="D436" s="968" t="str">
        <f t="shared" si="6"/>
        <v>Riscaldamento</v>
      </c>
      <c r="E436" s="432" t="s">
        <v>243</v>
      </c>
      <c r="F436" s="972" t="s">
        <v>1675</v>
      </c>
      <c r="G436" s="433" t="s">
        <v>2588</v>
      </c>
    </row>
    <row r="437" spans="1:7" ht="25.95" customHeight="1">
      <c r="A437" s="431">
        <v>434</v>
      </c>
      <c r="B437" s="1002" t="s">
        <v>1840</v>
      </c>
      <c r="C437" s="1002" t="s">
        <v>1950</v>
      </c>
      <c r="D437" s="968" t="str">
        <f t="shared" si="6"/>
        <v>Acqua calda sanitaria</v>
      </c>
      <c r="E437" s="432" t="s">
        <v>244</v>
      </c>
      <c r="F437" s="972" t="s">
        <v>1676</v>
      </c>
      <c r="G437" s="433" t="s">
        <v>2551</v>
      </c>
    </row>
    <row r="438" spans="1:7" ht="25.95" customHeight="1">
      <c r="A438" s="431">
        <v>435</v>
      </c>
      <c r="B438" s="1002" t="s">
        <v>1840</v>
      </c>
      <c r="C438" s="1002" t="s">
        <v>1952</v>
      </c>
      <c r="D438" s="968" t="str">
        <f t="shared" si="6"/>
        <v>Illuminazione</v>
      </c>
      <c r="E438" s="432" t="s">
        <v>697</v>
      </c>
      <c r="F438" s="972" t="s">
        <v>2486</v>
      </c>
      <c r="G438" s="433" t="s">
        <v>2589</v>
      </c>
    </row>
    <row r="439" spans="1:7" ht="25.95" customHeight="1">
      <c r="A439" s="431">
        <v>436</v>
      </c>
      <c r="B439" s="1002" t="s">
        <v>1840</v>
      </c>
      <c r="C439" s="1002" t="s">
        <v>1953</v>
      </c>
      <c r="D439" s="968" t="str">
        <f t="shared" si="6"/>
        <v>Apparecchi</v>
      </c>
      <c r="E439" s="432" t="s">
        <v>1899</v>
      </c>
      <c r="F439" s="972" t="s">
        <v>2487</v>
      </c>
      <c r="G439" s="433" t="s">
        <v>2590</v>
      </c>
    </row>
    <row r="440" spans="1:7" ht="25.95" customHeight="1">
      <c r="A440" s="431">
        <v>437</v>
      </c>
      <c r="B440" s="1002" t="s">
        <v>1840</v>
      </c>
      <c r="C440" s="1002" t="s">
        <v>1957</v>
      </c>
      <c r="D440" s="968" t="str">
        <f t="shared" si="6"/>
        <v>Impiantistica dell'edificio</v>
      </c>
      <c r="E440" s="432" t="s">
        <v>1902</v>
      </c>
      <c r="F440" s="972" t="s">
        <v>2828</v>
      </c>
      <c r="G440" s="433" t="s">
        <v>2591</v>
      </c>
    </row>
    <row r="441" spans="1:7" ht="25.95" customHeight="1">
      <c r="A441" s="431">
        <v>438</v>
      </c>
      <c r="B441" s="1002" t="s">
        <v>1840</v>
      </c>
      <c r="C441" s="1002" t="s">
        <v>1955</v>
      </c>
      <c r="D441" s="968" t="str">
        <f t="shared" si="6"/>
        <v>Fabbisogno d'energia finale</v>
      </c>
      <c r="E441" s="432" t="s">
        <v>1954</v>
      </c>
      <c r="F441" s="972" t="s">
        <v>2488</v>
      </c>
      <c r="G441" s="433" t="s">
        <v>2592</v>
      </c>
    </row>
    <row r="442" spans="1:7" ht="25.95" customHeight="1">
      <c r="A442" s="431">
        <v>439</v>
      </c>
      <c r="B442" s="1002" t="s">
        <v>1840</v>
      </c>
      <c r="C442" s="1002" t="s">
        <v>1956</v>
      </c>
      <c r="D442" s="968" t="str">
        <f t="shared" si="6"/>
        <v>Indice Minergie</v>
      </c>
      <c r="E442" s="432" t="s">
        <v>2997</v>
      </c>
      <c r="F442" s="972" t="s">
        <v>2593</v>
      </c>
      <c r="G442" s="433" t="s">
        <v>2593</v>
      </c>
    </row>
    <row r="443" spans="1:7" ht="25.95" customHeight="1">
      <c r="A443" s="431">
        <v>440</v>
      </c>
      <c r="B443" s="1002" t="s">
        <v>1840</v>
      </c>
      <c r="C443" s="1002" t="s">
        <v>1951</v>
      </c>
      <c r="D443" s="968" t="str">
        <f t="shared" si="6"/>
        <v>Elettricità d'abitazione</v>
      </c>
      <c r="E443" s="432" t="s">
        <v>3285</v>
      </c>
      <c r="F443" s="972" t="s">
        <v>3286</v>
      </c>
      <c r="G443" s="433" t="s">
        <v>3287</v>
      </c>
    </row>
    <row r="444" spans="1:7" ht="25.95" customHeight="1">
      <c r="A444" s="431">
        <v>441</v>
      </c>
      <c r="B444" s="1002" t="s">
        <v>1840</v>
      </c>
      <c r="C444" s="1002" t="s">
        <v>1958</v>
      </c>
      <c r="D444" s="968" t="str">
        <f t="shared" si="6"/>
        <v>Autoconsumo PV</v>
      </c>
      <c r="E444" s="432" t="s">
        <v>1967</v>
      </c>
      <c r="F444" s="972" t="s">
        <v>2829</v>
      </c>
      <c r="G444" s="433" t="s">
        <v>2594</v>
      </c>
    </row>
    <row r="445" spans="1:7" ht="25.95" customHeight="1">
      <c r="A445" s="431">
        <v>442</v>
      </c>
      <c r="B445" s="1002" t="s">
        <v>1840</v>
      </c>
      <c r="C445" s="1002" t="s">
        <v>1959</v>
      </c>
      <c r="D445" s="968" t="str">
        <f t="shared" si="6"/>
        <v>Quota di PV immessa in rete</v>
      </c>
      <c r="E445" s="432" t="s">
        <v>1968</v>
      </c>
      <c r="F445" s="972" t="s">
        <v>2830</v>
      </c>
      <c r="G445" s="433" t="s">
        <v>2595</v>
      </c>
    </row>
    <row r="446" spans="1:7" ht="25.95" customHeight="1">
      <c r="A446" s="431">
        <v>443</v>
      </c>
      <c r="B446" s="1002" t="s">
        <v>1840</v>
      </c>
      <c r="C446" s="1002" t="s">
        <v>1963</v>
      </c>
      <c r="D446" s="968" t="str">
        <f t="shared" si="6"/>
        <v>Fabbisogno</v>
      </c>
      <c r="E446" s="432" t="s">
        <v>1962</v>
      </c>
      <c r="F446" s="972" t="s">
        <v>2489</v>
      </c>
      <c r="G446" s="433" t="s">
        <v>2596</v>
      </c>
    </row>
    <row r="447" spans="1:7" ht="25.95" customHeight="1">
      <c r="A447" s="431">
        <v>444</v>
      </c>
      <c r="B447" s="1002" t="s">
        <v>1840</v>
      </c>
      <c r="C447" s="1002" t="s">
        <v>1960</v>
      </c>
      <c r="D447" s="968" t="str">
        <f t="shared" si="6"/>
        <v>Potenziale d'ottimizzazione</v>
      </c>
      <c r="E447" s="432" t="s">
        <v>1964</v>
      </c>
      <c r="F447" s="972" t="s">
        <v>2490</v>
      </c>
      <c r="G447" s="433" t="s">
        <v>2597</v>
      </c>
    </row>
    <row r="448" spans="1:7" ht="25.95" customHeight="1">
      <c r="A448" s="431">
        <v>445</v>
      </c>
      <c r="B448" s="1002" t="s">
        <v>1840</v>
      </c>
      <c r="C448" s="1002" t="s">
        <v>1961</v>
      </c>
      <c r="D448" s="968" t="str">
        <f t="shared" si="6"/>
        <v>Valore limite Minergie</v>
      </c>
      <c r="E448" s="432" t="s">
        <v>2998</v>
      </c>
      <c r="F448" s="972" t="s">
        <v>2999</v>
      </c>
      <c r="G448" s="433" t="s">
        <v>2598</v>
      </c>
    </row>
    <row r="449" spans="1:7" ht="25.95" customHeight="1">
      <c r="A449" s="431">
        <v>446</v>
      </c>
      <c r="B449" s="1002" t="s">
        <v>1840</v>
      </c>
      <c r="C449" s="1002" t="s">
        <v>1965</v>
      </c>
      <c r="D449" s="968" t="str">
        <f t="shared" si="6"/>
        <v>Fabbisogno</v>
      </c>
      <c r="E449" s="432" t="s">
        <v>1962</v>
      </c>
      <c r="F449" s="972" t="s">
        <v>2489</v>
      </c>
      <c r="G449" s="433" t="s">
        <v>2596</v>
      </c>
    </row>
    <row r="450" spans="1:7" ht="25.95" customHeight="1">
      <c r="A450" s="431">
        <v>447</v>
      </c>
      <c r="B450" s="1002" t="s">
        <v>1840</v>
      </c>
      <c r="C450" s="1002" t="s">
        <v>1966</v>
      </c>
      <c r="D450" s="968" t="str">
        <f t="shared" si="6"/>
        <v>Fabbisogno massimo permesso</v>
      </c>
      <c r="E450" s="432" t="s">
        <v>3000</v>
      </c>
      <c r="F450" s="972" t="s">
        <v>2491</v>
      </c>
      <c r="G450" s="433" t="s">
        <v>2599</v>
      </c>
    </row>
    <row r="451" spans="1:7" ht="47.25" customHeight="1">
      <c r="A451" s="431">
        <v>448</v>
      </c>
      <c r="B451" s="1002" t="s">
        <v>313</v>
      </c>
      <c r="C451" s="1002" t="s">
        <v>948</v>
      </c>
      <c r="D451" s="968" t="str">
        <f t="shared" si="6"/>
        <v>Requisito Minergie A:
l’indice parziale illuminazione, apparecchi e impiantistica in genere è inferiore alla produzione propria</v>
      </c>
      <c r="E451" s="432" t="s">
        <v>2394</v>
      </c>
      <c r="F451" s="972" t="s">
        <v>2682</v>
      </c>
      <c r="G451" s="433" t="s">
        <v>2675</v>
      </c>
    </row>
    <row r="452" spans="1:7" ht="25.95" customHeight="1">
      <c r="A452" s="431">
        <v>449</v>
      </c>
      <c r="B452" s="1002" t="s">
        <v>313</v>
      </c>
      <c r="C452" s="1002" t="s">
        <v>949</v>
      </c>
      <c r="D452" s="968" t="str">
        <f t="shared" si="6"/>
        <v>Dimensione minima della produzione propria di elettricità:</v>
      </c>
      <c r="E452" s="432" t="s">
        <v>2389</v>
      </c>
      <c r="F452" s="972" t="s">
        <v>2683</v>
      </c>
      <c r="G452" s="433" t="s">
        <v>2676</v>
      </c>
    </row>
    <row r="453" spans="1:7" ht="42.75" customHeight="1">
      <c r="A453" s="431">
        <v>450</v>
      </c>
      <c r="B453" s="1002" t="s">
        <v>313</v>
      </c>
      <c r="C453" s="1002" t="s">
        <v>1970</v>
      </c>
      <c r="D453" s="968" t="str">
        <f t="shared" ref="D453:D503" si="7">INDEX($E$4:$G$503,$A453,$A$1)</f>
        <v>Vale per le categorie "ristoranti", "impianti sportivi" e "piscine coperte":
20% fornito con energie rinnovabili</v>
      </c>
      <c r="E453" s="432" t="s">
        <v>1971</v>
      </c>
      <c r="F453" s="972" t="s">
        <v>2492</v>
      </c>
      <c r="G453" s="433" t="s">
        <v>2603</v>
      </c>
    </row>
    <row r="454" spans="1:7" ht="39.9" customHeight="1">
      <c r="A454" s="431">
        <v>451</v>
      </c>
      <c r="B454" s="1002" t="s">
        <v>313</v>
      </c>
      <c r="C454" s="1002" t="s">
        <v>1974</v>
      </c>
      <c r="D454" s="968" t="str">
        <f t="shared" si="7"/>
        <v>Vale per la categoria "Piscine coperte"</v>
      </c>
      <c r="E454" s="432" t="s">
        <v>1973</v>
      </c>
      <c r="F454" s="972" t="s">
        <v>2493</v>
      </c>
      <c r="G454" s="433" t="s">
        <v>2600</v>
      </c>
    </row>
    <row r="455" spans="1:7" ht="26.1" customHeight="1">
      <c r="A455" s="431">
        <v>452</v>
      </c>
      <c r="B455" s="1002" t="s">
        <v>313</v>
      </c>
      <c r="C455" s="1002" t="s">
        <v>950</v>
      </c>
      <c r="D455" s="968" t="str">
        <f t="shared" si="7"/>
        <v>La produzione di elettricità copre il fabbisogno:</v>
      </c>
      <c r="E455" s="432" t="s">
        <v>2396</v>
      </c>
      <c r="F455" s="972" t="s">
        <v>2684</v>
      </c>
      <c r="G455" s="433" t="s">
        <v>2685</v>
      </c>
    </row>
    <row r="456" spans="1:7" ht="25.95" customHeight="1">
      <c r="A456" s="431">
        <v>453</v>
      </c>
      <c r="B456" s="1002" t="s">
        <v>313</v>
      </c>
      <c r="C456" s="1002" t="s">
        <v>2199</v>
      </c>
      <c r="D456" s="968" t="str">
        <f t="shared" si="7"/>
        <v>Indice parziale
fabbisogno</v>
      </c>
      <c r="E456" s="432" t="s">
        <v>2198</v>
      </c>
      <c r="F456" s="972" t="s">
        <v>2494</v>
      </c>
      <c r="G456" s="433" t="s">
        <v>2604</v>
      </c>
    </row>
    <row r="457" spans="1:7" ht="25.95" customHeight="1">
      <c r="A457" s="431">
        <v>454</v>
      </c>
      <c r="B457" s="1002" t="s">
        <v>313</v>
      </c>
      <c r="C457" s="1002" t="s">
        <v>2200</v>
      </c>
      <c r="D457" s="968" t="str">
        <f t="shared" si="7"/>
        <v>Produzione PV
(ponderata)</v>
      </c>
      <c r="E457" s="432" t="s">
        <v>2393</v>
      </c>
      <c r="F457" s="972" t="s">
        <v>2495</v>
      </c>
      <c r="G457" s="433" t="s">
        <v>2605</v>
      </c>
    </row>
    <row r="458" spans="1:7" ht="25.95" customHeight="1">
      <c r="A458" s="431">
        <v>455</v>
      </c>
      <c r="B458" s="1002" t="s">
        <v>1840</v>
      </c>
      <c r="C458" s="1002" t="s">
        <v>2202</v>
      </c>
      <c r="D458" s="968" t="str">
        <f t="shared" si="7"/>
        <v>Requisito PV (ponderato)</v>
      </c>
      <c r="E458" s="432" t="s">
        <v>2201</v>
      </c>
      <c r="F458" s="972" t="s">
        <v>2496</v>
      </c>
      <c r="G458" s="433" t="s">
        <v>2601</v>
      </c>
    </row>
    <row r="459" spans="1:7" ht="25.95" customHeight="1">
      <c r="A459" s="431">
        <v>456</v>
      </c>
      <c r="B459" s="1002" t="s">
        <v>1840</v>
      </c>
      <c r="C459" s="1002" t="s">
        <v>2204</v>
      </c>
      <c r="D459" s="968" t="str">
        <f t="shared" si="7"/>
        <v>Produzione PV (ponderata)</v>
      </c>
      <c r="E459" s="432" t="s">
        <v>2203</v>
      </c>
      <c r="F459" s="972" t="s">
        <v>2497</v>
      </c>
      <c r="G459" s="433" t="s">
        <v>2602</v>
      </c>
    </row>
    <row r="460" spans="1:7" ht="25.95" customHeight="1">
      <c r="A460" s="431">
        <v>457</v>
      </c>
      <c r="B460" s="1002" t="s">
        <v>1840</v>
      </c>
      <c r="C460" s="1002" t="s">
        <v>874</v>
      </c>
      <c r="D460" s="968" t="str">
        <f t="shared" si="7"/>
        <v>Indice parziale Minergie-A</v>
      </c>
      <c r="E460" s="432" t="s">
        <v>3001</v>
      </c>
      <c r="F460" s="972" t="s">
        <v>3002</v>
      </c>
      <c r="G460" s="433" t="s">
        <v>3003</v>
      </c>
    </row>
    <row r="461" spans="1:7" ht="25.95" customHeight="1">
      <c r="A461" s="431">
        <v>458</v>
      </c>
      <c r="B461" s="1002" t="s">
        <v>1840</v>
      </c>
      <c r="C461" s="1002" t="s">
        <v>514</v>
      </c>
      <c r="D461" s="968" t="str">
        <f t="shared" si="7"/>
        <v>Minergie-A: il fabbisogno indice Minergie (senza PV) è coperto da PV?</v>
      </c>
      <c r="E461" s="432" t="s">
        <v>3004</v>
      </c>
      <c r="F461" s="972" t="s">
        <v>2498</v>
      </c>
      <c r="G461" s="433" t="s">
        <v>3005</v>
      </c>
    </row>
    <row r="462" spans="1:7" ht="25.95" customHeight="1">
      <c r="A462" s="431">
        <v>459</v>
      </c>
      <c r="B462" s="1002" t="s">
        <v>1840</v>
      </c>
      <c r="C462" s="1002" t="s">
        <v>2369</v>
      </c>
      <c r="D462" s="968" t="str">
        <f t="shared" si="7"/>
        <v>Nessuna esigenza</v>
      </c>
      <c r="E462" s="432" t="s">
        <v>2368</v>
      </c>
      <c r="F462" s="972" t="s">
        <v>2686</v>
      </c>
      <c r="G462" s="433" t="s">
        <v>2673</v>
      </c>
    </row>
    <row r="463" spans="1:7" ht="25.95" customHeight="1">
      <c r="A463" s="431">
        <v>460</v>
      </c>
      <c r="B463" s="1002" t="s">
        <v>313</v>
      </c>
      <c r="C463" s="1002" t="s">
        <v>1070</v>
      </c>
      <c r="D463" s="968" t="str">
        <f t="shared" si="7"/>
        <v>Produzione propria di elettricità</v>
      </c>
      <c r="E463" s="432" t="s">
        <v>2388</v>
      </c>
      <c r="F463" s="972" t="s">
        <v>2687</v>
      </c>
      <c r="G463" s="433" t="s">
        <v>2674</v>
      </c>
    </row>
    <row r="464" spans="1:7" ht="25.95" customHeight="1">
      <c r="A464" s="431">
        <v>461</v>
      </c>
      <c r="B464" s="1002" t="s">
        <v>1840</v>
      </c>
      <c r="C464" s="1002" t="s">
        <v>877</v>
      </c>
      <c r="D464" s="968" t="str">
        <f t="shared" si="7"/>
        <v>Coperto da energie fossile</v>
      </c>
      <c r="E464" s="432" t="s">
        <v>2751</v>
      </c>
      <c r="F464" s="972" t="s">
        <v>2761</v>
      </c>
      <c r="G464" s="433" t="s">
        <v>2762</v>
      </c>
    </row>
    <row r="465" spans="1:7" ht="25.95" customHeight="1">
      <c r="A465" s="431">
        <v>462</v>
      </c>
      <c r="B465" s="1002" t="s">
        <v>1840</v>
      </c>
      <c r="C465" s="1002" t="s">
        <v>884</v>
      </c>
      <c r="D465" s="968" t="str">
        <f t="shared" si="7"/>
        <v>La produzione di elettricità copre il fabbisogno:</v>
      </c>
      <c r="E465" s="432" t="s">
        <v>2396</v>
      </c>
      <c r="F465" s="972" t="s">
        <v>2684</v>
      </c>
      <c r="G465" s="433" t="s">
        <v>2685</v>
      </c>
    </row>
    <row r="466" spans="1:7" ht="25.95" customHeight="1">
      <c r="A466" s="431">
        <v>463</v>
      </c>
      <c r="B466" s="1002" t="s">
        <v>623</v>
      </c>
      <c r="C466" s="1002" t="s">
        <v>2750</v>
      </c>
      <c r="D466" s="968" t="str">
        <f t="shared" si="7"/>
        <v>Cavi riscaldanti</v>
      </c>
      <c r="E466" s="432" t="s">
        <v>2747</v>
      </c>
      <c r="F466" s="972" t="s">
        <v>2745</v>
      </c>
      <c r="G466" s="433" t="s">
        <v>2746</v>
      </c>
    </row>
    <row r="467" spans="1:7" ht="25.95" customHeight="1">
      <c r="A467" s="431">
        <v>464</v>
      </c>
      <c r="B467" s="1002" t="s">
        <v>313</v>
      </c>
      <c r="C467" s="1002" t="s">
        <v>860</v>
      </c>
      <c r="D467" s="968" t="str">
        <f t="shared" si="7"/>
        <v>Acqua calda, valore utilizz.</v>
      </c>
      <c r="E467" s="432" t="s">
        <v>2755</v>
      </c>
      <c r="F467" s="972" t="s">
        <v>2756</v>
      </c>
      <c r="G467" s="433" t="s">
        <v>2757</v>
      </c>
    </row>
    <row r="468" spans="1:7" ht="25.95" customHeight="1">
      <c r="A468" s="431">
        <v>465</v>
      </c>
      <c r="B468" s="1002" t="s">
        <v>313</v>
      </c>
      <c r="C468" s="1002" t="s">
        <v>1796</v>
      </c>
      <c r="D468" s="968" t="str">
        <f t="shared" si="7"/>
        <v>Acqua calda, SIA 385</v>
      </c>
      <c r="E468" s="432" t="s">
        <v>2758</v>
      </c>
      <c r="F468" s="972" t="s">
        <v>2759</v>
      </c>
      <c r="G468" s="433" t="s">
        <v>2760</v>
      </c>
    </row>
    <row r="469" spans="1:7" ht="25.95" customHeight="1">
      <c r="A469" s="431">
        <v>466</v>
      </c>
      <c r="B469" s="1002" t="s">
        <v>313</v>
      </c>
      <c r="C469" s="1002" t="s">
        <v>859</v>
      </c>
      <c r="D469" s="968" t="str">
        <f t="shared" si="7"/>
        <v>Sviluppo spazi da parte del locatario</v>
      </c>
      <c r="E469" s="432" t="s">
        <v>2777</v>
      </c>
      <c r="F469" s="972" t="s">
        <v>3006</v>
      </c>
      <c r="G469" s="433" t="s">
        <v>3007</v>
      </c>
    </row>
    <row r="470" spans="1:7" ht="25.95" customHeight="1">
      <c r="A470" s="431">
        <v>467</v>
      </c>
      <c r="B470" s="1002" t="s">
        <v>1840</v>
      </c>
      <c r="C470" s="1002" t="s">
        <v>1952</v>
      </c>
      <c r="D470" s="968" t="str">
        <f t="shared" si="7"/>
        <v>Aerazione + climatizzazione</v>
      </c>
      <c r="E470" s="432" t="s">
        <v>2806</v>
      </c>
      <c r="F470" s="972" t="s">
        <v>2831</v>
      </c>
      <c r="G470" s="433" t="s">
        <v>3008</v>
      </c>
    </row>
    <row r="471" spans="1:7" ht="36" customHeight="1">
      <c r="A471" s="431">
        <v>468</v>
      </c>
      <c r="B471" s="1002" t="s">
        <v>1840</v>
      </c>
      <c r="C471" s="1002" t="s">
        <v>2814</v>
      </c>
      <c r="D471" s="968" t="str">
        <f t="shared" si="7"/>
        <v xml:space="preserve">   Produzione PV
 </v>
      </c>
      <c r="E471" s="459" t="s">
        <v>3131</v>
      </c>
      <c r="F471" s="1538" t="s">
        <v>3132</v>
      </c>
      <c r="G471" s="1537" t="s">
        <v>3133</v>
      </c>
    </row>
    <row r="472" spans="1:7" ht="25.95" customHeight="1">
      <c r="A472" s="431">
        <v>469</v>
      </c>
      <c r="B472" s="1002" t="s">
        <v>1840</v>
      </c>
      <c r="C472" s="1002" t="s">
        <v>2815</v>
      </c>
      <c r="D472" s="968" t="str">
        <f t="shared" si="7"/>
        <v xml:space="preserve">           Valore oggetto
 </v>
      </c>
      <c r="E472" s="459" t="s">
        <v>3130</v>
      </c>
      <c r="F472" s="1538" t="s">
        <v>3134</v>
      </c>
      <c r="G472" s="1537" t="s">
        <v>3129</v>
      </c>
    </row>
    <row r="473" spans="1:7" ht="25.95" customHeight="1">
      <c r="A473" s="431">
        <v>470</v>
      </c>
      <c r="B473" s="1002" t="s">
        <v>1840</v>
      </c>
      <c r="C473" s="1002" t="s">
        <v>2816</v>
      </c>
      <c r="D473" s="968" t="str">
        <f t="shared" si="7"/>
        <v>PV non computabile</v>
      </c>
      <c r="E473" s="432" t="s">
        <v>2807</v>
      </c>
      <c r="F473" s="972" t="s">
        <v>3012</v>
      </c>
      <c r="G473" s="433" t="s">
        <v>3009</v>
      </c>
    </row>
    <row r="474" spans="1:7" ht="25.95" customHeight="1">
      <c r="A474" s="431">
        <v>471</v>
      </c>
      <c r="B474" s="1002" t="s">
        <v>623</v>
      </c>
      <c r="C474" s="1002" t="s">
        <v>1850</v>
      </c>
      <c r="D474" s="968" t="str">
        <f t="shared" si="7"/>
        <v>Concetto dell'ermeticità e di misura è stato allegato?</v>
      </c>
      <c r="E474" s="432" t="s">
        <v>3141</v>
      </c>
      <c r="F474" s="972" t="s">
        <v>3142</v>
      </c>
      <c r="G474" s="433" t="s">
        <v>3143</v>
      </c>
    </row>
    <row r="475" spans="1:7" ht="25.95" customHeight="1">
      <c r="A475" s="431">
        <v>472</v>
      </c>
      <c r="B475" s="1002" t="s">
        <v>313</v>
      </c>
      <c r="C475" s="1002" t="s">
        <v>591</v>
      </c>
      <c r="D475" s="968" t="str">
        <f t="shared" si="7"/>
        <v>Capacità batterie [kWh]</v>
      </c>
      <c r="E475" s="432" t="s">
        <v>2824</v>
      </c>
      <c r="F475" s="972" t="s">
        <v>3013</v>
      </c>
      <c r="G475" s="433" t="s">
        <v>3010</v>
      </c>
    </row>
    <row r="476" spans="1:7" ht="25.95" customHeight="1">
      <c r="A476" s="431">
        <v>473</v>
      </c>
      <c r="B476" s="1002" t="s">
        <v>313</v>
      </c>
      <c r="C476" s="1002" t="s">
        <v>1072</v>
      </c>
      <c r="D476" s="968" t="str">
        <f t="shared" si="7"/>
        <v>Perdita delle batterie [%]:</v>
      </c>
      <c r="E476" s="432" t="s">
        <v>2825</v>
      </c>
      <c r="F476" s="972" t="s">
        <v>3014</v>
      </c>
      <c r="G476" s="433" t="s">
        <v>3011</v>
      </c>
    </row>
    <row r="477" spans="1:7" ht="40.5" customHeight="1">
      <c r="A477" s="431">
        <v>474</v>
      </c>
      <c r="B477" s="1002" t="s">
        <v>1840</v>
      </c>
      <c r="C477" s="1002" t="s">
        <v>2915</v>
      </c>
      <c r="D477" s="968" t="str">
        <f t="shared" si="7"/>
        <v xml:space="preserve">                                            E rvcac,li +
                            Fabbisogno elettrico standard
  </v>
      </c>
      <c r="E477" s="1688" t="s">
        <v>3126</v>
      </c>
      <c r="F477" s="972" t="s">
        <v>3127</v>
      </c>
      <c r="G477" s="433" t="s">
        <v>3128</v>
      </c>
    </row>
    <row r="478" spans="1:7" ht="25.95" customHeight="1">
      <c r="A478" s="431">
        <v>475</v>
      </c>
      <c r="B478" s="1002" t="s">
        <v>707</v>
      </c>
      <c r="C478" s="1002" t="s">
        <v>1083</v>
      </c>
      <c r="D478" s="968" t="str">
        <f t="shared" si="7"/>
        <v>IM -  Indice Minergie</v>
      </c>
      <c r="E478" s="432" t="s">
        <v>1724</v>
      </c>
      <c r="F478" s="972" t="s">
        <v>3015</v>
      </c>
      <c r="G478" s="433" t="s">
        <v>2924</v>
      </c>
    </row>
    <row r="479" spans="1:7" ht="25.95" customHeight="1">
      <c r="A479" s="431">
        <v>476</v>
      </c>
      <c r="B479" s="1002" t="s">
        <v>1840</v>
      </c>
      <c r="C479" s="1002" t="s">
        <v>2952</v>
      </c>
      <c r="D479" s="968" t="str">
        <f t="shared" si="7"/>
        <v>IM</v>
      </c>
      <c r="E479" s="432" t="s">
        <v>2925</v>
      </c>
      <c r="F479" s="972" t="s">
        <v>2925</v>
      </c>
      <c r="G479" s="433" t="s">
        <v>2926</v>
      </c>
    </row>
    <row r="480" spans="1:7" ht="25.95" customHeight="1">
      <c r="A480" s="431">
        <v>477</v>
      </c>
      <c r="B480" s="1002" t="s">
        <v>1840</v>
      </c>
      <c r="C480" s="1002" t="s">
        <v>2927</v>
      </c>
      <c r="D480" s="968" t="str">
        <f t="shared" si="7"/>
        <v>R</v>
      </c>
      <c r="E480" s="432" t="s">
        <v>2928</v>
      </c>
      <c r="F480" s="972" t="s">
        <v>2928</v>
      </c>
      <c r="G480" s="433" t="s">
        <v>2929</v>
      </c>
    </row>
    <row r="481" spans="1:7" ht="25.95" customHeight="1">
      <c r="A481" s="431">
        <v>478</v>
      </c>
      <c r="B481" s="1002" t="s">
        <v>1840</v>
      </c>
      <c r="C481" s="1002" t="s">
        <v>2930</v>
      </c>
      <c r="D481" s="968" t="str">
        <f t="shared" si="7"/>
        <v>AC</v>
      </c>
      <c r="E481" s="432" t="s">
        <v>526</v>
      </c>
      <c r="F481" s="972" t="s">
        <v>526</v>
      </c>
      <c r="G481" s="433" t="s">
        <v>2931</v>
      </c>
    </row>
    <row r="482" spans="1:7" ht="25.95" customHeight="1">
      <c r="A482" s="431">
        <v>479</v>
      </c>
      <c r="B482" s="1002" t="s">
        <v>1840</v>
      </c>
      <c r="C482" s="1002" t="s">
        <v>2933</v>
      </c>
      <c r="D482" s="968" t="str">
        <f t="shared" si="7"/>
        <v>VC</v>
      </c>
      <c r="E482" s="432" t="s">
        <v>2934</v>
      </c>
      <c r="F482" s="972" t="s">
        <v>2934</v>
      </c>
      <c r="G482" s="433" t="s">
        <v>2932</v>
      </c>
    </row>
    <row r="483" spans="1:7" ht="25.95" customHeight="1">
      <c r="A483" s="431">
        <v>480</v>
      </c>
      <c r="B483" s="1002" t="s">
        <v>1840</v>
      </c>
      <c r="C483" s="1002" t="s">
        <v>2937</v>
      </c>
      <c r="D483" s="968" t="str">
        <f t="shared" si="7"/>
        <v>el,resid</v>
      </c>
      <c r="E483" s="432" t="s">
        <v>2936</v>
      </c>
      <c r="F483" s="972" t="s">
        <v>2936</v>
      </c>
      <c r="G483" s="433" t="s">
        <v>2935</v>
      </c>
    </row>
    <row r="484" spans="1:7" ht="25.95" customHeight="1">
      <c r="A484" s="431">
        <v>481</v>
      </c>
      <c r="B484" s="1002" t="s">
        <v>1840</v>
      </c>
      <c r="C484" s="1002" t="s">
        <v>2938</v>
      </c>
      <c r="D484" s="968" t="str">
        <f t="shared" si="7"/>
        <v>Ill</v>
      </c>
      <c r="E484" s="432" t="s">
        <v>2939</v>
      </c>
      <c r="F484" s="972" t="s">
        <v>2939</v>
      </c>
      <c r="G484" s="433" t="s">
        <v>2940</v>
      </c>
    </row>
    <row r="485" spans="1:7" ht="25.95" customHeight="1">
      <c r="A485" s="431">
        <v>482</v>
      </c>
      <c r="B485" s="1002" t="s">
        <v>1840</v>
      </c>
      <c r="C485" s="1002" t="s">
        <v>2947</v>
      </c>
      <c r="D485" s="968" t="str">
        <f t="shared" si="7"/>
        <v>app</v>
      </c>
      <c r="E485" s="432" t="s">
        <v>1899</v>
      </c>
      <c r="F485" s="972" t="s">
        <v>1899</v>
      </c>
      <c r="G485" s="433" t="s">
        <v>2941</v>
      </c>
    </row>
    <row r="486" spans="1:7" ht="25.95" customHeight="1">
      <c r="A486" s="431">
        <v>483</v>
      </c>
      <c r="B486" s="1002" t="s">
        <v>1840</v>
      </c>
      <c r="C486" s="1002" t="s">
        <v>2948</v>
      </c>
      <c r="D486" s="968" t="str">
        <f t="shared" si="7"/>
        <v>Imp</v>
      </c>
      <c r="E486" s="432" t="s">
        <v>2942</v>
      </c>
      <c r="F486" s="972" t="s">
        <v>2942</v>
      </c>
      <c r="G486" s="433" t="s">
        <v>2943</v>
      </c>
    </row>
    <row r="487" spans="1:7" ht="25.95" customHeight="1">
      <c r="A487" s="431">
        <v>484</v>
      </c>
      <c r="B487" s="1002" t="s">
        <v>1840</v>
      </c>
      <c r="C487" s="1002" t="s">
        <v>2946</v>
      </c>
      <c r="D487" s="968" t="str">
        <f t="shared" si="7"/>
        <v>cp</v>
      </c>
      <c r="E487" s="432" t="s">
        <v>2944</v>
      </c>
      <c r="F487" s="972" t="s">
        <v>2944</v>
      </c>
      <c r="G487" s="433" t="s">
        <v>2945</v>
      </c>
    </row>
    <row r="488" spans="1:7" ht="25.95" customHeight="1">
      <c r="A488" s="431">
        <v>485</v>
      </c>
      <c r="B488" s="1002" t="s">
        <v>1840</v>
      </c>
      <c r="C488" s="1002" t="s">
        <v>2951</v>
      </c>
      <c r="D488" s="968" t="str">
        <f t="shared" si="7"/>
        <v>rete</v>
      </c>
      <c r="E488" s="432" t="s">
        <v>2949</v>
      </c>
      <c r="F488" s="972" t="s">
        <v>2949</v>
      </c>
      <c r="G488" s="433" t="s">
        <v>2950</v>
      </c>
    </row>
    <row r="489" spans="1:7" ht="25.95" customHeight="1">
      <c r="A489" s="431">
        <v>486</v>
      </c>
      <c r="B489" s="1002" t="s">
        <v>3204</v>
      </c>
      <c r="C489" s="1002" t="s">
        <v>3205</v>
      </c>
      <c r="D489" s="968" t="str">
        <f t="shared" si="7"/>
        <v>Trasferire nel tool di calcolo PVopti</v>
      </c>
      <c r="E489" s="432" t="s">
        <v>3192</v>
      </c>
      <c r="F489" s="972" t="s">
        <v>3400</v>
      </c>
      <c r="G489" s="433" t="s">
        <v>3401</v>
      </c>
    </row>
    <row r="490" spans="1:7" ht="25.95" customHeight="1">
      <c r="A490" s="431">
        <v>487</v>
      </c>
      <c r="B490" s="1002" t="s">
        <v>3204</v>
      </c>
      <c r="C490" s="1002" t="s">
        <v>3206</v>
      </c>
      <c r="D490" s="968" t="str">
        <f t="shared" si="7"/>
        <v>P.F: copiare i campi gialli e trasferire il contenuto in PVopti</v>
      </c>
      <c r="E490" s="432" t="s">
        <v>3191</v>
      </c>
      <c r="F490" s="972" t="s">
        <v>3402</v>
      </c>
      <c r="G490" s="433" t="s">
        <v>3403</v>
      </c>
    </row>
    <row r="491" spans="1:7" ht="25.95" customHeight="1">
      <c r="A491" s="431">
        <v>488</v>
      </c>
      <c r="B491" s="1002" t="s">
        <v>3204</v>
      </c>
      <c r="C491" s="1002" t="s">
        <v>3207</v>
      </c>
      <c r="D491" s="968" t="str">
        <f t="shared" si="7"/>
        <v>N.° MOP: /nome progetto: / indirizzo edificio</v>
      </c>
      <c r="E491" s="432" t="s">
        <v>3172</v>
      </c>
      <c r="F491" s="972" t="s">
        <v>3404</v>
      </c>
      <c r="G491" s="433" t="s">
        <v>3405</v>
      </c>
    </row>
    <row r="492" spans="1:7" ht="25.95" customHeight="1">
      <c r="A492" s="431">
        <v>489</v>
      </c>
      <c r="B492" s="1002" t="s">
        <v>3204</v>
      </c>
      <c r="C492" s="1002" t="s">
        <v>3208</v>
      </c>
      <c r="D492" s="968" t="str">
        <f t="shared" si="7"/>
        <v>mapp. N.°: / stazione climatica / indirizzo edificio</v>
      </c>
      <c r="E492" s="432" t="s">
        <v>3173</v>
      </c>
      <c r="F492" s="972" t="s">
        <v>3406</v>
      </c>
      <c r="G492" s="433" t="s">
        <v>3407</v>
      </c>
    </row>
    <row r="493" spans="1:7" ht="25.95" customHeight="1">
      <c r="A493" s="431">
        <v>490</v>
      </c>
      <c r="B493" s="1002" t="s">
        <v>3204</v>
      </c>
      <c r="C493" s="1002" t="s">
        <v>3209</v>
      </c>
      <c r="D493" s="968" t="str">
        <f t="shared" si="7"/>
        <v>Produzione di  calore</v>
      </c>
      <c r="E493" s="432" t="s">
        <v>3166</v>
      </c>
      <c r="F493" s="972" t="s">
        <v>3408</v>
      </c>
      <c r="G493" s="433" t="s">
        <v>3409</v>
      </c>
    </row>
    <row r="494" spans="1:7" ht="25.95" customHeight="1">
      <c r="A494" s="431">
        <v>491</v>
      </c>
      <c r="B494" s="1002" t="s">
        <v>3204</v>
      </c>
      <c r="C494" s="1002" t="s">
        <v>3210</v>
      </c>
      <c r="D494" s="968" t="str">
        <f t="shared" si="7"/>
        <v>Prod. A</v>
      </c>
      <c r="E494" s="432" t="s">
        <v>3167</v>
      </c>
      <c r="F494" s="972" t="s">
        <v>3410</v>
      </c>
      <c r="G494" s="433" t="s">
        <v>3411</v>
      </c>
    </row>
    <row r="495" spans="1:7" ht="25.95" customHeight="1">
      <c r="A495" s="431">
        <v>492</v>
      </c>
      <c r="B495" s="1002" t="s">
        <v>3204</v>
      </c>
      <c r="C495" s="1002" t="s">
        <v>3211</v>
      </c>
      <c r="D495" s="968" t="str">
        <f t="shared" si="7"/>
        <v>Prod. B</v>
      </c>
      <c r="E495" s="432" t="s">
        <v>3168</v>
      </c>
      <c r="F495" s="972" t="s">
        <v>3412</v>
      </c>
      <c r="G495" s="433" t="s">
        <v>3412</v>
      </c>
    </row>
    <row r="496" spans="1:7" ht="25.95" customHeight="1">
      <c r="A496" s="431">
        <v>493</v>
      </c>
      <c r="B496" s="1002" t="s">
        <v>3204</v>
      </c>
      <c r="C496" s="1002" t="s">
        <v>3212</v>
      </c>
      <c r="D496" s="968" t="str">
        <f t="shared" si="7"/>
        <v>Prod. C</v>
      </c>
      <c r="E496" s="432" t="s">
        <v>3169</v>
      </c>
      <c r="F496" s="972" t="s">
        <v>3413</v>
      </c>
      <c r="G496" s="433" t="s">
        <v>3413</v>
      </c>
    </row>
    <row r="497" spans="1:7" ht="25.95" customHeight="1">
      <c r="A497" s="431">
        <v>494</v>
      </c>
      <c r="B497" s="1002" t="s">
        <v>3204</v>
      </c>
      <c r="C497" s="1002" t="s">
        <v>3213</v>
      </c>
      <c r="D497" s="968" t="str">
        <f t="shared" si="7"/>
        <v>Prod. D</v>
      </c>
      <c r="E497" s="432" t="s">
        <v>3170</v>
      </c>
      <c r="F497" s="972" t="s">
        <v>3414</v>
      </c>
      <c r="G497" s="433" t="s">
        <v>3414</v>
      </c>
    </row>
    <row r="498" spans="1:7" ht="25.95" customHeight="1">
      <c r="A498" s="431">
        <v>495</v>
      </c>
      <c r="B498" s="1002" t="s">
        <v>3204</v>
      </c>
      <c r="C498" s="1002" t="s">
        <v>3214</v>
      </c>
      <c r="D498" s="968" t="str">
        <f t="shared" si="7"/>
        <v>Capacità disponibile (kWh)</v>
      </c>
      <c r="E498" s="432" t="s">
        <v>3174</v>
      </c>
      <c r="F498" s="972" t="s">
        <v>3415</v>
      </c>
      <c r="G498" s="433" t="s">
        <v>3416</v>
      </c>
    </row>
    <row r="499" spans="1:7" ht="25.95" customHeight="1">
      <c r="A499" s="431">
        <v>496</v>
      </c>
      <c r="B499" s="1002" t="s">
        <v>3204</v>
      </c>
      <c r="C499" s="1002" t="s">
        <v>3215</v>
      </c>
      <c r="D499" s="968" t="str">
        <f t="shared" si="7"/>
        <v>Zona</v>
      </c>
      <c r="E499" s="432" t="s">
        <v>312</v>
      </c>
      <c r="F499" s="972" t="s">
        <v>312</v>
      </c>
      <c r="G499" s="433" t="s">
        <v>3417</v>
      </c>
    </row>
    <row r="500" spans="1:7" ht="25.95" customHeight="1">
      <c r="A500" s="431">
        <v>497</v>
      </c>
      <c r="B500" s="1002" t="s">
        <v>3204</v>
      </c>
      <c r="C500" s="1002" t="s">
        <v>3216</v>
      </c>
      <c r="D500" s="968" t="str">
        <f t="shared" si="7"/>
        <v>Categoria edificio</v>
      </c>
      <c r="E500" s="432" t="s">
        <v>331</v>
      </c>
      <c r="F500" s="972" t="s">
        <v>3418</v>
      </c>
      <c r="G500" s="433" t="s">
        <v>3419</v>
      </c>
    </row>
    <row r="501" spans="1:7" ht="25.95" customHeight="1">
      <c r="A501" s="431">
        <v>498</v>
      </c>
      <c r="B501" s="1002" t="s">
        <v>3204</v>
      </c>
      <c r="C501" s="1002" t="s">
        <v>3217</v>
      </c>
      <c r="D501" s="968" t="str">
        <f t="shared" si="7"/>
        <v>Superficie di riferimento energetico AE (m2)</v>
      </c>
      <c r="E501" s="432" t="s">
        <v>3175</v>
      </c>
      <c r="F501" s="972" t="s">
        <v>3420</v>
      </c>
      <c r="G501" s="433" t="s">
        <v>3421</v>
      </c>
    </row>
    <row r="502" spans="1:7" ht="25.95" customHeight="1">
      <c r="A502" s="431">
        <v>499</v>
      </c>
      <c r="B502" s="1002" t="s">
        <v>3204</v>
      </c>
      <c r="C502" s="1002" t="s">
        <v>3218</v>
      </c>
      <c r="D502" s="968" t="str">
        <f t="shared" si="7"/>
        <v>Costruzione nuova</v>
      </c>
      <c r="E502" s="432" t="s">
        <v>651</v>
      </c>
      <c r="F502" s="972" t="s">
        <v>1532</v>
      </c>
      <c r="G502" s="433" t="s">
        <v>3422</v>
      </c>
    </row>
    <row r="503" spans="1:7" ht="25.95" customHeight="1">
      <c r="A503" s="431">
        <v>500</v>
      </c>
      <c r="B503" s="1002" t="s">
        <v>3204</v>
      </c>
      <c r="C503" s="1002" t="s">
        <v>3219</v>
      </c>
      <c r="D503" s="968" t="str">
        <f t="shared" si="7"/>
        <v>Valore calcolato acqua calda</v>
      </c>
      <c r="E503" s="432" t="s">
        <v>3176</v>
      </c>
      <c r="F503" s="972" t="s">
        <v>2756</v>
      </c>
      <c r="G503" s="433" t="s">
        <v>3423</v>
      </c>
    </row>
    <row r="504" spans="1:7" ht="25.95" customHeight="1">
      <c r="A504" s="431">
        <v>501</v>
      </c>
      <c r="B504" s="1002" t="s">
        <v>3204</v>
      </c>
      <c r="C504" s="1002" t="s">
        <v>3220</v>
      </c>
      <c r="D504" s="968">
        <f>INDEX($E$4:$G$603,$A504,$A$1)</f>
        <v>0</v>
      </c>
      <c r="E504" s="459" t="s">
        <v>199</v>
      </c>
    </row>
    <row r="505" spans="1:7" ht="25.95" customHeight="1">
      <c r="A505" s="431">
        <v>502</v>
      </c>
      <c r="B505" s="1002" t="s">
        <v>3204</v>
      </c>
      <c r="C505" s="1002" t="s">
        <v>3221</v>
      </c>
      <c r="D505" s="968" t="str">
        <f t="shared" ref="D505:D529" si="8">INDEX($E$4:$G$603,$A505,$A$1)</f>
        <v>Freddo climatizzazione</v>
      </c>
      <c r="E505" s="432" t="s">
        <v>3177</v>
      </c>
      <c r="F505" s="972" t="s">
        <v>3424</v>
      </c>
      <c r="G505" s="433" t="s">
        <v>3425</v>
      </c>
    </row>
    <row r="506" spans="1:7" ht="25.95" customHeight="1">
      <c r="A506" s="431">
        <v>503</v>
      </c>
      <c r="B506" s="1002" t="s">
        <v>3204</v>
      </c>
      <c r="C506" s="1002" t="s">
        <v>3222</v>
      </c>
      <c r="D506" s="968" t="str">
        <f t="shared" si="8"/>
        <v>Ventilazione</v>
      </c>
      <c r="E506" s="432" t="s">
        <v>643</v>
      </c>
      <c r="F506" s="972" t="s">
        <v>3426</v>
      </c>
      <c r="G506" s="433" t="s">
        <v>3427</v>
      </c>
    </row>
    <row r="507" spans="1:7" ht="25.95" customHeight="1">
      <c r="A507" s="431">
        <v>504</v>
      </c>
      <c r="B507" s="1002" t="s">
        <v>3204</v>
      </c>
      <c r="C507" s="1002" t="s">
        <v>3223</v>
      </c>
      <c r="D507" s="968" t="str">
        <f t="shared" si="8"/>
        <v>Numero di unità abitative</v>
      </c>
      <c r="E507" s="432" t="s">
        <v>2390</v>
      </c>
      <c r="F507" s="972" t="s">
        <v>3428</v>
      </c>
      <c r="G507" s="433" t="s">
        <v>3429</v>
      </c>
    </row>
    <row r="508" spans="1:7" ht="25.95" customHeight="1">
      <c r="A508" s="431">
        <v>505</v>
      </c>
      <c r="B508" s="1002" t="s">
        <v>3204</v>
      </c>
      <c r="C508" s="1002" t="s">
        <v>3224</v>
      </c>
      <c r="D508" s="968" t="str">
        <f t="shared" si="8"/>
        <v>Fabbisogno ascensore</v>
      </c>
      <c r="E508" s="432" t="s">
        <v>3178</v>
      </c>
      <c r="F508" s="972" t="s">
        <v>3430</v>
      </c>
      <c r="G508" s="433" t="s">
        <v>3431</v>
      </c>
    </row>
    <row r="509" spans="1:7" ht="25.95" customHeight="1">
      <c r="A509" s="431">
        <v>506</v>
      </c>
      <c r="B509" s="1002" t="s">
        <v>3204</v>
      </c>
      <c r="C509" s="1002" t="s">
        <v>3225</v>
      </c>
      <c r="D509" s="968" t="str">
        <f t="shared" si="8"/>
        <v>Fabbisogno nastri riscaldanti</v>
      </c>
      <c r="E509" s="432" t="s">
        <v>3179</v>
      </c>
      <c r="F509" s="972" t="s">
        <v>3432</v>
      </c>
      <c r="G509" s="433" t="s">
        <v>3433</v>
      </c>
    </row>
    <row r="510" spans="1:7" ht="25.95" customHeight="1">
      <c r="A510" s="431">
        <v>507</v>
      </c>
      <c r="B510" s="1002" t="s">
        <v>3204</v>
      </c>
      <c r="C510" s="1002" t="s">
        <v>3226</v>
      </c>
      <c r="D510" s="968" t="str">
        <f t="shared" si="8"/>
        <v>Riduzione lavastoviglie</v>
      </c>
      <c r="E510" s="432" t="s">
        <v>3180</v>
      </c>
      <c r="F510" s="972" t="s">
        <v>3434</v>
      </c>
      <c r="G510" s="433" t="s">
        <v>3435</v>
      </c>
    </row>
    <row r="511" spans="1:7" ht="25.95" customHeight="1">
      <c r="A511" s="431">
        <v>508</v>
      </c>
      <c r="B511" s="1002" t="s">
        <v>3204</v>
      </c>
      <c r="C511" s="1002" t="s">
        <v>3227</v>
      </c>
      <c r="D511" s="968" t="str">
        <f t="shared" si="8"/>
        <v>Riduzione congelatore e frigorifero</v>
      </c>
      <c r="E511" s="432" t="s">
        <v>3181</v>
      </c>
      <c r="F511" s="972" t="s">
        <v>3436</v>
      </c>
      <c r="G511" s="433" t="s">
        <v>3437</v>
      </c>
    </row>
    <row r="512" spans="1:7" ht="25.95" customHeight="1">
      <c r="A512" s="431">
        <v>509</v>
      </c>
      <c r="B512" s="1002" t="s">
        <v>3204</v>
      </c>
      <c r="C512" s="1002" t="s">
        <v>3228</v>
      </c>
      <c r="D512" s="968" t="str">
        <f t="shared" si="8"/>
        <v>Riduzione macchina da lavare</v>
      </c>
      <c r="E512" s="432" t="s">
        <v>3182</v>
      </c>
      <c r="F512" s="972" t="s">
        <v>3438</v>
      </c>
      <c r="G512" s="433" t="s">
        <v>3439</v>
      </c>
    </row>
    <row r="513" spans="1:7" ht="25.95" customHeight="1">
      <c r="A513" s="431">
        <v>510</v>
      </c>
      <c r="B513" s="1002" t="s">
        <v>3204</v>
      </c>
      <c r="C513" s="1002" t="s">
        <v>3229</v>
      </c>
      <c r="D513" s="968" t="str">
        <f t="shared" si="8"/>
        <v>Riduzione asciugatrice</v>
      </c>
      <c r="E513" s="432" t="s">
        <v>3183</v>
      </c>
      <c r="F513" s="972" t="s">
        <v>3440</v>
      </c>
      <c r="G513" s="433" t="s">
        <v>3441</v>
      </c>
    </row>
    <row r="514" spans="1:7" ht="25.95" customHeight="1">
      <c r="A514" s="431">
        <v>511</v>
      </c>
      <c r="B514" s="1002" t="s">
        <v>3204</v>
      </c>
      <c r="C514" s="1002" t="s">
        <v>3230</v>
      </c>
      <c r="D514" s="968" t="str">
        <f t="shared" si="8"/>
        <v>Riduzione piano di cottura a induzione</v>
      </c>
      <c r="E514" s="432" t="s">
        <v>3184</v>
      </c>
      <c r="F514" s="972" t="s">
        <v>3442</v>
      </c>
      <c r="G514" s="433" t="s">
        <v>3443</v>
      </c>
    </row>
    <row r="515" spans="1:7" ht="25.95" customHeight="1">
      <c r="A515" s="431">
        <v>512</v>
      </c>
      <c r="B515" s="1002" t="s">
        <v>3204</v>
      </c>
      <c r="C515" s="1002" t="s">
        <v>3231</v>
      </c>
      <c r="D515" s="968" t="str">
        <f t="shared" si="8"/>
        <v xml:space="preserve">Riduzione illuminazione abitazione </v>
      </c>
      <c r="E515" s="432" t="s">
        <v>3185</v>
      </c>
      <c r="F515" s="972" t="s">
        <v>3444</v>
      </c>
      <c r="G515" s="433" t="s">
        <v>3445</v>
      </c>
    </row>
    <row r="516" spans="1:7" ht="25.95" customHeight="1">
      <c r="A516" s="431">
        <v>513</v>
      </c>
      <c r="B516" s="1002" t="s">
        <v>3204</v>
      </c>
      <c r="C516" s="1002" t="s">
        <v>3232</v>
      </c>
      <c r="D516" s="968" t="str">
        <f t="shared" si="8"/>
        <v>Riduzione illuminazione generale</v>
      </c>
      <c r="E516" s="432" t="s">
        <v>3186</v>
      </c>
      <c r="F516" s="972" t="s">
        <v>3446</v>
      </c>
      <c r="G516" s="433" t="s">
        <v>3447</v>
      </c>
    </row>
    <row r="517" spans="1:7" ht="25.95" customHeight="1">
      <c r="A517" s="431">
        <v>514</v>
      </c>
      <c r="B517" s="1002" t="s">
        <v>3204</v>
      </c>
      <c r="C517" s="1002" t="s">
        <v>3233</v>
      </c>
      <c r="D517" s="968" t="str">
        <f t="shared" si="8"/>
        <v>Riduzione apparecchiature d’esercizio</v>
      </c>
      <c r="E517" s="432" t="s">
        <v>3187</v>
      </c>
      <c r="F517" s="972" t="s">
        <v>3448</v>
      </c>
      <c r="G517" s="433" t="s">
        <v>3449</v>
      </c>
    </row>
    <row r="518" spans="1:7" ht="25.95" customHeight="1">
      <c r="A518" s="431">
        <v>515</v>
      </c>
      <c r="B518" s="1002" t="s">
        <v>3204</v>
      </c>
      <c r="C518" s="1002" t="s">
        <v>3234</v>
      </c>
      <c r="D518" s="968" t="str">
        <f t="shared" si="8"/>
        <v>Fabbisogno illuminazione ed. funzionale, valore calcolo</v>
      </c>
      <c r="E518" s="432" t="s">
        <v>3188</v>
      </c>
      <c r="F518" s="972" t="s">
        <v>3450</v>
      </c>
      <c r="G518" s="433" t="s">
        <v>3451</v>
      </c>
    </row>
    <row r="519" spans="1:7" ht="25.95" customHeight="1">
      <c r="A519" s="431">
        <v>516</v>
      </c>
      <c r="B519" s="1002" t="s">
        <v>3204</v>
      </c>
      <c r="C519" s="1002" t="s">
        <v>3235</v>
      </c>
      <c r="D519" s="968" t="str">
        <f t="shared" si="8"/>
        <v>Fabbisogno apparecchi ed. funzionale, valore calcolo</v>
      </c>
      <c r="E519" s="432" t="s">
        <v>3189</v>
      </c>
      <c r="F519" s="972" t="s">
        <v>3452</v>
      </c>
      <c r="G519" s="433" t="s">
        <v>3453</v>
      </c>
    </row>
    <row r="520" spans="1:7" ht="25.95" customHeight="1">
      <c r="A520" s="431">
        <v>517</v>
      </c>
      <c r="B520" s="1002" t="s">
        <v>3204</v>
      </c>
      <c r="C520" s="1002" t="s">
        <v>3236</v>
      </c>
      <c r="D520" s="968" t="str">
        <f t="shared" si="8"/>
        <v>Fabbisogno IMP ed. funzionale, valore calcolo</v>
      </c>
      <c r="E520" s="432" t="s">
        <v>3190</v>
      </c>
      <c r="F520" s="972" t="s">
        <v>3454</v>
      </c>
      <c r="G520" s="433" t="s">
        <v>3455</v>
      </c>
    </row>
    <row r="521" spans="1:7" ht="25.95" customHeight="1">
      <c r="A521" s="431">
        <v>518</v>
      </c>
      <c r="B521" s="1002" t="s">
        <v>313</v>
      </c>
      <c r="C521" s="1002" t="s">
        <v>550</v>
      </c>
      <c r="D521" s="968" t="str">
        <f t="shared" si="8"/>
        <v>- Recupero termico acque di scarico in %</v>
      </c>
      <c r="E521" s="432" t="s">
        <v>3263</v>
      </c>
      <c r="F521" s="972" t="s">
        <v>3456</v>
      </c>
      <c r="G521" s="433" t="s">
        <v>3457</v>
      </c>
    </row>
    <row r="522" spans="1:7" ht="25.95" customHeight="1">
      <c r="A522" s="431">
        <v>519</v>
      </c>
      <c r="B522" s="1002" t="s">
        <v>313</v>
      </c>
      <c r="C522" s="1002" t="s">
        <v>1803</v>
      </c>
      <c r="D522" s="968" t="str">
        <f t="shared" si="8"/>
        <v>Altezza edificio</v>
      </c>
      <c r="E522" s="432" t="s">
        <v>3316</v>
      </c>
      <c r="F522" s="972" t="s">
        <v>3458</v>
      </c>
      <c r="G522" s="433" t="s">
        <v>3459</v>
      </c>
    </row>
    <row r="523" spans="1:7" ht="25.95" customHeight="1">
      <c r="A523" s="431">
        <v>520</v>
      </c>
      <c r="B523" s="1002" t="s">
        <v>623</v>
      </c>
      <c r="C523" s="1002" t="s">
        <v>3322</v>
      </c>
      <c r="D523" s="968" t="str">
        <f t="shared" si="8"/>
        <v>Pompa di calore a gas, riscaldamento</v>
      </c>
      <c r="E523" s="432" t="s">
        <v>3318</v>
      </c>
      <c r="F523" s="972" t="s">
        <v>3460</v>
      </c>
      <c r="G523" s="433" t="s">
        <v>3461</v>
      </c>
    </row>
    <row r="524" spans="1:7" ht="25.95" customHeight="1">
      <c r="A524" s="431">
        <v>521</v>
      </c>
      <c r="B524" s="1002" t="s">
        <v>623</v>
      </c>
      <c r="C524" s="1002" t="s">
        <v>3323</v>
      </c>
      <c r="D524" s="968" t="str">
        <f t="shared" si="8"/>
        <v>Pompa di calore a gas, acqua calda sanitaria</v>
      </c>
      <c r="E524" s="432" t="s">
        <v>3319</v>
      </c>
      <c r="F524" s="972" t="s">
        <v>3462</v>
      </c>
      <c r="G524" s="433" t="s">
        <v>3463</v>
      </c>
    </row>
    <row r="525" spans="1:7" ht="25.95" customHeight="1">
      <c r="A525" s="431">
        <v>522</v>
      </c>
      <c r="B525" s="1002" t="s">
        <v>623</v>
      </c>
      <c r="C525" s="1002" t="s">
        <v>3324</v>
      </c>
      <c r="D525" s="968" t="str">
        <f t="shared" si="8"/>
        <v>Pompa di calore a gas, solo riscaldamento</v>
      </c>
      <c r="E525" s="432" t="s">
        <v>3320</v>
      </c>
      <c r="F525" s="972" t="s">
        <v>3464</v>
      </c>
      <c r="G525" s="433" t="s">
        <v>3465</v>
      </c>
    </row>
    <row r="526" spans="1:7" ht="25.95" customHeight="1">
      <c r="A526" s="431">
        <v>523</v>
      </c>
      <c r="B526" s="1002" t="s">
        <v>623</v>
      </c>
      <c r="C526" s="1002" t="s">
        <v>3325</v>
      </c>
      <c r="D526" s="968" t="str">
        <f t="shared" si="8"/>
        <v>Pompa di calore a gas, solo acqua calda</v>
      </c>
      <c r="E526" s="432" t="s">
        <v>3321</v>
      </c>
      <c r="F526" s="972" t="s">
        <v>3466</v>
      </c>
      <c r="G526" s="433" t="s">
        <v>3467</v>
      </c>
    </row>
    <row r="527" spans="1:7" ht="25.95" customHeight="1">
      <c r="A527" s="431">
        <v>524</v>
      </c>
      <c r="B527" s="1002" t="s">
        <v>53</v>
      </c>
      <c r="C527" s="1002" t="s">
        <v>3339</v>
      </c>
      <c r="D527" s="968" t="str">
        <f t="shared" si="8"/>
        <v>Controllare le unità!</v>
      </c>
      <c r="E527" s="432" t="s">
        <v>3338</v>
      </c>
      <c r="F527" s="972" t="s">
        <v>3468</v>
      </c>
      <c r="G527" s="433" t="s">
        <v>3469</v>
      </c>
    </row>
    <row r="528" spans="1:7" ht="25.95" customHeight="1">
      <c r="A528" s="431">
        <v>525</v>
      </c>
      <c r="B528" s="1002" t="s">
        <v>313</v>
      </c>
      <c r="C528" s="1002" t="s">
        <v>859</v>
      </c>
      <c r="D528" s="968" t="str">
        <f t="shared" si="8"/>
        <v>Verifica fabbisogno per illuminazione presente</v>
      </c>
      <c r="E528" s="432" t="s">
        <v>3364</v>
      </c>
      <c r="F528" s="972" t="s">
        <v>3470</v>
      </c>
      <c r="G528" s="433" t="s">
        <v>3471</v>
      </c>
    </row>
    <row r="529" spans="1:7" ht="25.95" customHeight="1">
      <c r="A529" s="431">
        <v>526</v>
      </c>
      <c r="B529" s="1002" t="s">
        <v>623</v>
      </c>
      <c r="C529" s="1002" t="s">
        <v>1850</v>
      </c>
      <c r="D529" s="968" t="str">
        <f t="shared" si="8"/>
        <v>Allegato il concetto di misura dell’ermeticità?</v>
      </c>
      <c r="E529" s="432" t="s">
        <v>3397</v>
      </c>
      <c r="F529" s="972" t="s">
        <v>3472</v>
      </c>
      <c r="G529" s="433" t="s">
        <v>3473</v>
      </c>
    </row>
  </sheetData>
  <sheetProtection algorithmName="SHA-512" hashValue="vyR2ixwj6jdg9SIxtt4Y8W7U1a8nKMDVtWGpN1zmYKaU2DACVbaMZRsC0zMUE1CHaaJ59Ft7xSlkEsGCMW6+Ig==" saltValue="xe29zzqH4CJzFlUEyOLing==" spinCount="100000" sheet="1" objects="1" scenarios="1"/>
  <phoneticPr fontId="6" type="noConversion"/>
  <dataValidations count="1">
    <dataValidation type="list" allowBlank="1" showInputMessage="1" showErrorMessage="1" sqref="C1">
      <formula1>$H$1:$H$3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603"/>
  <sheetViews>
    <sheetView showZeros="0" workbookViewId="0"/>
  </sheetViews>
  <sheetFormatPr baseColWidth="10" defaultColWidth="11.44140625" defaultRowHeight="13.2"/>
  <cols>
    <col min="1" max="1" width="56.44140625" style="1021" customWidth="1"/>
    <col min="2" max="2" width="6.88671875" style="1021" customWidth="1"/>
    <col min="3" max="3" width="11.44140625" style="1461"/>
  </cols>
  <sheetData>
    <row r="1" spans="1:3">
      <c r="A1" s="1021">
        <f>Uebersetzung!C2</f>
        <v>2018</v>
      </c>
      <c r="B1" s="1020">
        <v>1</v>
      </c>
      <c r="C1" s="1461" t="s">
        <v>2206</v>
      </c>
    </row>
    <row r="2" spans="1:3">
      <c r="A2" s="1021">
        <f>Uebersetzung!A2</f>
        <v>2</v>
      </c>
      <c r="B2" s="1020">
        <v>2</v>
      </c>
      <c r="C2" s="1461" t="s">
        <v>2207</v>
      </c>
    </row>
    <row r="3" spans="1:3">
      <c r="A3" s="1020" t="str">
        <f>TEXT(A1,0)&amp;"."&amp;TEXT(A2,0)</f>
        <v>2018.2</v>
      </c>
      <c r="B3" s="1020">
        <v>3</v>
      </c>
      <c r="C3" s="1461" t="s">
        <v>2208</v>
      </c>
    </row>
    <row r="4" spans="1:3">
      <c r="A4" s="1021" t="str">
        <f>Dati!B1</f>
        <v>v2.02</v>
      </c>
      <c r="B4" s="1020">
        <v>4</v>
      </c>
      <c r="C4" s="1461" t="s">
        <v>2205</v>
      </c>
    </row>
    <row r="5" spans="1:3">
      <c r="A5" s="1021" t="str">
        <f>Dati!F14</f>
        <v>MINERGIE</v>
      </c>
      <c r="B5" s="1020">
        <v>5</v>
      </c>
      <c r="C5" s="1461" t="s">
        <v>831</v>
      </c>
    </row>
    <row r="6" spans="1:3">
      <c r="A6" s="1021">
        <f>Standardwerte!Y52</f>
        <v>2</v>
      </c>
      <c r="B6" s="1020">
        <v>6</v>
      </c>
      <c r="C6" s="1461" t="s">
        <v>1995</v>
      </c>
    </row>
    <row r="7" spans="1:3">
      <c r="A7" s="1021" t="str">
        <f>Uebersetzung!C1</f>
        <v>italienisch</v>
      </c>
      <c r="B7" s="1020">
        <v>7</v>
      </c>
      <c r="C7" s="1461" t="s">
        <v>1091</v>
      </c>
    </row>
    <row r="8" spans="1:3">
      <c r="A8" s="1021">
        <f>Uebersetzung!A1</f>
        <v>3</v>
      </c>
      <c r="B8" s="1020">
        <v>8</v>
      </c>
      <c r="C8" s="1461" t="s">
        <v>2172</v>
      </c>
    </row>
    <row r="9" spans="1:3">
      <c r="A9" s="1021">
        <f>Projekt1</f>
        <v>0</v>
      </c>
      <c r="B9" s="1020">
        <v>9</v>
      </c>
      <c r="C9" s="1461" t="s">
        <v>1996</v>
      </c>
    </row>
    <row r="10" spans="1:3">
      <c r="A10" s="1021">
        <f>Projekt2</f>
        <v>0</v>
      </c>
      <c r="B10" s="1020">
        <v>10</v>
      </c>
      <c r="C10" s="1461" t="s">
        <v>1089</v>
      </c>
    </row>
    <row r="11" spans="1:3">
      <c r="A11" s="1021">
        <f>Projekt3</f>
        <v>0</v>
      </c>
      <c r="B11" s="1020">
        <v>11</v>
      </c>
      <c r="C11" s="1461" t="s">
        <v>1997</v>
      </c>
    </row>
    <row r="12" spans="1:3">
      <c r="A12" s="1021">
        <f>Dati!J8</f>
        <v>0</v>
      </c>
      <c r="B12" s="1020">
        <v>12</v>
      </c>
      <c r="C12" s="1461" t="s">
        <v>1998</v>
      </c>
    </row>
    <row r="13" spans="1:3">
      <c r="A13" s="1021">
        <f>Projekt4</f>
        <v>0</v>
      </c>
      <c r="B13" s="1020">
        <v>13</v>
      </c>
      <c r="C13" s="1461" t="s">
        <v>1999</v>
      </c>
    </row>
    <row r="14" spans="1:3">
      <c r="A14" s="1021">
        <f>Hoehe</f>
        <v>0</v>
      </c>
      <c r="B14" s="1020">
        <v>14</v>
      </c>
      <c r="C14" s="1461" t="s">
        <v>1090</v>
      </c>
    </row>
    <row r="15" spans="1:3">
      <c r="A15" s="1021">
        <f>Dati!I13</f>
        <v>0</v>
      </c>
      <c r="B15" s="1020">
        <v>15</v>
      </c>
      <c r="C15" s="1461" t="s">
        <v>21</v>
      </c>
    </row>
    <row r="16" spans="1:3">
      <c r="A16" s="1021">
        <f>Kanton</f>
        <v>1</v>
      </c>
      <c r="B16" s="1020">
        <v>16</v>
      </c>
      <c r="C16" s="1461" t="s">
        <v>2036</v>
      </c>
    </row>
    <row r="17" spans="1:3">
      <c r="A17" s="1021">
        <f>Dati!I14</f>
        <v>0</v>
      </c>
      <c r="B17" s="1020">
        <v>17</v>
      </c>
      <c r="C17" s="1461" t="s">
        <v>15</v>
      </c>
    </row>
    <row r="18" spans="1:3">
      <c r="A18" s="1021">
        <f>Standardwerte!B51</f>
        <v>0</v>
      </c>
      <c r="B18" s="1020">
        <v>18</v>
      </c>
      <c r="C18" s="1461" t="s">
        <v>2000</v>
      </c>
    </row>
    <row r="19" spans="1:3">
      <c r="A19" s="1021">
        <f>Dati!F16</f>
        <v>0</v>
      </c>
      <c r="B19" s="1020">
        <v>19</v>
      </c>
      <c r="C19" s="1461" t="s">
        <v>1092</v>
      </c>
    </row>
    <row r="20" spans="1:3">
      <c r="A20" s="1021">
        <f>Kategorie1-1</f>
        <v>0</v>
      </c>
      <c r="B20" s="1020">
        <v>20</v>
      </c>
      <c r="C20" s="1461" t="s">
        <v>2211</v>
      </c>
    </row>
    <row r="21" spans="1:3">
      <c r="A21" s="1021">
        <f>Dati!G16</f>
        <v>0</v>
      </c>
      <c r="B21" s="1020">
        <v>21</v>
      </c>
      <c r="C21" s="1461" t="s">
        <v>1095</v>
      </c>
    </row>
    <row r="22" spans="1:3">
      <c r="A22" s="1021">
        <f>Kategorie2-1</f>
        <v>0</v>
      </c>
      <c r="B22" s="1020">
        <v>22</v>
      </c>
      <c r="C22" s="1461" t="s">
        <v>2213</v>
      </c>
    </row>
    <row r="23" spans="1:3">
      <c r="A23" s="1021">
        <f>Dati!H16</f>
        <v>0</v>
      </c>
      <c r="B23" s="1020">
        <v>23</v>
      </c>
      <c r="C23" s="1461" t="s">
        <v>1094</v>
      </c>
    </row>
    <row r="24" spans="1:3">
      <c r="A24" s="1021">
        <f>Kategorie3-1</f>
        <v>0</v>
      </c>
      <c r="B24" s="1020">
        <v>24</v>
      </c>
      <c r="C24" s="1461" t="s">
        <v>2214</v>
      </c>
    </row>
    <row r="25" spans="1:3">
      <c r="A25" s="1021">
        <f>Dati!I16</f>
        <v>0</v>
      </c>
      <c r="B25" s="1020">
        <v>25</v>
      </c>
      <c r="C25" s="1461" t="s">
        <v>1093</v>
      </c>
    </row>
    <row r="26" spans="1:3">
      <c r="A26" s="1021">
        <f>Kategorie4-1</f>
        <v>0</v>
      </c>
      <c r="B26" s="1020">
        <v>26</v>
      </c>
      <c r="C26" s="1461" t="s">
        <v>2212</v>
      </c>
    </row>
    <row r="27" spans="1:3">
      <c r="A27" s="1021">
        <f>Dati!F17</f>
        <v>0</v>
      </c>
      <c r="B27" s="1020">
        <v>27</v>
      </c>
      <c r="C27" s="1461" t="s">
        <v>1096</v>
      </c>
    </row>
    <row r="28" spans="1:3">
      <c r="A28" s="1021">
        <f>IF(A27=Uebersetzung!$D$25,1,IF(A27=Uebersetzung!$D$26,2,0))</f>
        <v>0</v>
      </c>
      <c r="B28" s="1020">
        <v>28</v>
      </c>
      <c r="C28" s="1461" t="s">
        <v>2215</v>
      </c>
    </row>
    <row r="29" spans="1:3">
      <c r="A29" s="1021">
        <f>Dati!G17</f>
        <v>0</v>
      </c>
      <c r="B29" s="1020">
        <v>29</v>
      </c>
      <c r="C29" s="1461" t="s">
        <v>1097</v>
      </c>
    </row>
    <row r="30" spans="1:3">
      <c r="A30" s="1021">
        <f>IF(A29=Uebersetzung!$D$25,1,IF(A29=Uebersetzung!$D$26,2,0))</f>
        <v>0</v>
      </c>
      <c r="B30" s="1020">
        <v>30</v>
      </c>
      <c r="C30" s="1461" t="s">
        <v>2218</v>
      </c>
    </row>
    <row r="31" spans="1:3">
      <c r="A31" s="1021">
        <f>Dati!H17</f>
        <v>0</v>
      </c>
      <c r="B31" s="1020">
        <v>31</v>
      </c>
      <c r="C31" s="1461" t="s">
        <v>1098</v>
      </c>
    </row>
    <row r="32" spans="1:3">
      <c r="A32" s="1021">
        <f>IF(A31=Uebersetzung!$D$25,1,IF(A31=Uebersetzung!$D$26,2,0))</f>
        <v>0</v>
      </c>
      <c r="B32" s="1020">
        <v>32</v>
      </c>
      <c r="C32" s="1461" t="s">
        <v>2217</v>
      </c>
    </row>
    <row r="33" spans="1:3">
      <c r="A33" s="1021">
        <f>Dati!I17</f>
        <v>0</v>
      </c>
      <c r="B33" s="1020">
        <v>33</v>
      </c>
      <c r="C33" s="1461" t="s">
        <v>1099</v>
      </c>
    </row>
    <row r="34" spans="1:3">
      <c r="A34" s="1021">
        <f>IF(A33=Uebersetzung!$D$25,1,IF(A33=Uebersetzung!$D$26,2,0))</f>
        <v>0</v>
      </c>
      <c r="B34" s="1020">
        <v>34</v>
      </c>
      <c r="C34" s="1461" t="s">
        <v>2216</v>
      </c>
    </row>
    <row r="35" spans="1:3">
      <c r="A35" s="1021">
        <f>_EBF1</f>
        <v>0</v>
      </c>
      <c r="B35" s="1020">
        <v>35</v>
      </c>
      <c r="C35" s="1461" t="s">
        <v>1100</v>
      </c>
    </row>
    <row r="36" spans="1:3">
      <c r="A36" s="1021">
        <f>_EBF2</f>
        <v>0</v>
      </c>
      <c r="B36" s="1020">
        <v>36</v>
      </c>
      <c r="C36" s="1461" t="s">
        <v>1101</v>
      </c>
    </row>
    <row r="37" spans="1:3">
      <c r="A37" s="1021">
        <f>_EBF3</f>
        <v>0</v>
      </c>
      <c r="B37" s="1020">
        <v>37</v>
      </c>
      <c r="C37" s="1461" t="s">
        <v>1102</v>
      </c>
    </row>
    <row r="38" spans="1:3">
      <c r="A38" s="1021">
        <f>_EBF4</f>
        <v>0</v>
      </c>
      <c r="B38" s="1020">
        <v>38</v>
      </c>
      <c r="C38" s="1461" t="s">
        <v>1103</v>
      </c>
    </row>
    <row r="39" spans="1:3">
      <c r="A39" s="1021">
        <f>Dati!F21</f>
        <v>0</v>
      </c>
      <c r="B39" s="1020">
        <v>39</v>
      </c>
      <c r="C39" s="1461" t="s">
        <v>1104</v>
      </c>
    </row>
    <row r="40" spans="1:3">
      <c r="A40" s="1021">
        <f>Neubau1-1</f>
        <v>0</v>
      </c>
      <c r="B40" s="1020">
        <v>40</v>
      </c>
      <c r="C40" s="1461" t="s">
        <v>2219</v>
      </c>
    </row>
    <row r="41" spans="1:3">
      <c r="A41" s="1021">
        <f>Dati!G21</f>
        <v>0</v>
      </c>
      <c r="B41" s="1020">
        <v>41</v>
      </c>
      <c r="C41" s="1461" t="s">
        <v>1107</v>
      </c>
    </row>
    <row r="42" spans="1:3">
      <c r="A42" s="1021">
        <f>Neubau2-1</f>
        <v>0</v>
      </c>
      <c r="B42" s="1020">
        <v>42</v>
      </c>
      <c r="C42" s="1461" t="s">
        <v>2221</v>
      </c>
    </row>
    <row r="43" spans="1:3">
      <c r="A43" s="1021">
        <f>Dati!H21</f>
        <v>0</v>
      </c>
      <c r="B43" s="1020">
        <v>43</v>
      </c>
      <c r="C43" s="1461" t="s">
        <v>1106</v>
      </c>
    </row>
    <row r="44" spans="1:3">
      <c r="A44" s="1021">
        <f>Neubau3-1</f>
        <v>0</v>
      </c>
      <c r="B44" s="1020">
        <v>44</v>
      </c>
      <c r="C44" s="1461" t="s">
        <v>2222</v>
      </c>
    </row>
    <row r="45" spans="1:3">
      <c r="A45" s="1021">
        <f>Dati!I21</f>
        <v>0</v>
      </c>
      <c r="B45" s="1020">
        <v>45</v>
      </c>
      <c r="C45" s="1461" t="s">
        <v>1105</v>
      </c>
    </row>
    <row r="46" spans="1:3">
      <c r="A46" s="1021">
        <f>Neubau4-1</f>
        <v>0</v>
      </c>
      <c r="B46" s="1020">
        <v>46</v>
      </c>
      <c r="C46" s="1461" t="s">
        <v>2220</v>
      </c>
    </row>
    <row r="47" spans="1:3">
      <c r="A47" s="1021">
        <f>Dati!F30</f>
        <v>0</v>
      </c>
      <c r="B47" s="1020">
        <v>47</v>
      </c>
      <c r="C47" s="1461" t="s">
        <v>1108</v>
      </c>
    </row>
    <row r="48" spans="1:3">
      <c r="A48" s="1021">
        <f>IF(A47=Uebersetzung!$D$25,1,IF(A47=Uebersetzung!$D$26,2,0))</f>
        <v>0</v>
      </c>
      <c r="B48" s="1020">
        <v>48</v>
      </c>
      <c r="C48" s="1461" t="s">
        <v>2223</v>
      </c>
    </row>
    <row r="49" spans="1:3">
      <c r="A49" s="1021">
        <f>Dati!G30</f>
        <v>0</v>
      </c>
      <c r="B49" s="1020">
        <v>49</v>
      </c>
      <c r="C49" s="1461" t="s">
        <v>1111</v>
      </c>
    </row>
    <row r="50" spans="1:3">
      <c r="A50" s="1021">
        <f>IF(A49=Uebersetzung!$D$25,1,IF(A49=Uebersetzung!$D$26,2,0))</f>
        <v>0</v>
      </c>
      <c r="B50" s="1020">
        <v>50</v>
      </c>
      <c r="C50" s="1461" t="s">
        <v>2224</v>
      </c>
    </row>
    <row r="51" spans="1:3">
      <c r="A51" s="1021">
        <f>Dati!H30</f>
        <v>0</v>
      </c>
      <c r="B51" s="1020">
        <v>51</v>
      </c>
      <c r="C51" s="1461" t="s">
        <v>1110</v>
      </c>
    </row>
    <row r="52" spans="1:3">
      <c r="A52" s="1021">
        <f>IF(A51=Uebersetzung!$D$25,1,IF(A51=Uebersetzung!$D$26,2,0))</f>
        <v>0</v>
      </c>
      <c r="B52" s="1020">
        <v>52</v>
      </c>
      <c r="C52" s="1461" t="s">
        <v>2225</v>
      </c>
    </row>
    <row r="53" spans="1:3">
      <c r="A53" s="1021">
        <f>Dati!I30</f>
        <v>0</v>
      </c>
      <c r="B53" s="1020">
        <v>53</v>
      </c>
      <c r="C53" s="1461" t="s">
        <v>1109</v>
      </c>
    </row>
    <row r="54" spans="1:3">
      <c r="A54" s="1021">
        <f>IF(A53=Uebersetzung!$D$25,1,IF(A53=Uebersetzung!$D$26,2,0))</f>
        <v>0</v>
      </c>
      <c r="B54" s="1020">
        <v>54</v>
      </c>
      <c r="C54" s="1461" t="s">
        <v>2226</v>
      </c>
    </row>
    <row r="55" spans="1:3">
      <c r="A55" s="1021">
        <f>Dati!F31</f>
        <v>0</v>
      </c>
      <c r="B55" s="1020">
        <v>55</v>
      </c>
      <c r="C55" s="1461" t="s">
        <v>2009</v>
      </c>
    </row>
    <row r="56" spans="1:3">
      <c r="A56" s="1021">
        <f>IF(A55=0,1,VLOOKUP(A55,Standardwerte!$O$35:$T$43,6,FALSE))-1</f>
        <v>0</v>
      </c>
      <c r="B56" s="1020">
        <v>56</v>
      </c>
      <c r="C56" s="1461" t="s">
        <v>2227</v>
      </c>
    </row>
    <row r="57" spans="1:3">
      <c r="A57" s="1021">
        <f>Dati!G31</f>
        <v>0</v>
      </c>
      <c r="B57" s="1020">
        <v>57</v>
      </c>
      <c r="C57" s="1461" t="s">
        <v>2010</v>
      </c>
    </row>
    <row r="58" spans="1:3">
      <c r="A58" s="1021">
        <f>IF(A57=0,1,VLOOKUP(A57,Standardwerte!$O$35:$T$43,6,FALSE))-1</f>
        <v>0</v>
      </c>
      <c r="B58" s="1020">
        <v>58</v>
      </c>
      <c r="C58" s="1461" t="s">
        <v>2229</v>
      </c>
    </row>
    <row r="59" spans="1:3">
      <c r="A59" s="1021">
        <f>Dati!H31</f>
        <v>0</v>
      </c>
      <c r="B59" s="1020">
        <v>59</v>
      </c>
      <c r="C59" s="1461" t="s">
        <v>2011</v>
      </c>
    </row>
    <row r="60" spans="1:3">
      <c r="A60" s="1021">
        <f>IF(A59=0,1,VLOOKUP(A59,Standardwerte!$O$35:$T$43,6,FALSE))-1</f>
        <v>0</v>
      </c>
      <c r="B60" s="1020">
        <v>60</v>
      </c>
      <c r="C60" s="1461" t="s">
        <v>2230</v>
      </c>
    </row>
    <row r="61" spans="1:3">
      <c r="A61" s="1021">
        <f>Dati!I31</f>
        <v>0</v>
      </c>
      <c r="B61" s="1020">
        <v>61</v>
      </c>
      <c r="C61" s="1461" t="s">
        <v>2012</v>
      </c>
    </row>
    <row r="62" spans="1:3">
      <c r="A62" s="1021">
        <f>IF(A61=0,1,VLOOKUP(A61,Standardwerte!$O$35:$T$43,6,FALSE))-1</f>
        <v>0</v>
      </c>
      <c r="B62" s="1020">
        <v>62</v>
      </c>
      <c r="C62" s="1461" t="s">
        <v>2228</v>
      </c>
    </row>
    <row r="63" spans="1:3">
      <c r="A63" s="1021">
        <f>Raum1</f>
        <v>0</v>
      </c>
      <c r="B63" s="1020">
        <v>63</v>
      </c>
      <c r="C63" s="1461" t="s">
        <v>1112</v>
      </c>
    </row>
    <row r="64" spans="1:3">
      <c r="A64" s="1021">
        <f>Raum2</f>
        <v>0</v>
      </c>
      <c r="B64" s="1020">
        <v>64</v>
      </c>
      <c r="C64" s="1461" t="s">
        <v>1115</v>
      </c>
    </row>
    <row r="65" spans="1:3">
      <c r="A65" s="1021">
        <f>Raum3</f>
        <v>0</v>
      </c>
      <c r="B65" s="1020">
        <v>65</v>
      </c>
      <c r="C65" s="1461" t="s">
        <v>1114</v>
      </c>
    </row>
    <row r="66" spans="1:3">
      <c r="A66" s="1021">
        <f>Raum4</f>
        <v>0</v>
      </c>
      <c r="B66" s="1020">
        <v>66</v>
      </c>
      <c r="C66" s="1461" t="s">
        <v>1113</v>
      </c>
    </row>
    <row r="67" spans="1:3">
      <c r="A67" s="1021">
        <f>Dati!F34</f>
        <v>0</v>
      </c>
      <c r="B67" s="1020">
        <v>67</v>
      </c>
      <c r="C67" s="1461" t="s">
        <v>2013</v>
      </c>
    </row>
    <row r="68" spans="1:3">
      <c r="A68" s="1021">
        <f>IF(A67=0,1,VLOOKUP(A67,Standardwerte!$L$54:$O$59,4,FALSE))-1</f>
        <v>0</v>
      </c>
      <c r="B68" s="1020">
        <v>68</v>
      </c>
      <c r="C68" s="1461" t="s">
        <v>2231</v>
      </c>
    </row>
    <row r="69" spans="1:3">
      <c r="A69" s="1021">
        <f>Dati!G34</f>
        <v>0</v>
      </c>
      <c r="B69" s="1020">
        <v>69</v>
      </c>
      <c r="C69" s="1461" t="s">
        <v>2014</v>
      </c>
    </row>
    <row r="70" spans="1:3">
      <c r="A70" s="1021">
        <f>IF(A69=0,1,VLOOKUP(A69,Standardwerte!$L$54:$O$59,4,FALSE))-1</f>
        <v>0</v>
      </c>
      <c r="B70" s="1020">
        <v>70</v>
      </c>
      <c r="C70" s="1461" t="s">
        <v>2232</v>
      </c>
    </row>
    <row r="71" spans="1:3">
      <c r="A71" s="1021">
        <f>Dati!H34</f>
        <v>0</v>
      </c>
      <c r="B71" s="1020">
        <v>71</v>
      </c>
      <c r="C71" s="1461" t="s">
        <v>2015</v>
      </c>
    </row>
    <row r="72" spans="1:3">
      <c r="A72" s="1021">
        <f>IF(A71=0,1,VLOOKUP(A71,Standardwerte!$L$54:$O$59,4,FALSE))-1</f>
        <v>0</v>
      </c>
      <c r="B72" s="1020">
        <v>72</v>
      </c>
      <c r="C72" s="1461" t="s">
        <v>2233</v>
      </c>
    </row>
    <row r="73" spans="1:3">
      <c r="A73" s="1021">
        <f>Dati!I34</f>
        <v>0</v>
      </c>
      <c r="B73" s="1020">
        <v>73</v>
      </c>
      <c r="C73" s="1461" t="s">
        <v>2016</v>
      </c>
    </row>
    <row r="74" spans="1:3">
      <c r="A74" s="1021">
        <f>IF(A73=0,1,VLOOKUP(A73,Standardwerte!$L$54:$O$59,4,FALSE))-1</f>
        <v>0</v>
      </c>
      <c r="B74" s="1020">
        <v>74</v>
      </c>
      <c r="C74" s="1461" t="s">
        <v>2234</v>
      </c>
    </row>
    <row r="75" spans="1:3">
      <c r="A75" s="1021">
        <f>Dati!F35</f>
        <v>0</v>
      </c>
      <c r="B75" s="1020">
        <v>75</v>
      </c>
      <c r="C75" s="1461" t="s">
        <v>2017</v>
      </c>
    </row>
    <row r="76" spans="1:3">
      <c r="A76" s="1021">
        <f>IF(A75=0,1,VLOOKUP(A75,Standardwerte!$AB$46:$AD$48,3,FALSE))-1</f>
        <v>0</v>
      </c>
      <c r="B76" s="1020">
        <v>76</v>
      </c>
      <c r="C76" s="1461" t="s">
        <v>2236</v>
      </c>
    </row>
    <row r="77" spans="1:3">
      <c r="A77" s="1021">
        <f>Dati!G35</f>
        <v>0</v>
      </c>
      <c r="B77" s="1020">
        <v>77</v>
      </c>
      <c r="C77" s="1461" t="s">
        <v>2019</v>
      </c>
    </row>
    <row r="78" spans="1:3">
      <c r="A78" s="1021">
        <f>IF(A77=0,1,VLOOKUP(A77,Standardwerte!$AB$46:$AD$48,3,FALSE))-1</f>
        <v>0</v>
      </c>
      <c r="B78" s="1020">
        <v>78</v>
      </c>
      <c r="C78" s="1461" t="s">
        <v>2237</v>
      </c>
    </row>
    <row r="79" spans="1:3">
      <c r="A79" s="1021">
        <f>Dati!H35</f>
        <v>0</v>
      </c>
      <c r="B79" s="1020">
        <v>79</v>
      </c>
      <c r="C79" s="1461" t="s">
        <v>2020</v>
      </c>
    </row>
    <row r="80" spans="1:3">
      <c r="A80" s="1021">
        <f>IF(A79=0,1,VLOOKUP(A79,Standardwerte!$AB$46:$AD$48,3,FALSE))-1</f>
        <v>0</v>
      </c>
      <c r="B80" s="1020">
        <v>80</v>
      </c>
      <c r="C80" s="1461" t="s">
        <v>2238</v>
      </c>
    </row>
    <row r="81" spans="1:3">
      <c r="A81" s="1021">
        <f>Dati!I35</f>
        <v>0</v>
      </c>
      <c r="B81" s="1020">
        <v>81</v>
      </c>
      <c r="C81" s="1461" t="s">
        <v>2018</v>
      </c>
    </row>
    <row r="82" spans="1:3">
      <c r="A82" s="1021">
        <f>IF(A81=0,1,VLOOKUP(A81,Standardwerte!$AB$46:$AD$48,3,FALSE))-1</f>
        <v>0</v>
      </c>
      <c r="B82" s="1020">
        <v>82</v>
      </c>
      <c r="C82" s="1461" t="s">
        <v>2235</v>
      </c>
    </row>
    <row r="83" spans="1:3">
      <c r="A83" s="1021">
        <f>Dati!F39</f>
        <v>0</v>
      </c>
      <c r="B83" s="1020">
        <v>83</v>
      </c>
      <c r="C83" s="1461" t="s">
        <v>1116</v>
      </c>
    </row>
    <row r="84" spans="1:3">
      <c r="A84" s="1021">
        <f>Standardwerte!J118-1</f>
        <v>0</v>
      </c>
      <c r="B84" s="1020">
        <v>84</v>
      </c>
      <c r="C84" s="1461" t="s">
        <v>2240</v>
      </c>
    </row>
    <row r="85" spans="1:3">
      <c r="A85" s="1021">
        <f>Dati!G39</f>
        <v>0</v>
      </c>
      <c r="B85" s="1020">
        <v>85</v>
      </c>
      <c r="C85" s="1461" t="s">
        <v>1119</v>
      </c>
    </row>
    <row r="86" spans="1:3">
      <c r="A86" s="1021">
        <f>Standardwerte!K118-1</f>
        <v>0</v>
      </c>
      <c r="B86" s="1020">
        <v>86</v>
      </c>
      <c r="C86" s="1461" t="s">
        <v>2241</v>
      </c>
    </row>
    <row r="87" spans="1:3">
      <c r="A87" s="1021">
        <f>Dati!H39</f>
        <v>0</v>
      </c>
      <c r="B87" s="1020">
        <v>87</v>
      </c>
      <c r="C87" s="1461" t="s">
        <v>1118</v>
      </c>
    </row>
    <row r="88" spans="1:3">
      <c r="A88" s="1021">
        <f>Standardwerte!L118-1</f>
        <v>0</v>
      </c>
      <c r="B88" s="1020">
        <v>88</v>
      </c>
      <c r="C88" s="1461" t="s">
        <v>2242</v>
      </c>
    </row>
    <row r="89" spans="1:3">
      <c r="A89" s="1021">
        <f>Dati!I39</f>
        <v>0</v>
      </c>
      <c r="B89" s="1020">
        <v>89</v>
      </c>
      <c r="C89" s="1461" t="s">
        <v>1117</v>
      </c>
    </row>
    <row r="90" spans="1:3">
      <c r="A90" s="1021">
        <f>Standardwerte!M118-1</f>
        <v>0</v>
      </c>
      <c r="B90" s="1020">
        <v>90</v>
      </c>
      <c r="C90" s="1461" t="s">
        <v>2239</v>
      </c>
    </row>
    <row r="91" spans="1:3">
      <c r="A91" s="1022">
        <f>Dati!F40</f>
        <v>0</v>
      </c>
      <c r="B91" s="1020">
        <v>91</v>
      </c>
      <c r="C91" s="1461" t="s">
        <v>1120</v>
      </c>
    </row>
    <row r="92" spans="1:3">
      <c r="A92" s="1022">
        <f>Dati!G40</f>
        <v>0</v>
      </c>
      <c r="B92" s="1020">
        <v>92</v>
      </c>
      <c r="C92" s="1461" t="s">
        <v>1121</v>
      </c>
    </row>
    <row r="93" spans="1:3">
      <c r="A93" s="1022">
        <f>Dati!H40</f>
        <v>0</v>
      </c>
      <c r="B93" s="1020">
        <v>93</v>
      </c>
      <c r="C93" s="1461" t="s">
        <v>1122</v>
      </c>
    </row>
    <row r="94" spans="1:3">
      <c r="A94" s="1022">
        <f>Dati!I40</f>
        <v>0</v>
      </c>
      <c r="B94" s="1020">
        <v>94</v>
      </c>
      <c r="C94" s="1461" t="s">
        <v>1123</v>
      </c>
    </row>
    <row r="95" spans="1:3">
      <c r="A95" s="1022">
        <f>Dati!F41</f>
        <v>0</v>
      </c>
      <c r="B95" s="1020">
        <v>95</v>
      </c>
      <c r="C95" s="1461" t="s">
        <v>1124</v>
      </c>
    </row>
    <row r="96" spans="1:3">
      <c r="A96" s="1022">
        <f>Dati!G41</f>
        <v>0</v>
      </c>
      <c r="B96" s="1020">
        <v>96</v>
      </c>
      <c r="C96" s="1461" t="s">
        <v>1125</v>
      </c>
    </row>
    <row r="97" spans="1:3">
      <c r="A97" s="1022">
        <f>Dati!H41</f>
        <v>0</v>
      </c>
      <c r="B97" s="1020">
        <v>97</v>
      </c>
      <c r="C97" s="1461" t="s">
        <v>1126</v>
      </c>
    </row>
    <row r="98" spans="1:3">
      <c r="A98" s="1022">
        <f>Dati!I41</f>
        <v>0</v>
      </c>
      <c r="B98" s="1020">
        <v>98</v>
      </c>
      <c r="C98" s="1461" t="s">
        <v>1127</v>
      </c>
    </row>
    <row r="99" spans="1:3">
      <c r="A99" s="1022">
        <f>Dati!F42</f>
        <v>0</v>
      </c>
      <c r="B99" s="1020">
        <v>99</v>
      </c>
      <c r="C99" s="1461" t="s">
        <v>1130</v>
      </c>
    </row>
    <row r="100" spans="1:3">
      <c r="A100" s="1022">
        <f>Dati!G42</f>
        <v>0</v>
      </c>
      <c r="B100" s="1020">
        <v>100</v>
      </c>
      <c r="C100" s="1461" t="s">
        <v>1131</v>
      </c>
    </row>
    <row r="101" spans="1:3">
      <c r="A101" s="1022">
        <f>Dati!H42</f>
        <v>0</v>
      </c>
      <c r="B101" s="1020">
        <v>101</v>
      </c>
      <c r="C101" s="1461" t="s">
        <v>1132</v>
      </c>
    </row>
    <row r="102" spans="1:3">
      <c r="A102" s="1022">
        <f>Dati!I42</f>
        <v>0</v>
      </c>
      <c r="B102" s="1020">
        <v>102</v>
      </c>
      <c r="C102" s="1461" t="s">
        <v>1133</v>
      </c>
    </row>
    <row r="103" spans="1:3">
      <c r="A103" s="1022">
        <f>Dati!F43</f>
        <v>0</v>
      </c>
      <c r="B103" s="1020">
        <v>103</v>
      </c>
      <c r="C103" s="1461" t="s">
        <v>1134</v>
      </c>
    </row>
    <row r="104" spans="1:3">
      <c r="A104" s="1022">
        <f>Dati!G43</f>
        <v>0</v>
      </c>
      <c r="B104" s="1020">
        <v>104</v>
      </c>
      <c r="C104" s="1461" t="s">
        <v>1135</v>
      </c>
    </row>
    <row r="105" spans="1:3">
      <c r="A105" s="1022">
        <f>Dati!H43</f>
        <v>0</v>
      </c>
      <c r="B105" s="1020">
        <v>105</v>
      </c>
      <c r="C105" s="1461" t="s">
        <v>1136</v>
      </c>
    </row>
    <row r="106" spans="1:3">
      <c r="A106" s="1022">
        <f>Dati!I43</f>
        <v>0</v>
      </c>
      <c r="B106" s="1020">
        <v>106</v>
      </c>
      <c r="C106" s="1461" t="s">
        <v>1137</v>
      </c>
    </row>
    <row r="107" spans="1:3">
      <c r="A107" s="1021" t="str">
        <f>Dati!E46</f>
        <v>MJ/m2</v>
      </c>
      <c r="B107" s="1020">
        <v>107</v>
      </c>
      <c r="C107" s="1461" t="s">
        <v>1138</v>
      </c>
    </row>
    <row r="108" spans="1:3">
      <c r="A108" s="1021">
        <f>Einheiten</f>
        <v>1</v>
      </c>
      <c r="B108" s="1020">
        <v>108</v>
      </c>
      <c r="C108" s="1461" t="s">
        <v>2021</v>
      </c>
    </row>
    <row r="109" spans="1:3">
      <c r="A109" s="1021">
        <f>_qh1/3.6</f>
        <v>0</v>
      </c>
      <c r="B109" s="1020">
        <v>109</v>
      </c>
      <c r="C109" s="1461" t="s">
        <v>2022</v>
      </c>
    </row>
    <row r="110" spans="1:3">
      <c r="A110" s="1021">
        <f>_qh2/3.6</f>
        <v>0</v>
      </c>
      <c r="B110" s="1020">
        <v>110</v>
      </c>
      <c r="C110" s="1461" t="s">
        <v>2023</v>
      </c>
    </row>
    <row r="111" spans="1:3">
      <c r="A111" s="1021">
        <f>_qh3/3.6</f>
        <v>0</v>
      </c>
      <c r="B111" s="1020">
        <v>111</v>
      </c>
      <c r="C111" s="1461" t="s">
        <v>2024</v>
      </c>
    </row>
    <row r="112" spans="1:3">
      <c r="A112" s="1021">
        <f>_qh4/3.6</f>
        <v>0</v>
      </c>
      <c r="B112" s="1020">
        <v>112</v>
      </c>
      <c r="C112" s="1461" t="s">
        <v>2025</v>
      </c>
    </row>
    <row r="113" spans="1:7">
      <c r="A113" s="1021">
        <f>_qhs1/3.6</f>
        <v>0</v>
      </c>
      <c r="B113" s="1020">
        <v>113</v>
      </c>
      <c r="C113" s="1461" t="s">
        <v>2005</v>
      </c>
    </row>
    <row r="114" spans="1:7">
      <c r="A114" s="1021">
        <f>_qhs2/3.6</f>
        <v>0</v>
      </c>
      <c r="B114" s="1020">
        <v>114</v>
      </c>
      <c r="C114" s="1461" t="s">
        <v>2006</v>
      </c>
    </row>
    <row r="115" spans="1:7">
      <c r="A115" s="1021">
        <f>_qhs3/3.6</f>
        <v>0</v>
      </c>
      <c r="B115" s="1020">
        <v>115</v>
      </c>
      <c r="C115" s="1461" t="s">
        <v>2007</v>
      </c>
    </row>
    <row r="116" spans="1:7">
      <c r="A116" s="1021">
        <f>_qhs4/3.6</f>
        <v>0</v>
      </c>
      <c r="B116" s="1020">
        <v>116</v>
      </c>
      <c r="C116" s="1461" t="s">
        <v>2008</v>
      </c>
    </row>
    <row r="117" spans="1:7">
      <c r="A117" s="1021">
        <f>AEBF1</f>
        <v>0</v>
      </c>
      <c r="B117" s="1020">
        <v>117</v>
      </c>
      <c r="C117" s="1461" t="s">
        <v>2001</v>
      </c>
    </row>
    <row r="118" spans="1:7">
      <c r="A118" s="1021">
        <f>AEBF2</f>
        <v>0</v>
      </c>
      <c r="B118" s="1020">
        <v>118</v>
      </c>
      <c r="C118" s="1461" t="s">
        <v>2002</v>
      </c>
    </row>
    <row r="119" spans="1:7">
      <c r="A119" s="1021">
        <f>AEBF3</f>
        <v>0</v>
      </c>
      <c r="B119" s="1020">
        <v>119</v>
      </c>
      <c r="C119" s="1461" t="s">
        <v>2003</v>
      </c>
    </row>
    <row r="120" spans="1:7">
      <c r="A120" s="1021">
        <f>AEBF4</f>
        <v>0</v>
      </c>
      <c r="B120" s="1020">
        <v>120</v>
      </c>
      <c r="C120" s="1461" t="s">
        <v>2004</v>
      </c>
    </row>
    <row r="121" spans="1:7">
      <c r="A121" s="1021">
        <f>_Vth1</f>
        <v>0</v>
      </c>
      <c r="B121" s="1020">
        <v>121</v>
      </c>
      <c r="C121" s="1461" t="s">
        <v>2026</v>
      </c>
    </row>
    <row r="122" spans="1:7">
      <c r="A122" s="1021">
        <f>_Vth2</f>
        <v>0</v>
      </c>
      <c r="B122" s="1020">
        <v>122</v>
      </c>
      <c r="C122" s="1461" t="s">
        <v>2029</v>
      </c>
    </row>
    <row r="123" spans="1:7">
      <c r="A123" s="1021">
        <f>_Vth3</f>
        <v>0</v>
      </c>
      <c r="B123" s="1020">
        <v>123</v>
      </c>
      <c r="C123" s="1461" t="s">
        <v>2028</v>
      </c>
    </row>
    <row r="124" spans="1:7">
      <c r="A124" s="1023">
        <f>_Vth4</f>
        <v>0</v>
      </c>
      <c r="B124" s="1465">
        <v>124</v>
      </c>
      <c r="C124" s="1462" t="s">
        <v>2027</v>
      </c>
      <c r="D124" s="1024"/>
      <c r="E124" s="1024"/>
      <c r="F124" s="1024"/>
      <c r="G124" s="1024"/>
    </row>
    <row r="125" spans="1:7">
      <c r="A125" s="1021">
        <f>Verifica!B8</f>
        <v>0</v>
      </c>
      <c r="B125" s="1020">
        <v>125</v>
      </c>
      <c r="C125" s="1012" t="s">
        <v>1139</v>
      </c>
    </row>
    <row r="126" spans="1:7">
      <c r="A126" s="1021">
        <f>INDEX(Standardwerte!$AN$108:$AN$155,Verifica!M8,1)</f>
        <v>0</v>
      </c>
      <c r="B126" s="1020">
        <v>126</v>
      </c>
      <c r="C126" s="1012" t="s">
        <v>3331</v>
      </c>
    </row>
    <row r="127" spans="1:7">
      <c r="A127" s="1021">
        <f>Verifica!B12</f>
        <v>0</v>
      </c>
      <c r="B127" s="1020">
        <v>127</v>
      </c>
      <c r="C127" s="1012" t="s">
        <v>1140</v>
      </c>
    </row>
    <row r="128" spans="1:7">
      <c r="A128" s="1021">
        <f>INDEX(Standardwerte!$AN$108:$AN$155,Verifica!M12,1)</f>
        <v>0</v>
      </c>
      <c r="B128" s="1020">
        <v>128</v>
      </c>
      <c r="C128" s="1799" t="s">
        <v>3332</v>
      </c>
    </row>
    <row r="129" spans="1:3">
      <c r="A129" s="1021">
        <f>Verifica!B16</f>
        <v>0</v>
      </c>
      <c r="B129" s="1020">
        <v>129</v>
      </c>
      <c r="C129" s="1012" t="s">
        <v>1141</v>
      </c>
    </row>
    <row r="130" spans="1:3">
      <c r="A130" s="1021">
        <f>INDEX(Standardwerte!$AN$108:$AN$155,Verifica!M16,1)</f>
        <v>0</v>
      </c>
      <c r="B130" s="1020">
        <v>130</v>
      </c>
      <c r="C130" s="1799" t="s">
        <v>3333</v>
      </c>
    </row>
    <row r="131" spans="1:3">
      <c r="A131" s="1021">
        <f>Verifica!B20</f>
        <v>0</v>
      </c>
      <c r="B131" s="1020">
        <v>131</v>
      </c>
      <c r="C131" s="1012" t="s">
        <v>1142</v>
      </c>
    </row>
    <row r="132" spans="1:3">
      <c r="A132" s="1021">
        <f>INDEX(Standardwerte!$AN$108:$AN$155,Verifica!M20,1)</f>
        <v>0</v>
      </c>
      <c r="B132" s="1020">
        <v>132</v>
      </c>
      <c r="C132" s="1799" t="s">
        <v>3334</v>
      </c>
    </row>
    <row r="133" spans="1:3">
      <c r="A133" s="1025">
        <f>Verifica!H8</f>
        <v>0</v>
      </c>
      <c r="B133" s="1020">
        <v>133</v>
      </c>
      <c r="C133" s="1012" t="s">
        <v>1143</v>
      </c>
    </row>
    <row r="134" spans="1:3">
      <c r="A134" s="1025">
        <f>Verifica!H12</f>
        <v>0</v>
      </c>
      <c r="B134" s="1020">
        <v>134</v>
      </c>
      <c r="C134" s="1012" t="s">
        <v>1144</v>
      </c>
    </row>
    <row r="135" spans="1:3">
      <c r="A135" s="1025">
        <f>Verifica!H16</f>
        <v>0</v>
      </c>
      <c r="B135" s="1020">
        <v>135</v>
      </c>
      <c r="C135" s="1012" t="s">
        <v>1145</v>
      </c>
    </row>
    <row r="136" spans="1:3">
      <c r="A136" s="1025">
        <f>Verifica!H20</f>
        <v>0</v>
      </c>
      <c r="B136" s="1020">
        <v>136</v>
      </c>
      <c r="C136" s="1012" t="s">
        <v>1146</v>
      </c>
    </row>
    <row r="137" spans="1:3">
      <c r="A137" s="1021">
        <f>Verifica!J8</f>
        <v>0</v>
      </c>
      <c r="B137" s="1020">
        <v>137</v>
      </c>
      <c r="C137" s="1012" t="s">
        <v>1147</v>
      </c>
    </row>
    <row r="138" spans="1:3">
      <c r="A138" s="1021">
        <f>Verifica!L8</f>
        <v>0</v>
      </c>
      <c r="B138" s="1020">
        <v>138</v>
      </c>
      <c r="C138" s="1012" t="s">
        <v>1148</v>
      </c>
    </row>
    <row r="139" spans="1:3">
      <c r="A139" s="1021">
        <f>Verifica!J12</f>
        <v>0</v>
      </c>
      <c r="B139" s="1020">
        <v>139</v>
      </c>
      <c r="C139" s="1012" t="s">
        <v>1149</v>
      </c>
    </row>
    <row r="140" spans="1:3">
      <c r="A140" s="1021">
        <f>Verifica!L12</f>
        <v>0</v>
      </c>
      <c r="B140" s="1020">
        <v>140</v>
      </c>
      <c r="C140" s="1012" t="s">
        <v>1150</v>
      </c>
    </row>
    <row r="141" spans="1:3">
      <c r="A141" s="1021">
        <f>Verifica!J16</f>
        <v>0</v>
      </c>
      <c r="B141" s="1020">
        <v>141</v>
      </c>
      <c r="C141" s="1012" t="s">
        <v>1151</v>
      </c>
    </row>
    <row r="142" spans="1:3">
      <c r="A142" s="1021">
        <f>Verifica!L16</f>
        <v>0</v>
      </c>
      <c r="B142" s="1020">
        <v>142</v>
      </c>
      <c r="C142" s="1012" t="s">
        <v>1152</v>
      </c>
    </row>
    <row r="143" spans="1:3">
      <c r="A143" s="1021">
        <f>Verifica!J20</f>
        <v>0</v>
      </c>
      <c r="B143" s="1020">
        <v>143</v>
      </c>
      <c r="C143" s="1012" t="s">
        <v>1153</v>
      </c>
    </row>
    <row r="144" spans="1:3">
      <c r="A144" s="1021">
        <f>Verifica!L20</f>
        <v>0</v>
      </c>
      <c r="B144" s="1020">
        <v>144</v>
      </c>
      <c r="C144" s="1012" t="s">
        <v>1154</v>
      </c>
    </row>
    <row r="145" spans="1:3">
      <c r="A145" s="1021">
        <f>Verifica!G9</f>
        <v>0</v>
      </c>
      <c r="B145" s="1020">
        <v>145</v>
      </c>
      <c r="C145" s="1012" t="s">
        <v>1155</v>
      </c>
    </row>
    <row r="146" spans="1:3">
      <c r="A146" s="1021">
        <f>Verifica!G10</f>
        <v>0</v>
      </c>
      <c r="B146" s="1020">
        <v>146</v>
      </c>
      <c r="C146" s="1012" t="s">
        <v>1156</v>
      </c>
    </row>
    <row r="147" spans="1:3">
      <c r="A147" s="1021">
        <f>Verifica!G13</f>
        <v>0</v>
      </c>
      <c r="B147" s="1020">
        <v>147</v>
      </c>
      <c r="C147" s="1012" t="s">
        <v>1157</v>
      </c>
    </row>
    <row r="148" spans="1:3">
      <c r="A148" s="1021">
        <f>Verifica!G14</f>
        <v>0</v>
      </c>
      <c r="B148" s="1020">
        <v>148</v>
      </c>
      <c r="C148" s="1012" t="s">
        <v>1158</v>
      </c>
    </row>
    <row r="149" spans="1:3">
      <c r="A149" s="1021">
        <f>Verifica!G17</f>
        <v>0</v>
      </c>
      <c r="B149" s="1020">
        <v>149</v>
      </c>
      <c r="C149" s="1012" t="s">
        <v>1159</v>
      </c>
    </row>
    <row r="150" spans="1:3">
      <c r="A150" s="1021">
        <f>Verifica!G18</f>
        <v>0</v>
      </c>
      <c r="B150" s="1020">
        <v>150</v>
      </c>
      <c r="C150" s="1012" t="s">
        <v>1160</v>
      </c>
    </row>
    <row r="151" spans="1:3">
      <c r="A151" s="1021">
        <f>Verifica!G21</f>
        <v>0</v>
      </c>
      <c r="B151" s="1020">
        <v>151</v>
      </c>
      <c r="C151" s="1012" t="s">
        <v>1161</v>
      </c>
    </row>
    <row r="152" spans="1:3">
      <c r="A152" s="1021">
        <f>Verifica!G22</f>
        <v>0</v>
      </c>
      <c r="B152" s="1020">
        <v>152</v>
      </c>
      <c r="C152" s="1012" t="s">
        <v>1162</v>
      </c>
    </row>
    <row r="153" spans="1:3">
      <c r="A153" s="1021">
        <f>Verifica!B24</f>
        <v>0</v>
      </c>
      <c r="B153" s="1020">
        <v>153</v>
      </c>
      <c r="C153" s="1012" t="s">
        <v>2030</v>
      </c>
    </row>
    <row r="154" spans="1:3">
      <c r="A154" s="1021">
        <f>Verifica!J24</f>
        <v>0</v>
      </c>
      <c r="B154" s="1020">
        <v>154</v>
      </c>
      <c r="C154" s="1012" t="s">
        <v>1166</v>
      </c>
    </row>
    <row r="155" spans="1:3">
      <c r="A155" s="1021">
        <f>Verifica!L24</f>
        <v>0</v>
      </c>
      <c r="B155" s="1020">
        <v>155</v>
      </c>
      <c r="C155" s="1012" t="s">
        <v>1167</v>
      </c>
    </row>
    <row r="156" spans="1:3">
      <c r="A156" s="1021">
        <f>StrombedarfE</f>
        <v>0</v>
      </c>
      <c r="B156" s="1020">
        <v>156</v>
      </c>
      <c r="C156" s="1012" t="s">
        <v>1168</v>
      </c>
    </row>
    <row r="157" spans="1:3">
      <c r="A157" s="1021">
        <f>EndenergieE</f>
        <v>0</v>
      </c>
      <c r="B157" s="1020">
        <v>157</v>
      </c>
      <c r="C157" s="1012" t="s">
        <v>1169</v>
      </c>
    </row>
    <row r="158" spans="1:3">
      <c r="A158" s="1021" t="str">
        <f>Verifica!B63</f>
        <v>x</v>
      </c>
      <c r="B158" s="1020">
        <v>158</v>
      </c>
      <c r="C158" s="1012" t="s">
        <v>1170</v>
      </c>
    </row>
    <row r="159" spans="1:3">
      <c r="A159" s="1021" t="str">
        <f>Verifica!B64</f>
        <v>x</v>
      </c>
      <c r="B159" s="1020">
        <v>159</v>
      </c>
      <c r="C159" s="1012" t="s">
        <v>1171</v>
      </c>
    </row>
    <row r="160" spans="1:3">
      <c r="A160" s="1021">
        <f>Verifica!G63</f>
        <v>0</v>
      </c>
      <c r="B160" s="1020">
        <v>160</v>
      </c>
      <c r="C160" s="1012" t="s">
        <v>1172</v>
      </c>
    </row>
    <row r="161" spans="1:7">
      <c r="A161" s="1021">
        <f>Verifica!H63</f>
        <v>0</v>
      </c>
      <c r="B161" s="1020">
        <v>161</v>
      </c>
      <c r="C161" s="1012" t="s">
        <v>1173</v>
      </c>
    </row>
    <row r="162" spans="1:7">
      <c r="A162" s="1021">
        <f>Verifica!G64</f>
        <v>0</v>
      </c>
      <c r="B162" s="1020">
        <v>162</v>
      </c>
      <c r="C162" s="1012" t="s">
        <v>1174</v>
      </c>
    </row>
    <row r="163" spans="1:7">
      <c r="A163" s="1023">
        <f>Verifica!H64</f>
        <v>0</v>
      </c>
      <c r="B163" s="1465">
        <v>163</v>
      </c>
      <c r="C163" s="1463" t="s">
        <v>1175</v>
      </c>
      <c r="D163" s="1024"/>
      <c r="E163" s="1024"/>
      <c r="F163" s="1024"/>
      <c r="G163" s="1024"/>
    </row>
    <row r="164" spans="1:7">
      <c r="A164" s="1021">
        <f>WirkungsgradA</f>
        <v>0</v>
      </c>
      <c r="B164" s="1020">
        <v>164</v>
      </c>
      <c r="C164" s="1012" t="s">
        <v>1176</v>
      </c>
    </row>
    <row r="165" spans="1:7">
      <c r="A165" s="1021">
        <f>WirkungsgradB</f>
        <v>0</v>
      </c>
      <c r="B165" s="1020">
        <v>165</v>
      </c>
      <c r="C165" s="1012" t="s">
        <v>1177</v>
      </c>
    </row>
    <row r="166" spans="1:7">
      <c r="A166" s="1021">
        <f>WirkungsgradC</f>
        <v>0</v>
      </c>
      <c r="B166" s="1020">
        <v>166</v>
      </c>
      <c r="C166" s="1012" t="s">
        <v>1178</v>
      </c>
    </row>
    <row r="167" spans="1:7">
      <c r="A167" s="1021">
        <f>WirkungsgradD</f>
        <v>0</v>
      </c>
      <c r="B167" s="1020">
        <v>167</v>
      </c>
      <c r="C167" s="1012" t="s">
        <v>1179</v>
      </c>
    </row>
    <row r="168" spans="1:7">
      <c r="A168" s="1021">
        <f>Verifica!G47</f>
        <v>0</v>
      </c>
      <c r="B168" s="1020">
        <v>168</v>
      </c>
      <c r="C168" s="1012" t="s">
        <v>1205</v>
      </c>
    </row>
    <row r="169" spans="1:7">
      <c r="A169" s="1021">
        <f>Verifica!G48</f>
        <v>0</v>
      </c>
      <c r="B169" s="1020">
        <v>169</v>
      </c>
      <c r="C169" s="1012" t="s">
        <v>1206</v>
      </c>
    </row>
    <row r="170" spans="1:7">
      <c r="A170" s="1021">
        <f>Verifica!G49</f>
        <v>0</v>
      </c>
      <c r="B170" s="1020">
        <v>170</v>
      </c>
      <c r="C170" s="1012" t="s">
        <v>1208</v>
      </c>
    </row>
    <row r="171" spans="1:7">
      <c r="A171" s="1021">
        <f>Verifica!G50</f>
        <v>0</v>
      </c>
      <c r="B171" s="1020">
        <v>171</v>
      </c>
      <c r="C171" s="1012" t="s">
        <v>1207</v>
      </c>
    </row>
    <row r="172" spans="1:7">
      <c r="A172" s="1021" t="str">
        <f>Verifica!G51</f>
        <v/>
      </c>
      <c r="B172" s="1020">
        <v>172</v>
      </c>
      <c r="C172" s="1012" t="s">
        <v>1209</v>
      </c>
    </row>
    <row r="173" spans="1:7">
      <c r="A173" s="1021">
        <f>Verifica!H47</f>
        <v>0</v>
      </c>
      <c r="B173" s="1020">
        <v>173</v>
      </c>
      <c r="C173" s="1012" t="s">
        <v>1210</v>
      </c>
    </row>
    <row r="174" spans="1:7">
      <c r="A174" s="1021">
        <f>Verifica!H48</f>
        <v>0</v>
      </c>
      <c r="B174" s="1020">
        <v>174</v>
      </c>
      <c r="C174" s="1012" t="s">
        <v>1212</v>
      </c>
    </row>
    <row r="175" spans="1:7">
      <c r="A175" s="1021">
        <f>Verifica!H49</f>
        <v>0</v>
      </c>
      <c r="B175" s="1020">
        <v>175</v>
      </c>
      <c r="C175" s="1012" t="s">
        <v>1213</v>
      </c>
    </row>
    <row r="176" spans="1:7">
      <c r="A176" s="1021">
        <f>Verifica!H50</f>
        <v>0</v>
      </c>
      <c r="B176" s="1020">
        <v>176</v>
      </c>
      <c r="C176" s="1012" t="s">
        <v>1211</v>
      </c>
    </row>
    <row r="177" spans="1:3">
      <c r="A177" s="1021">
        <f>Verifica!H51</f>
        <v>0</v>
      </c>
      <c r="B177" s="1020">
        <v>177</v>
      </c>
      <c r="C177" s="1012" t="s">
        <v>1214</v>
      </c>
    </row>
    <row r="178" spans="1:3">
      <c r="A178" s="1021">
        <f>DeckungsgradHeizung</f>
        <v>0</v>
      </c>
      <c r="B178" s="1020">
        <v>178</v>
      </c>
      <c r="C178" s="1012" t="s">
        <v>1180</v>
      </c>
    </row>
    <row r="179" spans="1:3">
      <c r="A179" s="1021">
        <f>DeckungsgradWW</f>
        <v>0</v>
      </c>
      <c r="B179" s="1020">
        <v>179</v>
      </c>
      <c r="C179" s="1012" t="s">
        <v>1181</v>
      </c>
    </row>
    <row r="180" spans="1:3">
      <c r="A180" s="1021">
        <f>Verifica!F47</f>
        <v>0</v>
      </c>
      <c r="B180" s="1020">
        <v>180</v>
      </c>
      <c r="C180" s="1012" t="s">
        <v>1215</v>
      </c>
    </row>
    <row r="181" spans="1:3">
      <c r="A181" s="1021">
        <f>Verifica!F48</f>
        <v>0</v>
      </c>
      <c r="B181" s="1020">
        <v>181</v>
      </c>
      <c r="C181" s="1012" t="s">
        <v>1216</v>
      </c>
    </row>
    <row r="182" spans="1:3">
      <c r="A182" s="1021">
        <f>Verifica!F49</f>
        <v>0</v>
      </c>
      <c r="B182" s="1020">
        <v>182</v>
      </c>
      <c r="C182" s="1012" t="s">
        <v>1217</v>
      </c>
    </row>
    <row r="183" spans="1:3">
      <c r="A183" s="1021">
        <f>Verifica!F50</f>
        <v>0</v>
      </c>
      <c r="B183" s="1020">
        <v>183</v>
      </c>
      <c r="C183" s="1012" t="s">
        <v>1218</v>
      </c>
    </row>
    <row r="184" spans="1:3">
      <c r="A184" s="1021">
        <f>Verifica!G34</f>
        <v>0</v>
      </c>
      <c r="B184" s="1020">
        <v>184</v>
      </c>
      <c r="C184" s="1461" t="s">
        <v>1182</v>
      </c>
    </row>
    <row r="185" spans="1:3">
      <c r="A185" s="1021">
        <f>Verifica!H34</f>
        <v>0</v>
      </c>
      <c r="B185" s="1020">
        <v>185</v>
      </c>
      <c r="C185" s="1461" t="s">
        <v>1183</v>
      </c>
    </row>
    <row r="186" spans="1:3">
      <c r="A186" s="1021">
        <f>Verifica!I34</f>
        <v>0</v>
      </c>
      <c r="B186" s="1020">
        <v>186</v>
      </c>
      <c r="C186" s="1461" t="s">
        <v>1184</v>
      </c>
    </row>
    <row r="187" spans="1:3">
      <c r="A187" s="1021">
        <f>Verifica!J34</f>
        <v>0</v>
      </c>
      <c r="B187" s="1020">
        <v>187</v>
      </c>
      <c r="C187" s="1461" t="s">
        <v>1185</v>
      </c>
    </row>
    <row r="188" spans="1:3">
      <c r="A188" s="1021">
        <f>Verifica!L34</f>
        <v>0</v>
      </c>
      <c r="B188" s="1020">
        <v>188</v>
      </c>
      <c r="C188" s="1461" t="s">
        <v>1186</v>
      </c>
    </row>
    <row r="189" spans="1:3">
      <c r="A189" s="1021">
        <f>_qw1</f>
        <v>0</v>
      </c>
      <c r="B189" s="1020">
        <v>189</v>
      </c>
      <c r="C189" s="1461" t="s">
        <v>1187</v>
      </c>
    </row>
    <row r="190" spans="1:3">
      <c r="A190" s="1021">
        <f>_qw2</f>
        <v>0</v>
      </c>
      <c r="B190" s="1020">
        <v>190</v>
      </c>
      <c r="C190" s="1461" t="s">
        <v>1188</v>
      </c>
    </row>
    <row r="191" spans="1:3">
      <c r="A191" s="1021">
        <f>_qw3</f>
        <v>0</v>
      </c>
      <c r="B191" s="1020">
        <v>191</v>
      </c>
      <c r="C191" s="1461" t="s">
        <v>1189</v>
      </c>
    </row>
    <row r="192" spans="1:3">
      <c r="A192" s="1021">
        <f>_qw4</f>
        <v>0</v>
      </c>
      <c r="B192" s="1020">
        <v>192</v>
      </c>
      <c r="C192" s="1461" t="s">
        <v>1190</v>
      </c>
    </row>
    <row r="193" spans="1:3">
      <c r="A193" s="1021">
        <f>qw</f>
        <v>0</v>
      </c>
      <c r="B193" s="1020">
        <v>193</v>
      </c>
      <c r="C193" s="1461" t="s">
        <v>1191</v>
      </c>
    </row>
    <row r="194" spans="1:3">
      <c r="A194" s="1026">
        <f>Verifica!G39</f>
        <v>0</v>
      </c>
      <c r="B194" s="1020">
        <v>194</v>
      </c>
      <c r="C194" s="1461" t="s">
        <v>1192</v>
      </c>
    </row>
    <row r="195" spans="1:3">
      <c r="A195" s="1026">
        <f>Verifica!H39</f>
        <v>0</v>
      </c>
      <c r="B195" s="1020">
        <v>195</v>
      </c>
      <c r="C195" s="1461" t="s">
        <v>1193</v>
      </c>
    </row>
    <row r="196" spans="1:3">
      <c r="A196" s="1026">
        <f>Verifica!I39</f>
        <v>0</v>
      </c>
      <c r="B196" s="1020">
        <v>196</v>
      </c>
      <c r="C196" s="1461" t="s">
        <v>1194</v>
      </c>
    </row>
    <row r="197" spans="1:3">
      <c r="A197" s="1026">
        <f>Verifica!J39</f>
        <v>0</v>
      </c>
      <c r="B197" s="1020">
        <v>197</v>
      </c>
      <c r="C197" s="1461" t="s">
        <v>1195</v>
      </c>
    </row>
    <row r="198" spans="1:3">
      <c r="A198" s="1026">
        <f>Verifica!L39</f>
        <v>0</v>
      </c>
      <c r="B198" s="1020">
        <v>198</v>
      </c>
      <c r="C198" s="1461" t="s">
        <v>1196</v>
      </c>
    </row>
    <row r="199" spans="1:3">
      <c r="A199" s="1021">
        <f>Verifica!G40</f>
        <v>0</v>
      </c>
      <c r="B199" s="1020">
        <v>199</v>
      </c>
      <c r="C199" s="1461" t="s">
        <v>1198</v>
      </c>
    </row>
    <row r="200" spans="1:3">
      <c r="A200" s="1021">
        <f>Verifica!H40</f>
        <v>0</v>
      </c>
      <c r="B200" s="1020">
        <v>200</v>
      </c>
      <c r="C200" s="1461" t="s">
        <v>1199</v>
      </c>
    </row>
    <row r="201" spans="1:3">
      <c r="A201" s="1021">
        <f>Verifica!I40</f>
        <v>0</v>
      </c>
      <c r="B201" s="1020">
        <v>201</v>
      </c>
      <c r="C201" s="1461" t="s">
        <v>1200</v>
      </c>
    </row>
    <row r="202" spans="1:3">
      <c r="A202" s="1021">
        <f>Verifica!J40</f>
        <v>0</v>
      </c>
      <c r="B202" s="1020">
        <v>202</v>
      </c>
      <c r="C202" s="1461" t="s">
        <v>1201</v>
      </c>
    </row>
    <row r="203" spans="1:3">
      <c r="A203" s="1021">
        <f>Verifica!L40</f>
        <v>0</v>
      </c>
      <c r="B203" s="1020">
        <v>203</v>
      </c>
      <c r="C203" s="1461" t="s">
        <v>1202</v>
      </c>
    </row>
    <row r="204" spans="1:3">
      <c r="A204" s="1021">
        <f>Verifica!G43</f>
        <v>0</v>
      </c>
      <c r="B204" s="1020">
        <v>204</v>
      </c>
      <c r="C204" s="1461" t="s">
        <v>2031</v>
      </c>
    </row>
    <row r="205" spans="1:3">
      <c r="A205" s="1021">
        <f>Verifica!H43</f>
        <v>0</v>
      </c>
      <c r="B205" s="1020">
        <v>205</v>
      </c>
      <c r="C205" s="1461" t="s">
        <v>2032</v>
      </c>
    </row>
    <row r="206" spans="1:3">
      <c r="A206" s="1021">
        <f>Verifica!I43</f>
        <v>0</v>
      </c>
      <c r="B206" s="1020">
        <v>206</v>
      </c>
      <c r="C206" s="1461" t="s">
        <v>2033</v>
      </c>
    </row>
    <row r="207" spans="1:3">
      <c r="A207" s="1021">
        <f>Verifica!J43</f>
        <v>0</v>
      </c>
      <c r="B207" s="1020">
        <v>207</v>
      </c>
      <c r="C207" s="1461" t="s">
        <v>2034</v>
      </c>
    </row>
    <row r="208" spans="1:3">
      <c r="A208" s="1021">
        <f>Verifica!L43</f>
        <v>0</v>
      </c>
      <c r="B208" s="1020">
        <v>208</v>
      </c>
      <c r="C208" s="1461" t="s">
        <v>1203</v>
      </c>
    </row>
    <row r="209" spans="1:8">
      <c r="A209" s="1021">
        <f>Verifica!G58</f>
        <v>0</v>
      </c>
      <c r="B209" s="1020">
        <v>209</v>
      </c>
      <c r="C209" s="1461" t="s">
        <v>2037</v>
      </c>
    </row>
    <row r="210" spans="1:8">
      <c r="A210" s="1021">
        <f>MINERGIE_Wert</f>
        <v>0</v>
      </c>
      <c r="B210" s="1020">
        <v>210</v>
      </c>
      <c r="C210" s="1461" t="s">
        <v>2038</v>
      </c>
    </row>
    <row r="211" spans="1:8">
      <c r="A211" s="1021" t="str">
        <f>Verifica!L58</f>
        <v/>
      </c>
      <c r="B211" s="1020">
        <v>211</v>
      </c>
      <c r="C211" s="1461" t="s">
        <v>2035</v>
      </c>
    </row>
    <row r="212" spans="1:8">
      <c r="A212" s="1021">
        <f>IF(A211="",0,IF(A211=0,1,VLOOKUP(A211,MINERGIE!$N$11:$P$13,3,FALSE))-1)</f>
        <v>0</v>
      </c>
      <c r="B212" s="1020">
        <v>212</v>
      </c>
      <c r="C212" s="1461" t="s">
        <v>2243</v>
      </c>
    </row>
    <row r="213" spans="1:8">
      <c r="A213" s="1021" t="str">
        <f>Verifica!L60</f>
        <v>Ja</v>
      </c>
      <c r="B213" s="1020">
        <v>213</v>
      </c>
      <c r="C213" s="1461" t="s">
        <v>1219</v>
      </c>
    </row>
    <row r="214" spans="1:8">
      <c r="A214" s="1021" t="e">
        <f>IF(A213=0,1,VLOOKUP(A213,MINERGIE!$N$11:$P$13,3,FALSE))-1</f>
        <v>#N/A</v>
      </c>
      <c r="B214" s="1020">
        <v>214</v>
      </c>
      <c r="C214" s="1464" t="s">
        <v>2244</v>
      </c>
      <c r="D214" s="1457"/>
      <c r="E214" s="1457"/>
      <c r="F214" s="1457"/>
      <c r="G214" s="1457"/>
    </row>
    <row r="215" spans="1:8">
      <c r="A215" s="1021">
        <f>Verifica!G59</f>
        <v>0</v>
      </c>
      <c r="B215" s="1020">
        <v>215</v>
      </c>
      <c r="C215" s="1461" t="s">
        <v>2039</v>
      </c>
    </row>
    <row r="216" spans="1:8">
      <c r="A216" s="1021">
        <f>Verifica!I59</f>
        <v>0</v>
      </c>
      <c r="B216" s="1020">
        <v>216</v>
      </c>
      <c r="C216" s="1461" t="s">
        <v>2040</v>
      </c>
    </row>
    <row r="217" spans="1:8">
      <c r="A217" s="1021" t="str">
        <f>Verifica!L59</f>
        <v/>
      </c>
      <c r="B217" s="1020">
        <v>217</v>
      </c>
      <c r="C217" s="1461" t="s">
        <v>2041</v>
      </c>
    </row>
    <row r="218" spans="1:8">
      <c r="A218" s="1021">
        <f>IF(A217="",0,IF(A217=0,1,VLOOKUP(A217,MINERGIE!$N$11:$P$13,3,FALSE))-1)</f>
        <v>0</v>
      </c>
      <c r="B218" s="1020">
        <v>218</v>
      </c>
      <c r="C218" s="1461" t="s">
        <v>2245</v>
      </c>
    </row>
    <row r="219" spans="1:8">
      <c r="A219" s="1021">
        <f>Verifica!G44</f>
        <v>0</v>
      </c>
      <c r="B219" s="1020">
        <v>219</v>
      </c>
      <c r="C219" s="1461" t="s">
        <v>2042</v>
      </c>
    </row>
    <row r="220" spans="1:8">
      <c r="A220" s="1021">
        <f>Verifica!H44</f>
        <v>0</v>
      </c>
      <c r="B220" s="1020">
        <v>220</v>
      </c>
      <c r="C220" s="1461" t="s">
        <v>2043</v>
      </c>
    </row>
    <row r="221" spans="1:8">
      <c r="A221" s="1021">
        <f>Verifica!I44</f>
        <v>0</v>
      </c>
      <c r="B221" s="1020">
        <v>221</v>
      </c>
      <c r="C221" s="1461" t="s">
        <v>2044</v>
      </c>
    </row>
    <row r="222" spans="1:8">
      <c r="A222" s="1023">
        <f>Verifica!J44</f>
        <v>0</v>
      </c>
      <c r="B222" s="1465">
        <v>222</v>
      </c>
      <c r="C222" s="1462" t="s">
        <v>2045</v>
      </c>
      <c r="D222" s="1024"/>
      <c r="E222" s="1024"/>
      <c r="F222" s="1024"/>
      <c r="G222" s="1024"/>
      <c r="H222" s="1024"/>
    </row>
    <row r="223" spans="1:8">
      <c r="A223" s="1021">
        <f>MINERGIE!F19</f>
        <v>0</v>
      </c>
      <c r="B223" s="1020">
        <v>223</v>
      </c>
      <c r="C223" s="1012" t="s">
        <v>2046</v>
      </c>
    </row>
    <row r="224" spans="1:8">
      <c r="A224" s="1021">
        <f>IF(A223=0,1,VLOOKUP(A223,MINERGIE!$N$11:$P$13,3,FALSE))-1</f>
        <v>0</v>
      </c>
      <c r="B224" s="1020">
        <v>224</v>
      </c>
      <c r="C224" s="1012" t="s">
        <v>2246</v>
      </c>
    </row>
    <row r="225" spans="1:3">
      <c r="A225" s="1021">
        <f>MINERGIE!G19</f>
        <v>0</v>
      </c>
      <c r="B225" s="1020">
        <v>225</v>
      </c>
      <c r="C225" s="1012" t="s">
        <v>2047</v>
      </c>
    </row>
    <row r="226" spans="1:3">
      <c r="A226" s="1021">
        <f>IF(A225=0,1,VLOOKUP(A225,MINERGIE!$N$11:$P$13,3,FALSE))-1</f>
        <v>0</v>
      </c>
      <c r="B226" s="1020">
        <v>226</v>
      </c>
      <c r="C226" s="1012" t="s">
        <v>2249</v>
      </c>
    </row>
    <row r="227" spans="1:3">
      <c r="A227" s="1021">
        <f>MINERGIE!H19</f>
        <v>0</v>
      </c>
      <c r="B227" s="1020">
        <v>227</v>
      </c>
      <c r="C227" s="1012" t="s">
        <v>2048</v>
      </c>
    </row>
    <row r="228" spans="1:3">
      <c r="A228" s="1021">
        <f>IF(A227=0,1,VLOOKUP(A227,MINERGIE!$N$11:$P$13,3,FALSE))-1</f>
        <v>0</v>
      </c>
      <c r="B228" s="1020">
        <v>228</v>
      </c>
      <c r="C228" s="1012" t="s">
        <v>2248</v>
      </c>
    </row>
    <row r="229" spans="1:3">
      <c r="A229" s="1021">
        <f>MINERGIE!I19</f>
        <v>0</v>
      </c>
      <c r="B229" s="1020">
        <v>229</v>
      </c>
      <c r="C229" s="1012" t="s">
        <v>2049</v>
      </c>
    </row>
    <row r="230" spans="1:3">
      <c r="A230" s="1021">
        <f>IF(A229=0,1,VLOOKUP(A229,MINERGIE!$N$11:$P$13,3,FALSE))-1</f>
        <v>0</v>
      </c>
      <c r="B230" s="1020">
        <v>230</v>
      </c>
      <c r="C230" s="1012" t="s">
        <v>2247</v>
      </c>
    </row>
    <row r="231" spans="1:3">
      <c r="A231" s="1021">
        <f>MINERGIE!F20</f>
        <v>0</v>
      </c>
      <c r="B231" s="1020">
        <v>231</v>
      </c>
      <c r="C231" s="1012" t="s">
        <v>2050</v>
      </c>
    </row>
    <row r="232" spans="1:3">
      <c r="A232" s="1021">
        <f>IF(A231=0,1,VLOOKUP(A231,MINERGIE!$N$11:$P$13,3,FALSE))-1</f>
        <v>0</v>
      </c>
      <c r="B232" s="1020">
        <v>232</v>
      </c>
      <c r="C232" s="1012" t="s">
        <v>2250</v>
      </c>
    </row>
    <row r="233" spans="1:3">
      <c r="A233" s="1021">
        <f>MINERGIE!G20</f>
        <v>0</v>
      </c>
      <c r="B233" s="1020">
        <v>233</v>
      </c>
      <c r="C233" s="1012" t="s">
        <v>2053</v>
      </c>
    </row>
    <row r="234" spans="1:3">
      <c r="A234" s="1021">
        <f>IF(A233=0,1,VLOOKUP(A233,MINERGIE!$N$11:$P$13,3,FALSE))-1</f>
        <v>0</v>
      </c>
      <c r="B234" s="1020">
        <v>234</v>
      </c>
      <c r="C234" s="1012" t="s">
        <v>2251</v>
      </c>
    </row>
    <row r="235" spans="1:3">
      <c r="A235" s="1021">
        <f>MINERGIE!H20</f>
        <v>0</v>
      </c>
      <c r="B235" s="1020">
        <v>235</v>
      </c>
      <c r="C235" s="1012" t="s">
        <v>2052</v>
      </c>
    </row>
    <row r="236" spans="1:3">
      <c r="A236" s="1021">
        <f>IF(A235=0,1,VLOOKUP(A235,MINERGIE!$N$11:$P$13,3,FALSE))-1</f>
        <v>0</v>
      </c>
      <c r="B236" s="1020">
        <v>236</v>
      </c>
      <c r="C236" s="1012" t="s">
        <v>2252</v>
      </c>
    </row>
    <row r="237" spans="1:3">
      <c r="A237" s="1021">
        <f>MINERGIE!R25</f>
        <v>0</v>
      </c>
      <c r="B237" s="1020">
        <v>237</v>
      </c>
      <c r="C237" s="1012" t="s">
        <v>2051</v>
      </c>
    </row>
    <row r="238" spans="1:3">
      <c r="A238" s="1021">
        <f>IF(A237=0,1,VLOOKUP(A237,MINERGIE!$N$11:$P$13,3,FALSE))-1</f>
        <v>0</v>
      </c>
      <c r="B238" s="1020">
        <v>238</v>
      </c>
      <c r="C238" s="1012" t="s">
        <v>2253</v>
      </c>
    </row>
    <row r="239" spans="1:3">
      <c r="A239" s="1021">
        <f>MINERGIE!O25</f>
        <v>0</v>
      </c>
      <c r="B239" s="1020">
        <v>239</v>
      </c>
      <c r="C239" s="1012" t="s">
        <v>2054</v>
      </c>
    </row>
    <row r="240" spans="1:3">
      <c r="A240" s="1021">
        <f>MINERGIE!P25</f>
        <v>0</v>
      </c>
      <c r="B240" s="1020">
        <v>240</v>
      </c>
      <c r="C240" s="1012" t="s">
        <v>2056</v>
      </c>
    </row>
    <row r="241" spans="1:3">
      <c r="A241" s="1021">
        <f>MINERGIE!Q25</f>
        <v>0</v>
      </c>
      <c r="B241" s="1020">
        <v>241</v>
      </c>
      <c r="C241" s="1012" t="s">
        <v>2057</v>
      </c>
    </row>
    <row r="242" spans="1:3">
      <c r="A242" s="1021">
        <f>MINERGIE!R25</f>
        <v>0</v>
      </c>
      <c r="B242" s="1020">
        <v>242</v>
      </c>
      <c r="C242" s="1012" t="s">
        <v>2055</v>
      </c>
    </row>
    <row r="243" spans="1:3">
      <c r="A243" s="1021">
        <f>MINERGIE!F33</f>
        <v>0</v>
      </c>
      <c r="B243" s="1020">
        <v>243</v>
      </c>
      <c r="C243" s="1012" t="s">
        <v>2059</v>
      </c>
    </row>
    <row r="244" spans="1:3">
      <c r="A244" s="1021">
        <f>IF(A243=0,1,VLOOKUP(A243,MINERGIE!$N$11:$P$13,3,FALSE))-1</f>
        <v>0</v>
      </c>
      <c r="B244" s="1020">
        <v>244</v>
      </c>
      <c r="C244" s="1012" t="s">
        <v>2254</v>
      </c>
    </row>
    <row r="245" spans="1:3">
      <c r="A245" s="1021">
        <f>MINERGIE!G33</f>
        <v>0</v>
      </c>
      <c r="B245" s="1020">
        <v>245</v>
      </c>
      <c r="C245" s="1012" t="s">
        <v>2061</v>
      </c>
    </row>
    <row r="246" spans="1:3">
      <c r="A246" s="1021">
        <f>IF(A245=0,1,VLOOKUP(A245,MINERGIE!$N$11:$P$13,3,FALSE))-1</f>
        <v>0</v>
      </c>
      <c r="B246" s="1020">
        <v>246</v>
      </c>
      <c r="C246" s="1012" t="s">
        <v>2255</v>
      </c>
    </row>
    <row r="247" spans="1:3">
      <c r="A247" s="1021">
        <f>MINERGIE!H33</f>
        <v>0</v>
      </c>
      <c r="B247" s="1020">
        <v>247</v>
      </c>
      <c r="C247" s="1012" t="s">
        <v>2062</v>
      </c>
    </row>
    <row r="248" spans="1:3">
      <c r="A248" s="1021">
        <f>IF(A247=0,1,VLOOKUP(A247,MINERGIE!$N$11:$P$13,3,FALSE))-1</f>
        <v>0</v>
      </c>
      <c r="B248" s="1020">
        <v>248</v>
      </c>
      <c r="C248" s="1012" t="s">
        <v>2256</v>
      </c>
    </row>
    <row r="249" spans="1:3">
      <c r="A249" s="1021">
        <f>MINERGIE!I33</f>
        <v>0</v>
      </c>
      <c r="B249" s="1020">
        <v>249</v>
      </c>
      <c r="C249" s="1012" t="s">
        <v>2060</v>
      </c>
    </row>
    <row r="250" spans="1:3">
      <c r="A250" s="1021">
        <f>IF(A249=0,1,VLOOKUP(A249,MINERGIE!$N$11:$P$13,3,FALSE))-1</f>
        <v>0</v>
      </c>
      <c r="B250" s="1020">
        <v>250</v>
      </c>
      <c r="C250" s="1012" t="s">
        <v>2257</v>
      </c>
    </row>
    <row r="251" spans="1:3">
      <c r="A251" s="1021">
        <f>MINERGIE!F34</f>
        <v>0</v>
      </c>
      <c r="B251" s="1020">
        <v>251</v>
      </c>
      <c r="C251" s="1461" t="s">
        <v>2063</v>
      </c>
    </row>
    <row r="252" spans="1:3">
      <c r="A252" s="1021">
        <f>IF(A251=0,1,VLOOKUP(A251,MINERGIE!$N$11:$P$13,3,FALSE))-1</f>
        <v>0</v>
      </c>
      <c r="B252" s="1020">
        <v>252</v>
      </c>
      <c r="C252" s="1461" t="s">
        <v>2258</v>
      </c>
    </row>
    <row r="253" spans="1:3">
      <c r="A253" s="1021">
        <f>MINERGIE!G34</f>
        <v>0</v>
      </c>
      <c r="B253" s="1020">
        <v>253</v>
      </c>
      <c r="C253" s="1461" t="s">
        <v>2064</v>
      </c>
    </row>
    <row r="254" spans="1:3">
      <c r="A254" s="1021">
        <f>IF(A253=0,1,VLOOKUP(A253,MINERGIE!$N$11:$P$13,3,FALSE))-1</f>
        <v>0</v>
      </c>
      <c r="B254" s="1020">
        <v>254</v>
      </c>
      <c r="C254" s="1461" t="s">
        <v>2259</v>
      </c>
    </row>
    <row r="255" spans="1:3">
      <c r="A255" s="1021">
        <f>MINERGIE!H34</f>
        <v>0</v>
      </c>
      <c r="B255" s="1020">
        <v>255</v>
      </c>
      <c r="C255" s="1461" t="s">
        <v>2065</v>
      </c>
    </row>
    <row r="256" spans="1:3">
      <c r="A256" s="1021">
        <f>IF(A255=0,1,VLOOKUP(A255,MINERGIE!$N$11:$P$13,3,FALSE))-1</f>
        <v>0</v>
      </c>
      <c r="B256" s="1020">
        <v>256</v>
      </c>
      <c r="C256" s="1461" t="s">
        <v>2260</v>
      </c>
    </row>
    <row r="257" spans="1:4">
      <c r="A257" s="1021">
        <f>MINERGIE!I34</f>
        <v>0</v>
      </c>
      <c r="B257" s="1020">
        <v>257</v>
      </c>
      <c r="C257" s="1461" t="s">
        <v>2066</v>
      </c>
    </row>
    <row r="258" spans="1:4">
      <c r="A258" s="1021">
        <f>IF(A257=0,1,VLOOKUP(A257,MINERGIE!$N$11:$P$13,3,FALSE))-1</f>
        <v>0</v>
      </c>
      <c r="B258" s="1020">
        <v>258</v>
      </c>
      <c r="C258" s="1461" t="s">
        <v>2261</v>
      </c>
    </row>
    <row r="259" spans="1:4">
      <c r="A259" s="1021">
        <f>MINERGIE!F35</f>
        <v>0</v>
      </c>
      <c r="B259" s="1020">
        <v>259</v>
      </c>
      <c r="C259" s="1461" t="s">
        <v>2067</v>
      </c>
    </row>
    <row r="260" spans="1:4">
      <c r="A260" s="1021">
        <f>IF(A259=0,1,VLOOKUP(A259,MINERGIE!$N$11:$P$13,3,FALSE))-1</f>
        <v>0</v>
      </c>
      <c r="B260" s="1020">
        <v>260</v>
      </c>
      <c r="C260" s="1461" t="s">
        <v>2262</v>
      </c>
      <c r="D260" s="1456"/>
    </row>
    <row r="261" spans="1:4">
      <c r="A261" s="1021">
        <f>MINERGIE!G35</f>
        <v>0</v>
      </c>
      <c r="B261" s="1020">
        <v>261</v>
      </c>
      <c r="C261" s="1461" t="s">
        <v>2068</v>
      </c>
    </row>
    <row r="262" spans="1:4">
      <c r="A262" s="1021">
        <f>IF(A261=0,1,VLOOKUP(A261,MINERGIE!$N$11:$P$13,3,FALSE))-1</f>
        <v>0</v>
      </c>
      <c r="B262" s="1020">
        <v>262</v>
      </c>
      <c r="C262" s="1461" t="s">
        <v>2263</v>
      </c>
    </row>
    <row r="263" spans="1:4">
      <c r="A263" s="1021">
        <f>MINERGIE!H35</f>
        <v>0</v>
      </c>
      <c r="B263" s="1020">
        <v>263</v>
      </c>
      <c r="C263" s="1461" t="s">
        <v>2069</v>
      </c>
    </row>
    <row r="264" spans="1:4">
      <c r="A264" s="1021">
        <f>IF(A263=0,1,VLOOKUP(A263,MINERGIE!$N$11:$P$13,3,FALSE))-1</f>
        <v>0</v>
      </c>
      <c r="B264" s="1020">
        <v>264</v>
      </c>
      <c r="C264" s="1461" t="s">
        <v>2264</v>
      </c>
    </row>
    <row r="265" spans="1:4">
      <c r="A265" s="1020">
        <f>MINERGIE!I35</f>
        <v>0</v>
      </c>
      <c r="B265" s="1020">
        <v>265</v>
      </c>
      <c r="C265" s="1461" t="s">
        <v>2070</v>
      </c>
    </row>
    <row r="266" spans="1:4">
      <c r="A266" s="1021">
        <f>IF(A265=0,1,VLOOKUP(A265,MINERGIE!$N$11:$P$13,3,FALSE))-1</f>
        <v>0</v>
      </c>
      <c r="B266" s="1020">
        <v>266</v>
      </c>
      <c r="C266" s="1461" t="s">
        <v>2265</v>
      </c>
    </row>
    <row r="267" spans="1:4">
      <c r="A267" s="1021">
        <f>MINERGIE!F36</f>
        <v>0</v>
      </c>
      <c r="B267" s="1020">
        <v>267</v>
      </c>
      <c r="C267" s="1461" t="s">
        <v>2071</v>
      </c>
    </row>
    <row r="268" spans="1:4">
      <c r="A268" s="1021">
        <f>IF(A267=0,1,VLOOKUP(A267,MINERGIE!$N$11:$P$13,3,FALSE))-1</f>
        <v>0</v>
      </c>
      <c r="B268" s="1020">
        <v>268</v>
      </c>
      <c r="C268" s="1461" t="s">
        <v>2266</v>
      </c>
    </row>
    <row r="269" spans="1:4">
      <c r="A269" s="1021">
        <f>MINERGIE!G36</f>
        <v>0</v>
      </c>
      <c r="B269" s="1020">
        <v>269</v>
      </c>
      <c r="C269" s="1461" t="s">
        <v>2072</v>
      </c>
    </row>
    <row r="270" spans="1:4">
      <c r="A270" s="1021">
        <f>IF(A269=0,1,VLOOKUP(A269,MINERGIE!$N$11:$P$13,3,FALSE))-1</f>
        <v>0</v>
      </c>
      <c r="B270" s="1020">
        <v>270</v>
      </c>
      <c r="C270" s="1461" t="s">
        <v>2267</v>
      </c>
    </row>
    <row r="271" spans="1:4">
      <c r="A271" s="1021">
        <f>MINERGIE!H36</f>
        <v>0</v>
      </c>
      <c r="B271" s="1020">
        <v>271</v>
      </c>
      <c r="C271" s="1461" t="s">
        <v>2073</v>
      </c>
    </row>
    <row r="272" spans="1:4">
      <c r="A272" s="1021">
        <f>IF(A271=0,1,VLOOKUP(A271,MINERGIE!$N$11:$P$13,3,FALSE))-1</f>
        <v>0</v>
      </c>
      <c r="B272" s="1020">
        <v>272</v>
      </c>
      <c r="C272" s="1461" t="s">
        <v>2268</v>
      </c>
    </row>
    <row r="273" spans="1:4">
      <c r="A273" s="1021">
        <f>MINERGIE!I36</f>
        <v>0</v>
      </c>
      <c r="B273" s="1020">
        <v>273</v>
      </c>
      <c r="C273" s="1461" t="s">
        <v>2074</v>
      </c>
    </row>
    <row r="274" spans="1:4">
      <c r="A274" s="1021">
        <f>IF(A273=0,1,VLOOKUP(A273,MINERGIE!$N$11:$P$13,3,FALSE))-1</f>
        <v>0</v>
      </c>
      <c r="B274" s="1020">
        <v>274</v>
      </c>
      <c r="C274" s="1461" t="s">
        <v>2269</v>
      </c>
    </row>
    <row r="275" spans="1:4">
      <c r="A275" s="1021">
        <f>MINERGIE!F37</f>
        <v>0</v>
      </c>
      <c r="B275" s="1020">
        <v>275</v>
      </c>
      <c r="C275" s="1461" t="s">
        <v>2075</v>
      </c>
      <c r="D275" s="1456"/>
    </row>
    <row r="276" spans="1:4">
      <c r="A276" s="1021">
        <f>IF(A275=0,1,VLOOKUP(A275,MINERGIE!$N$11:$P$13,3,FALSE))-1</f>
        <v>0</v>
      </c>
      <c r="B276" s="1020">
        <v>276</v>
      </c>
      <c r="C276" s="1461" t="s">
        <v>2270</v>
      </c>
    </row>
    <row r="277" spans="1:4">
      <c r="A277" s="1021">
        <f>MINERGIE!G37</f>
        <v>0</v>
      </c>
      <c r="B277" s="1020">
        <v>277</v>
      </c>
      <c r="C277" s="1461" t="s">
        <v>2076</v>
      </c>
    </row>
    <row r="278" spans="1:4">
      <c r="A278" s="1021">
        <f>IF(A277=0,1,VLOOKUP(A277,MINERGIE!$N$11:$P$13,3,FALSE))-1</f>
        <v>0</v>
      </c>
      <c r="B278" s="1020">
        <v>278</v>
      </c>
      <c r="C278" s="1461" t="s">
        <v>2271</v>
      </c>
    </row>
    <row r="279" spans="1:4">
      <c r="A279" s="1021">
        <f>MINERGIE!H37</f>
        <v>0</v>
      </c>
      <c r="B279" s="1020">
        <v>279</v>
      </c>
      <c r="C279" s="1461" t="s">
        <v>2077</v>
      </c>
    </row>
    <row r="280" spans="1:4">
      <c r="A280" s="1021">
        <f>IF(A279=0,1,VLOOKUP(A279,MINERGIE!$N$11:$P$13,3,FALSE))-1</f>
        <v>0</v>
      </c>
      <c r="B280" s="1020">
        <v>280</v>
      </c>
      <c r="C280" s="1461" t="s">
        <v>2272</v>
      </c>
    </row>
    <row r="281" spans="1:4">
      <c r="A281" s="1020">
        <f>MINERGIE!I37</f>
        <v>0</v>
      </c>
      <c r="B281" s="1020">
        <v>281</v>
      </c>
      <c r="C281" s="1461" t="s">
        <v>2078</v>
      </c>
    </row>
    <row r="282" spans="1:4">
      <c r="A282" s="1021">
        <f>IF(A281=0,1,VLOOKUP(A281,MINERGIE!$N$11:$P$13,3,FALSE))-1</f>
        <v>0</v>
      </c>
      <c r="B282" s="1020">
        <v>282</v>
      </c>
      <c r="C282" s="1461" t="s">
        <v>2273</v>
      </c>
    </row>
    <row r="283" spans="1:4">
      <c r="A283" s="1021">
        <f>MINERGIE!F38</f>
        <v>0</v>
      </c>
      <c r="B283" s="1020">
        <v>283</v>
      </c>
      <c r="C283" s="1461" t="s">
        <v>2079</v>
      </c>
    </row>
    <row r="284" spans="1:4">
      <c r="A284" s="1021">
        <f>IF(A283=0,1,VLOOKUP(A283,MINERGIE!$N$11:$P$13,3,FALSE))-1</f>
        <v>0</v>
      </c>
      <c r="B284" s="1020">
        <v>284</v>
      </c>
      <c r="C284" s="1461" t="s">
        <v>2274</v>
      </c>
    </row>
    <row r="285" spans="1:4">
      <c r="A285" s="1021">
        <f>MINERGIE!G38</f>
        <v>0</v>
      </c>
      <c r="B285" s="1020">
        <v>285</v>
      </c>
      <c r="C285" s="1461" t="s">
        <v>2080</v>
      </c>
    </row>
    <row r="286" spans="1:4">
      <c r="A286" s="1021">
        <f>IF(A285=0,1,VLOOKUP(A285,MINERGIE!$N$11:$P$13,3,FALSE))-1</f>
        <v>0</v>
      </c>
      <c r="B286" s="1020">
        <v>286</v>
      </c>
      <c r="C286" s="1461" t="s">
        <v>2275</v>
      </c>
    </row>
    <row r="287" spans="1:4">
      <c r="A287" s="1021">
        <f>MINERGIE!H38</f>
        <v>0</v>
      </c>
      <c r="B287" s="1020">
        <v>287</v>
      </c>
      <c r="C287" s="1461" t="s">
        <v>2081</v>
      </c>
    </row>
    <row r="288" spans="1:4">
      <c r="A288" s="1021">
        <f>IF(A287=0,1,VLOOKUP(A287,MINERGIE!$N$11:$P$13,3,FALSE))-1</f>
        <v>0</v>
      </c>
      <c r="B288" s="1020">
        <v>288</v>
      </c>
      <c r="C288" s="1461" t="s">
        <v>2276</v>
      </c>
    </row>
    <row r="289" spans="1:5">
      <c r="A289" s="1021">
        <f>MINERGIE!I38</f>
        <v>0</v>
      </c>
      <c r="B289" s="1020">
        <v>289</v>
      </c>
      <c r="C289" s="1461" t="s">
        <v>2082</v>
      </c>
    </row>
    <row r="290" spans="1:5">
      <c r="A290" s="1021">
        <f>IF(A289=0,1,VLOOKUP(A289,MINERGIE!$N$11:$P$13,3,FALSE))-1</f>
        <v>0</v>
      </c>
      <c r="B290" s="1020">
        <v>290</v>
      </c>
      <c r="C290" s="1461" t="s">
        <v>2277</v>
      </c>
    </row>
    <row r="291" spans="1:5">
      <c r="A291" s="1021">
        <f>MINERGIE!F39</f>
        <v>0</v>
      </c>
      <c r="B291" s="1020">
        <v>291</v>
      </c>
      <c r="C291" s="1461" t="s">
        <v>2083</v>
      </c>
      <c r="D291" s="1456"/>
    </row>
    <row r="292" spans="1:5">
      <c r="A292" s="1021">
        <f>IF(A291=0,1,VLOOKUP(A291,MINERGIE!$N$11:$P$13,3,FALSE))-1</f>
        <v>0</v>
      </c>
      <c r="B292" s="1020">
        <v>292</v>
      </c>
      <c r="C292" s="1461" t="s">
        <v>2278</v>
      </c>
      <c r="D292" s="1456"/>
      <c r="E292" s="1456"/>
    </row>
    <row r="293" spans="1:5">
      <c r="A293" s="1021">
        <f>MINERGIE!G39</f>
        <v>0</v>
      </c>
      <c r="B293" s="1020">
        <v>293</v>
      </c>
      <c r="C293" s="1461" t="s">
        <v>2084</v>
      </c>
    </row>
    <row r="294" spans="1:5">
      <c r="A294" s="1021">
        <f>IF(A293=0,1,VLOOKUP(A293,MINERGIE!$N$11:$P$13,3,FALSE))-1</f>
        <v>0</v>
      </c>
      <c r="B294" s="1020">
        <v>294</v>
      </c>
      <c r="C294" s="1461" t="s">
        <v>2279</v>
      </c>
    </row>
    <row r="295" spans="1:5">
      <c r="A295" s="1021">
        <f>MINERGIE!H39</f>
        <v>0</v>
      </c>
      <c r="B295" s="1020">
        <v>295</v>
      </c>
      <c r="C295" s="1461" t="s">
        <v>2085</v>
      </c>
    </row>
    <row r="296" spans="1:5">
      <c r="A296" s="1021">
        <f>IF(A295=0,1,VLOOKUP(A295,MINERGIE!$N$11:$P$13,3,FALSE))-1</f>
        <v>0</v>
      </c>
      <c r="B296" s="1020">
        <v>296</v>
      </c>
      <c r="C296" s="1461" t="s">
        <v>2280</v>
      </c>
    </row>
    <row r="297" spans="1:5">
      <c r="A297" s="1021">
        <f>MINERGIE!I39</f>
        <v>0</v>
      </c>
      <c r="B297" s="1020">
        <v>297</v>
      </c>
      <c r="C297" s="1461" t="s">
        <v>2086</v>
      </c>
    </row>
    <row r="298" spans="1:5">
      <c r="A298" s="1021">
        <f>IF(A297=0,1,VLOOKUP(A297,MINERGIE!$N$11:$P$13,3,FALSE))-1</f>
        <v>0</v>
      </c>
      <c r="B298" s="1020">
        <v>298</v>
      </c>
      <c r="C298" s="1461" t="s">
        <v>2281</v>
      </c>
    </row>
    <row r="299" spans="1:5">
      <c r="A299" s="1021">
        <f>MINERGIE!F40</f>
        <v>0</v>
      </c>
      <c r="B299" s="1020">
        <v>299</v>
      </c>
      <c r="C299" s="1461" t="s">
        <v>2087</v>
      </c>
      <c r="D299" s="1456"/>
    </row>
    <row r="300" spans="1:5">
      <c r="A300" s="1021">
        <f>IF(A299=0,1,VLOOKUP(A299,MINERGIE!$N$11:$P$13,3,FALSE))-1</f>
        <v>0</v>
      </c>
      <c r="B300" s="1020">
        <v>300</v>
      </c>
      <c r="C300" s="1461" t="s">
        <v>2282</v>
      </c>
    </row>
    <row r="301" spans="1:5">
      <c r="A301" s="1021">
        <f>MINERGIE!G40</f>
        <v>0</v>
      </c>
      <c r="B301" s="1020">
        <v>301</v>
      </c>
      <c r="C301" s="1461" t="s">
        <v>2088</v>
      </c>
    </row>
    <row r="302" spans="1:5">
      <c r="A302" s="1021">
        <f>IF(A301=0,1,VLOOKUP(A301,MINERGIE!$N$11:$P$13,3,FALSE))-1</f>
        <v>0</v>
      </c>
      <c r="B302" s="1020">
        <v>302</v>
      </c>
      <c r="C302" s="1461" t="s">
        <v>2283</v>
      </c>
    </row>
    <row r="303" spans="1:5">
      <c r="A303" s="1021">
        <f>MINERGIE!H40</f>
        <v>0</v>
      </c>
      <c r="B303" s="1020">
        <v>303</v>
      </c>
      <c r="C303" s="1461" t="s">
        <v>2089</v>
      </c>
    </row>
    <row r="304" spans="1:5">
      <c r="A304" s="1021">
        <f>IF(A303=0,1,VLOOKUP(A303,MINERGIE!$N$11:$P$13,3,FALSE))-1</f>
        <v>0</v>
      </c>
      <c r="B304" s="1020">
        <v>304</v>
      </c>
      <c r="C304" s="1461" t="s">
        <v>2284</v>
      </c>
    </row>
    <row r="305" spans="1:5">
      <c r="A305" s="1021">
        <f>MINERGIE!I40</f>
        <v>0</v>
      </c>
      <c r="B305" s="1020">
        <v>305</v>
      </c>
      <c r="C305" s="1461" t="s">
        <v>2090</v>
      </c>
    </row>
    <row r="306" spans="1:5">
      <c r="A306" s="1021">
        <f>IF(A305=0,1,VLOOKUP(A305,MINERGIE!$N$11:$P$13,3,FALSE))-1</f>
        <v>0</v>
      </c>
      <c r="B306" s="1020">
        <v>306</v>
      </c>
      <c r="C306" s="1461" t="s">
        <v>2285</v>
      </c>
    </row>
    <row r="307" spans="1:5">
      <c r="A307" s="1021">
        <f>MINERGIE!F44</f>
        <v>0</v>
      </c>
      <c r="B307" s="1020">
        <v>307</v>
      </c>
      <c r="C307" s="1461" t="s">
        <v>2091</v>
      </c>
      <c r="D307" s="1456"/>
    </row>
    <row r="308" spans="1:5">
      <c r="A308" s="1021">
        <f>IF(A307=0,1,VLOOKUP(A307,MINERGIE!$N$11:$P$13,3,FALSE))-1</f>
        <v>0</v>
      </c>
      <c r="B308" s="1020">
        <v>308</v>
      </c>
      <c r="C308" s="1461" t="s">
        <v>2286</v>
      </c>
    </row>
    <row r="309" spans="1:5">
      <c r="A309" s="1021">
        <f>MINERGIE!G44</f>
        <v>0</v>
      </c>
      <c r="B309" s="1020">
        <v>309</v>
      </c>
      <c r="C309" s="1461" t="s">
        <v>2092</v>
      </c>
    </row>
    <row r="310" spans="1:5">
      <c r="A310" s="1021">
        <f>IF(A309=0,1,VLOOKUP(A309,MINERGIE!$N$11:$P$13,3,FALSE))-1</f>
        <v>0</v>
      </c>
      <c r="B310" s="1020">
        <v>310</v>
      </c>
      <c r="C310" s="1461" t="s">
        <v>2287</v>
      </c>
    </row>
    <row r="311" spans="1:5">
      <c r="A311" s="1021">
        <f>MINERGIE!H44</f>
        <v>0</v>
      </c>
      <c r="B311" s="1020">
        <v>311</v>
      </c>
      <c r="C311" s="1461" t="s">
        <v>2093</v>
      </c>
    </row>
    <row r="312" spans="1:5">
      <c r="A312" s="1021">
        <f>IF(A311=0,1,VLOOKUP(A311,MINERGIE!$N$11:$P$13,3,FALSE))-1</f>
        <v>0</v>
      </c>
      <c r="B312" s="1020">
        <v>312</v>
      </c>
      <c r="C312" s="1461" t="s">
        <v>2288</v>
      </c>
    </row>
    <row r="313" spans="1:5">
      <c r="A313" s="1021">
        <f>MINERGIE!I44</f>
        <v>0</v>
      </c>
      <c r="B313" s="1020">
        <v>313</v>
      </c>
      <c r="C313" s="1461" t="s">
        <v>2094</v>
      </c>
    </row>
    <row r="314" spans="1:5">
      <c r="A314" s="1021">
        <f>IF(A313=0,1,VLOOKUP(A313,MINERGIE!$N$11:$P$13,3,FALSE))-1</f>
        <v>0</v>
      </c>
      <c r="B314" s="1020">
        <v>314</v>
      </c>
      <c r="C314" s="1461" t="s">
        <v>2289</v>
      </c>
    </row>
    <row r="315" spans="1:5">
      <c r="A315" s="1021">
        <f>MINERGIE!F46</f>
        <v>0</v>
      </c>
      <c r="B315" s="1020">
        <v>315</v>
      </c>
      <c r="C315" s="1461" t="s">
        <v>2095</v>
      </c>
      <c r="D315" s="1456"/>
    </row>
    <row r="316" spans="1:5">
      <c r="A316" s="1021">
        <f>IF(A315=0,1,VLOOKUP(A315,MINERGIE!$N$11:$P$13,3,FALSE))-1</f>
        <v>0</v>
      </c>
      <c r="B316" s="1020">
        <v>316</v>
      </c>
      <c r="C316" s="1461" t="s">
        <v>2290</v>
      </c>
      <c r="D316" s="1456"/>
      <c r="E316" s="1456"/>
    </row>
    <row r="317" spans="1:5">
      <c r="A317" s="1021">
        <f>MINERGIE!G46</f>
        <v>0</v>
      </c>
      <c r="B317" s="1020">
        <v>317</v>
      </c>
      <c r="C317" s="1461" t="s">
        <v>2096</v>
      </c>
    </row>
    <row r="318" spans="1:5">
      <c r="A318" s="1021">
        <f>IF(A317=0,1,VLOOKUP(A317,MINERGIE!$N$11:$P$13,3,FALSE))-1</f>
        <v>0</v>
      </c>
      <c r="B318" s="1020">
        <v>318</v>
      </c>
      <c r="C318" s="1461" t="s">
        <v>2291</v>
      </c>
    </row>
    <row r="319" spans="1:5">
      <c r="A319" s="1021">
        <f>MINERGIE!H46</f>
        <v>0</v>
      </c>
      <c r="B319" s="1020">
        <v>319</v>
      </c>
      <c r="C319" s="1461" t="s">
        <v>2097</v>
      </c>
    </row>
    <row r="320" spans="1:5">
      <c r="A320" s="1021">
        <f>IF(A319=0,1,VLOOKUP(A319,MINERGIE!$N$11:$P$13,3,FALSE))-1</f>
        <v>0</v>
      </c>
      <c r="B320" s="1020">
        <v>320</v>
      </c>
      <c r="C320" s="1461" t="s">
        <v>2292</v>
      </c>
    </row>
    <row r="321" spans="1:4">
      <c r="A321" s="1021">
        <f>MINERGIE!I46</f>
        <v>0</v>
      </c>
      <c r="B321" s="1020">
        <v>321</v>
      </c>
      <c r="C321" s="1461" t="s">
        <v>2098</v>
      </c>
    </row>
    <row r="322" spans="1:4">
      <c r="A322" s="1021">
        <f>IF(A321=0,1,VLOOKUP(A321,MINERGIE!$N$11:$P$13,3,FALSE))-1</f>
        <v>0</v>
      </c>
      <c r="B322" s="1020">
        <v>322</v>
      </c>
      <c r="C322" s="1461" t="s">
        <v>2293</v>
      </c>
    </row>
    <row r="323" spans="1:4">
      <c r="A323" s="1021">
        <f>MINERGIE!F47</f>
        <v>0</v>
      </c>
      <c r="B323" s="1020">
        <v>323</v>
      </c>
      <c r="C323" s="1461" t="s">
        <v>2099</v>
      </c>
      <c r="D323" s="1456"/>
    </row>
    <row r="324" spans="1:4">
      <c r="A324" s="1021">
        <f>IF(A323=0,1,VLOOKUP(A323,MINERGIE!$N$11:$P$13,3,FALSE))-1</f>
        <v>0</v>
      </c>
      <c r="B324" s="1020">
        <v>324</v>
      </c>
      <c r="C324" s="1461" t="s">
        <v>2294</v>
      </c>
    </row>
    <row r="325" spans="1:4">
      <c r="A325" s="1021">
        <f>MINERGIE!G47</f>
        <v>0</v>
      </c>
      <c r="B325" s="1020">
        <v>325</v>
      </c>
      <c r="C325" s="1461" t="s">
        <v>2100</v>
      </c>
    </row>
    <row r="326" spans="1:4">
      <c r="A326" s="1021">
        <f>IF(A325=0,1,VLOOKUP(A325,MINERGIE!$N$11:$P$13,3,FALSE))-1</f>
        <v>0</v>
      </c>
      <c r="B326" s="1020">
        <v>326</v>
      </c>
      <c r="C326" s="1461" t="s">
        <v>2295</v>
      </c>
    </row>
    <row r="327" spans="1:4">
      <c r="A327" s="1021">
        <f>MINERGIE!H47</f>
        <v>0</v>
      </c>
      <c r="B327" s="1020">
        <v>327</v>
      </c>
      <c r="C327" s="1461" t="s">
        <v>2101</v>
      </c>
    </row>
    <row r="328" spans="1:4">
      <c r="A328" s="1021">
        <f>IF(A327=0,1,VLOOKUP(A327,MINERGIE!$N$11:$P$13,3,FALSE))-1</f>
        <v>0</v>
      </c>
      <c r="B328" s="1020">
        <v>328</v>
      </c>
      <c r="C328" s="1461" t="s">
        <v>2296</v>
      </c>
    </row>
    <row r="329" spans="1:4">
      <c r="A329" s="1021">
        <f>MINERGIE!I47</f>
        <v>0</v>
      </c>
      <c r="B329" s="1020">
        <v>329</v>
      </c>
      <c r="C329" s="1461" t="s">
        <v>2102</v>
      </c>
    </row>
    <row r="330" spans="1:4">
      <c r="A330" s="1021">
        <f>IF(A329=0,1,VLOOKUP(A329,MINERGIE!$N$11:$P$13,3,FALSE))-1</f>
        <v>0</v>
      </c>
      <c r="B330" s="1020">
        <v>330</v>
      </c>
      <c r="C330" s="1461" t="s">
        <v>2297</v>
      </c>
    </row>
    <row r="331" spans="1:4">
      <c r="A331" s="1021">
        <f>MINERGIE!O92</f>
        <v>0</v>
      </c>
      <c r="B331" s="1020">
        <v>331</v>
      </c>
      <c r="C331" s="1461" t="s">
        <v>2103</v>
      </c>
    </row>
    <row r="332" spans="1:4">
      <c r="A332" s="1021">
        <f>MINERGIE!P92</f>
        <v>0</v>
      </c>
      <c r="B332" s="1020">
        <v>332</v>
      </c>
      <c r="C332" s="1461" t="s">
        <v>2105</v>
      </c>
    </row>
    <row r="333" spans="1:4">
      <c r="A333" s="1021">
        <f>MINERGIE!Q92</f>
        <v>0</v>
      </c>
      <c r="B333" s="1020">
        <v>333</v>
      </c>
      <c r="C333" s="1461" t="s">
        <v>2106</v>
      </c>
    </row>
    <row r="334" spans="1:4">
      <c r="A334" s="1021">
        <f>MINERGIE!R92</f>
        <v>0</v>
      </c>
      <c r="B334" s="1020">
        <v>334</v>
      </c>
      <c r="C334" s="1461" t="s">
        <v>2107</v>
      </c>
    </row>
    <row r="335" spans="1:4">
      <c r="A335" s="1021">
        <f>MINERGIE!O93</f>
        <v>0</v>
      </c>
      <c r="B335" s="1020">
        <v>335</v>
      </c>
      <c r="C335" s="1461" t="s">
        <v>2104</v>
      </c>
    </row>
    <row r="336" spans="1:4">
      <c r="A336" s="1021">
        <f>MINERGIE!P93</f>
        <v>0</v>
      </c>
      <c r="B336" s="1020">
        <v>336</v>
      </c>
      <c r="C336" s="1461" t="s">
        <v>2108</v>
      </c>
    </row>
    <row r="337" spans="1:5">
      <c r="A337" s="1021">
        <f>MINERGIE!Q93</f>
        <v>0</v>
      </c>
      <c r="B337" s="1020">
        <v>337</v>
      </c>
      <c r="C337" s="1461" t="s">
        <v>2109</v>
      </c>
    </row>
    <row r="338" spans="1:5">
      <c r="A338" s="1021">
        <f>MINERGIE!R93</f>
        <v>0</v>
      </c>
      <c r="B338" s="1020">
        <v>338</v>
      </c>
      <c r="C338" s="1461" t="s">
        <v>2110</v>
      </c>
    </row>
    <row r="339" spans="1:5">
      <c r="A339" s="1021" t="str">
        <f>MINERGIE!D50</f>
        <v/>
      </c>
      <c r="B339" s="1020">
        <v>339</v>
      </c>
      <c r="C339" s="1461" t="s">
        <v>1855</v>
      </c>
      <c r="D339" s="1456"/>
    </row>
    <row r="340" spans="1:5">
      <c r="A340" s="1021">
        <f>IF(OR(A339=0,A339=""),1,VLOOKUP(A339,MINERGIE!$Q$11:$S$13,3,FALSE))-1</f>
        <v>0</v>
      </c>
      <c r="B340" s="1020">
        <v>340</v>
      </c>
      <c r="C340" s="1461" t="s">
        <v>2298</v>
      </c>
    </row>
    <row r="341" spans="1:5">
      <c r="A341" s="1021">
        <f>MINERGIE!E55</f>
        <v>0</v>
      </c>
      <c r="B341" s="1020">
        <v>341</v>
      </c>
      <c r="C341" s="1461" t="s">
        <v>2628</v>
      </c>
    </row>
    <row r="342" spans="1:5">
      <c r="A342" s="1021">
        <f>MINERGIE!H55</f>
        <v>0</v>
      </c>
      <c r="B342" s="1020">
        <v>342</v>
      </c>
      <c r="C342" s="1461" t="s">
        <v>2111</v>
      </c>
      <c r="D342" s="1456"/>
    </row>
    <row r="343" spans="1:5">
      <c r="A343" s="1021">
        <f>MINERGIE!G55</f>
        <v>800</v>
      </c>
      <c r="B343" s="1020">
        <v>343</v>
      </c>
      <c r="C343" s="1461" t="s">
        <v>2112</v>
      </c>
    </row>
    <row r="344" spans="1:5">
      <c r="A344" s="1021">
        <f>MINERGIE!K55</f>
        <v>0</v>
      </c>
      <c r="B344" s="1020">
        <v>344</v>
      </c>
      <c r="C344" s="1461" t="s">
        <v>2113</v>
      </c>
      <c r="D344" s="1456"/>
      <c r="E344" s="1456"/>
    </row>
    <row r="345" spans="1:5">
      <c r="A345" s="1021">
        <f>MINERGIE!I55</f>
        <v>0.2</v>
      </c>
      <c r="B345" s="1020">
        <v>345</v>
      </c>
      <c r="C345" s="1461" t="s">
        <v>2114</v>
      </c>
    </row>
    <row r="346" spans="1:5">
      <c r="A346" s="1021">
        <f>MINERGIE!E56</f>
        <v>0</v>
      </c>
      <c r="B346" s="1020">
        <v>346</v>
      </c>
      <c r="C346" s="1461" t="s">
        <v>2627</v>
      </c>
    </row>
    <row r="347" spans="1:5">
      <c r="A347" s="1026">
        <f>MINERGIE!E57</f>
        <v>0</v>
      </c>
      <c r="B347" s="1020">
        <v>347</v>
      </c>
      <c r="C347" s="1461" t="s">
        <v>2626</v>
      </c>
    </row>
    <row r="348" spans="1:5">
      <c r="A348" s="1021" t="str">
        <f>MINERGIE!I57</f>
        <v/>
      </c>
      <c r="B348" s="1020">
        <v>348</v>
      </c>
      <c r="C348" s="1461" t="s">
        <v>2629</v>
      </c>
    </row>
    <row r="349" spans="1:5">
      <c r="A349" s="1021">
        <f>IF(OR(A348=0,A348=""),1,VLOOKUP(A348,MINERGIE!$N$11:$P$13,3,FALSE))-1</f>
        <v>0</v>
      </c>
      <c r="B349" s="1020">
        <v>349</v>
      </c>
      <c r="C349" s="1461" t="s">
        <v>2630</v>
      </c>
    </row>
    <row r="350" spans="1:5">
      <c r="A350" s="1458">
        <f>MINERGIE!I63</f>
        <v>0</v>
      </c>
      <c r="B350" s="1020">
        <v>350</v>
      </c>
      <c r="C350" s="1461" t="s">
        <v>1980</v>
      </c>
      <c r="D350" s="1456"/>
    </row>
    <row r="351" spans="1:5">
      <c r="A351" s="1021">
        <f>IF(A350=0,1,VLOOKUP(A350,MINERGIE!$N$11:$P$13,3,FALSE))-1</f>
        <v>0</v>
      </c>
      <c r="B351" s="1020">
        <v>351</v>
      </c>
      <c r="C351" s="1461" t="s">
        <v>2299</v>
      </c>
    </row>
    <row r="352" spans="1:5">
      <c r="A352" s="1458">
        <f>MINERGIE!J63</f>
        <v>0</v>
      </c>
      <c r="B352" s="1020">
        <v>352</v>
      </c>
      <c r="C352" s="1461" t="s">
        <v>2115</v>
      </c>
    </row>
    <row r="353" spans="1:6">
      <c r="A353" s="1021" t="e">
        <f>MINERGIE!#REF!</f>
        <v>#REF!</v>
      </c>
      <c r="B353" s="1020">
        <v>353</v>
      </c>
      <c r="C353" s="1461" t="s">
        <v>2116</v>
      </c>
    </row>
    <row r="354" spans="1:6">
      <c r="A354" s="1458">
        <f>MINERGIE!I64</f>
        <v>0</v>
      </c>
      <c r="B354" s="1020">
        <v>354</v>
      </c>
      <c r="C354" s="1461" t="s">
        <v>1981</v>
      </c>
    </row>
    <row r="355" spans="1:6">
      <c r="A355" s="1021">
        <f>IF(A354=0,1,VLOOKUP(A354,MINERGIE!$N$11:$P$13,3,FALSE))-1</f>
        <v>0</v>
      </c>
      <c r="B355" s="1020">
        <v>355</v>
      </c>
      <c r="C355" s="1461" t="s">
        <v>2300</v>
      </c>
    </row>
    <row r="356" spans="1:6">
      <c r="A356" s="1021" t="str">
        <f>MINERGIE!K64</f>
        <v>1.6 m3/hm2</v>
      </c>
      <c r="B356" s="1020">
        <v>356</v>
      </c>
      <c r="C356" s="1461" t="s">
        <v>2117</v>
      </c>
    </row>
    <row r="357" spans="1:6">
      <c r="A357" s="1021">
        <f>MINERGIE!J64</f>
        <v>0</v>
      </c>
      <c r="B357" s="1020">
        <v>357</v>
      </c>
      <c r="C357" s="1461" t="s">
        <v>2118</v>
      </c>
    </row>
    <row r="358" spans="1:6">
      <c r="A358" s="1458">
        <f>MINERGIE!I65</f>
        <v>0</v>
      </c>
      <c r="B358" s="1020">
        <v>358</v>
      </c>
      <c r="C358" s="1461" t="s">
        <v>2119</v>
      </c>
    </row>
    <row r="359" spans="1:6">
      <c r="A359" s="1021">
        <f>IF(A358=0,1,VLOOKUP(A358,MINERGIE!$N$11:$P$13,3,FALSE))-1</f>
        <v>0</v>
      </c>
      <c r="B359" s="1020">
        <v>359</v>
      </c>
      <c r="C359" s="1461" t="s">
        <v>2301</v>
      </c>
    </row>
    <row r="360" spans="1:6">
      <c r="A360" s="1021">
        <f>MINERGIE!J65</f>
        <v>0</v>
      </c>
      <c r="B360" s="1020">
        <v>360</v>
      </c>
      <c r="C360" s="1461" t="s">
        <v>2120</v>
      </c>
    </row>
    <row r="361" spans="1:6">
      <c r="A361" s="1021">
        <f>IF(A360=0,1,VLOOKUP(A360,MINERGIE!$Q$11:$S$13,3,FALSE))-1</f>
        <v>0</v>
      </c>
      <c r="B361" s="1020">
        <v>361</v>
      </c>
      <c r="C361" s="1461" t="s">
        <v>2304</v>
      </c>
    </row>
    <row r="362" spans="1:6">
      <c r="A362" s="1458">
        <f>MINERGIE!I66</f>
        <v>0</v>
      </c>
      <c r="B362" s="1020">
        <v>362</v>
      </c>
      <c r="C362" s="1461" t="s">
        <v>2121</v>
      </c>
    </row>
    <row r="363" spans="1:6">
      <c r="A363" s="1021">
        <f>IF(A362=0,1,VLOOKUP(A362,MINERGIE!$N$11:$P$13,3,FALSE))-1</f>
        <v>0</v>
      </c>
      <c r="B363" s="1020">
        <v>363</v>
      </c>
      <c r="C363" s="1461" t="s">
        <v>2303</v>
      </c>
    </row>
    <row r="364" spans="1:6">
      <c r="A364" s="1021">
        <f>MINERGIE!K66</f>
        <v>0</v>
      </c>
      <c r="B364" s="1020">
        <v>364</v>
      </c>
      <c r="C364" s="1461" t="s">
        <v>2122</v>
      </c>
    </row>
    <row r="365" spans="1:6">
      <c r="A365" s="1021">
        <f>IF(A364=0,1,VLOOKUP(A364,MINERGIE!$Q$11:$S$13,3,FALSE))-1</f>
        <v>0</v>
      </c>
      <c r="B365" s="1020">
        <v>365</v>
      </c>
      <c r="C365" s="1461" t="s">
        <v>2302</v>
      </c>
    </row>
    <row r="366" spans="1:6">
      <c r="A366" s="1458">
        <f>MINERGIE!I67</f>
        <v>0</v>
      </c>
      <c r="B366" s="1020">
        <v>366</v>
      </c>
      <c r="C366" s="1461" t="s">
        <v>37</v>
      </c>
      <c r="D366" s="1456"/>
      <c r="E366" s="1456"/>
      <c r="F366" s="1456"/>
    </row>
    <row r="367" spans="1:6">
      <c r="A367" s="1021">
        <f>IF(A366=0,1,VLOOKUP(A366,MINERGIE!$N$11:$P$13,3,FALSE))-1</f>
        <v>0</v>
      </c>
      <c r="B367" s="1020">
        <v>367</v>
      </c>
      <c r="C367" s="1461" t="s">
        <v>2305</v>
      </c>
    </row>
    <row r="368" spans="1:6">
      <c r="A368" s="1458">
        <f>MINERGIE!I68</f>
        <v>0</v>
      </c>
      <c r="B368" s="1020">
        <v>368</v>
      </c>
      <c r="C368" s="1461" t="s">
        <v>1851</v>
      </c>
      <c r="D368" s="1456"/>
      <c r="E368" s="1456"/>
      <c r="F368" s="1456"/>
    </row>
    <row r="369" spans="1:9">
      <c r="A369" s="1021">
        <f>IF(A368=0,1,VLOOKUP(A368,MINERGIE!$N$11:$P$13,3,FALSE))-1</f>
        <v>0</v>
      </c>
      <c r="B369" s="1020">
        <v>369</v>
      </c>
      <c r="C369" s="1461" t="s">
        <v>2306</v>
      </c>
    </row>
    <row r="370" spans="1:9">
      <c r="A370" s="1458">
        <f>MINERGIE!I69</f>
        <v>0</v>
      </c>
      <c r="B370" s="1020">
        <v>370</v>
      </c>
      <c r="C370" s="1461" t="s">
        <v>2123</v>
      </c>
    </row>
    <row r="371" spans="1:9">
      <c r="A371" s="1021">
        <f>IF(A370=0,1,VLOOKUP(A370,MINERGIE!$N$11:$P$13,3,FALSE))-1</f>
        <v>0</v>
      </c>
      <c r="B371" s="1020">
        <v>371</v>
      </c>
      <c r="C371" s="1461" t="s">
        <v>2307</v>
      </c>
    </row>
    <row r="372" spans="1:9">
      <c r="A372" s="1021">
        <f>MINERGIE!J69</f>
        <v>0</v>
      </c>
      <c r="B372" s="1020">
        <v>372</v>
      </c>
      <c r="C372" s="1461" t="s">
        <v>2124</v>
      </c>
    </row>
    <row r="373" spans="1:9">
      <c r="A373" s="1021">
        <f>IF(A372=0,1,VLOOKUP(A372,MINERGIE!$Q$11:$S$13,3,FALSE))-1</f>
        <v>0</v>
      </c>
      <c r="B373" s="1020">
        <v>373</v>
      </c>
      <c r="C373" s="1461" t="s">
        <v>2308</v>
      </c>
    </row>
    <row r="374" spans="1:9">
      <c r="A374" s="1458">
        <f>MINERGIE!I70</f>
        <v>0</v>
      </c>
      <c r="B374" s="1020">
        <v>374</v>
      </c>
      <c r="C374" s="1461" t="s">
        <v>1989</v>
      </c>
    </row>
    <row r="375" spans="1:9">
      <c r="A375" s="1021">
        <f>IF(A374=0,1,VLOOKUP(A374,MINERGIE!$N$11:$P$13,3,FALSE))-1</f>
        <v>0</v>
      </c>
      <c r="B375" s="1020">
        <v>375</v>
      </c>
      <c r="C375" s="1461" t="s">
        <v>2309</v>
      </c>
    </row>
    <row r="376" spans="1:9">
      <c r="A376" s="1458">
        <f>MINERGIE!I71</f>
        <v>0</v>
      </c>
      <c r="B376" s="1020">
        <v>376</v>
      </c>
      <c r="C376" s="1461" t="s">
        <v>1986</v>
      </c>
    </row>
    <row r="377" spans="1:9">
      <c r="A377" s="1021">
        <f>IF(A376=0,1,VLOOKUP(A376,MINERGIE!$N$11:$P$13,3,FALSE))-1</f>
        <v>0</v>
      </c>
      <c r="B377" s="1020">
        <v>377</v>
      </c>
      <c r="C377" s="1461" t="s">
        <v>2310</v>
      </c>
    </row>
    <row r="378" spans="1:9">
      <c r="A378" s="1021">
        <f>MINERGIE!J71</f>
        <v>0</v>
      </c>
      <c r="B378" s="1020">
        <v>378</v>
      </c>
      <c r="C378" s="1461" t="s">
        <v>2125</v>
      </c>
    </row>
    <row r="379" spans="1:9">
      <c r="A379" s="1023">
        <f>IF(A378=0,1,VLOOKUP(A378,MINERGIE!$Q$11:$S$13,3,FALSE))-1</f>
        <v>0</v>
      </c>
      <c r="B379" s="1465">
        <v>379</v>
      </c>
      <c r="C379" s="1462" t="s">
        <v>2311</v>
      </c>
      <c r="D379" s="1024"/>
      <c r="E379" s="1024"/>
      <c r="F379" s="1024"/>
      <c r="G379" s="1024"/>
    </row>
    <row r="380" spans="1:9">
      <c r="A380" s="1021">
        <f>Estate!I18</f>
        <v>0</v>
      </c>
      <c r="B380" s="1020">
        <v>380</v>
      </c>
      <c r="C380" s="1461" t="s">
        <v>2127</v>
      </c>
      <c r="D380" s="1456"/>
      <c r="E380" s="1456"/>
      <c r="F380" s="1456"/>
      <c r="G380" s="1456"/>
      <c r="H380" s="1456"/>
      <c r="I380" s="1456"/>
    </row>
    <row r="381" spans="1:9">
      <c r="A381" s="1459">
        <f>IF(A380=0,1,VLOOKUP(A380,Estate!$P$10:$Q$14,2,FALSE))-1</f>
        <v>0</v>
      </c>
      <c r="B381" s="1020">
        <v>381</v>
      </c>
      <c r="C381" s="1461" t="s">
        <v>2313</v>
      </c>
    </row>
    <row r="382" spans="1:9">
      <c r="A382" s="1021">
        <f>Estate!J18</f>
        <v>0</v>
      </c>
      <c r="B382" s="1020">
        <v>382</v>
      </c>
      <c r="C382" s="1461" t="s">
        <v>2126</v>
      </c>
    </row>
    <row r="383" spans="1:9">
      <c r="A383" s="1459">
        <f>IF(A382=0,1,VLOOKUP(A382,Estate!$P$10:$Q$14,2,FALSE))-1</f>
        <v>0</v>
      </c>
      <c r="B383" s="1020">
        <v>383</v>
      </c>
      <c r="C383" s="1461" t="s">
        <v>2314</v>
      </c>
    </row>
    <row r="384" spans="1:9">
      <c r="A384" s="1021">
        <f>Estate!K18</f>
        <v>0</v>
      </c>
      <c r="B384" s="1020">
        <v>384</v>
      </c>
      <c r="C384" s="1461" t="s">
        <v>2128</v>
      </c>
    </row>
    <row r="385" spans="1:3">
      <c r="A385" s="1459">
        <f>IF(A384=0,1,VLOOKUP(A384,Estate!$P$10:$Q$14,2,FALSE))-1</f>
        <v>0</v>
      </c>
      <c r="B385" s="1020">
        <v>385</v>
      </c>
      <c r="C385" s="1461" t="s">
        <v>2315</v>
      </c>
    </row>
    <row r="386" spans="1:3">
      <c r="A386" s="1021">
        <f>Estate!L18</f>
        <v>0</v>
      </c>
      <c r="B386" s="1020">
        <v>386</v>
      </c>
      <c r="C386" s="1461" t="s">
        <v>2129</v>
      </c>
    </row>
    <row r="387" spans="1:3">
      <c r="A387" s="1459">
        <f>IF(A386=0,1,VLOOKUP(A386,Estate!$P$10:$Q$14,2,FALSE))-1</f>
        <v>0</v>
      </c>
      <c r="B387" s="1020">
        <v>387</v>
      </c>
      <c r="C387" s="1461" t="s">
        <v>2312</v>
      </c>
    </row>
    <row r="388" spans="1:3">
      <c r="A388" s="1021">
        <f>Estate!B19</f>
        <v>0</v>
      </c>
      <c r="B388" s="1020">
        <v>388</v>
      </c>
      <c r="C388" s="1461" t="s">
        <v>2130</v>
      </c>
    </row>
    <row r="389" spans="1:3">
      <c r="A389" s="1021">
        <f>Estate!I20</f>
        <v>0</v>
      </c>
      <c r="B389" s="1020">
        <v>389</v>
      </c>
      <c r="C389" s="1461" t="s">
        <v>2131</v>
      </c>
    </row>
    <row r="390" spans="1:3">
      <c r="A390" s="1459">
        <f>IF(A389=0,1,VLOOKUP(A389,Estate!$O$10:$R$13,4,FALSE))-1</f>
        <v>0</v>
      </c>
      <c r="B390" s="1020">
        <v>390</v>
      </c>
      <c r="C390" s="1461" t="s">
        <v>2317</v>
      </c>
    </row>
    <row r="391" spans="1:3">
      <c r="A391" s="1021">
        <f>Estate!J20</f>
        <v>0</v>
      </c>
      <c r="B391" s="1020">
        <v>391</v>
      </c>
      <c r="C391" s="1461" t="s">
        <v>2132</v>
      </c>
    </row>
    <row r="392" spans="1:3">
      <c r="A392" s="1459">
        <f>IF(A391=0,1,VLOOKUP(A391,Estate!$O$10:$R$13,4,FALSE))-1</f>
        <v>0</v>
      </c>
      <c r="B392" s="1020">
        <v>392</v>
      </c>
      <c r="C392" s="1461" t="s">
        <v>2318</v>
      </c>
    </row>
    <row r="393" spans="1:3">
      <c r="A393" s="1021">
        <f>Estate!K20</f>
        <v>0</v>
      </c>
      <c r="B393" s="1020">
        <v>393</v>
      </c>
      <c r="C393" s="1461" t="s">
        <v>2133</v>
      </c>
    </row>
    <row r="394" spans="1:3">
      <c r="A394" s="1459">
        <f>IF(A393=0,1,VLOOKUP(A393,Estate!$O$10:$R$13,4,FALSE))-1</f>
        <v>0</v>
      </c>
      <c r="B394" s="1020">
        <v>394</v>
      </c>
      <c r="C394" s="1461" t="s">
        <v>2319</v>
      </c>
    </row>
    <row r="395" spans="1:3">
      <c r="A395" s="1021">
        <f>Estate!L20</f>
        <v>0</v>
      </c>
      <c r="B395" s="1020">
        <v>395</v>
      </c>
      <c r="C395" s="1461" t="s">
        <v>2134</v>
      </c>
    </row>
    <row r="396" spans="1:3">
      <c r="A396" s="1459">
        <f>IF(A395=0,1,VLOOKUP(A395,Estate!$O$10:$R$13,4,FALSE))-1</f>
        <v>0</v>
      </c>
      <c r="B396" s="1020">
        <v>396</v>
      </c>
      <c r="C396" s="1461" t="s">
        <v>2316</v>
      </c>
    </row>
    <row r="397" spans="1:3">
      <c r="A397" s="1021">
        <f>Estate!I21</f>
        <v>0</v>
      </c>
      <c r="B397" s="1020">
        <v>397</v>
      </c>
      <c r="C397" s="1461" t="s">
        <v>2135</v>
      </c>
    </row>
    <row r="398" spans="1:3">
      <c r="A398" s="1459">
        <f>IF(A397=0,1,VLOOKUP(A397,Estate!$O$10:$R$13,4,FALSE))-1</f>
        <v>0</v>
      </c>
      <c r="B398" s="1020">
        <v>398</v>
      </c>
      <c r="C398" s="1461" t="s">
        <v>2352</v>
      </c>
    </row>
    <row r="399" spans="1:3">
      <c r="A399" s="1021">
        <f>Estate!J21</f>
        <v>0</v>
      </c>
      <c r="B399" s="1020">
        <v>399</v>
      </c>
      <c r="C399" s="1461" t="s">
        <v>2136</v>
      </c>
    </row>
    <row r="400" spans="1:3">
      <c r="A400" s="1459">
        <f>IF(A399=0,1,VLOOKUP(A399,Estate!$O$10:$R$13,4,FALSE))-1</f>
        <v>0</v>
      </c>
      <c r="B400" s="1020">
        <v>400</v>
      </c>
      <c r="C400" s="1461" t="s">
        <v>2353</v>
      </c>
    </row>
    <row r="401" spans="1:3">
      <c r="A401" s="1021">
        <f>Estate!K21</f>
        <v>0</v>
      </c>
      <c r="B401" s="1020">
        <v>401</v>
      </c>
      <c r="C401" s="1461" t="s">
        <v>2137</v>
      </c>
    </row>
    <row r="402" spans="1:3">
      <c r="A402" s="1459">
        <f>IF(A401=0,1,VLOOKUP(A401,Estate!$O$10:$R$13,4,FALSE))-1</f>
        <v>0</v>
      </c>
      <c r="B402" s="1020">
        <v>402</v>
      </c>
      <c r="C402" s="1461" t="s">
        <v>2354</v>
      </c>
    </row>
    <row r="403" spans="1:3">
      <c r="A403" s="1021">
        <f>Estate!L21</f>
        <v>0</v>
      </c>
      <c r="B403" s="1020">
        <v>403</v>
      </c>
      <c r="C403" s="1461" t="s">
        <v>2138</v>
      </c>
    </row>
    <row r="404" spans="1:3">
      <c r="A404" s="1459">
        <f>IF(A403=0,1,VLOOKUP(A403,Estate!$O$10:$R$13,4,FALSE))-1</f>
        <v>0</v>
      </c>
      <c r="B404" s="1020">
        <v>404</v>
      </c>
      <c r="C404" s="1461" t="s">
        <v>2355</v>
      </c>
    </row>
    <row r="405" spans="1:3">
      <c r="A405" s="1021">
        <f>Estate!I22</f>
        <v>0</v>
      </c>
      <c r="B405" s="1020">
        <v>405</v>
      </c>
      <c r="C405" s="1461" t="s">
        <v>2139</v>
      </c>
    </row>
    <row r="406" spans="1:3">
      <c r="A406" s="1459">
        <f>IF(A405=0,1,VLOOKUP(A405,Estate!$O$10:$R$13,4,FALSE))-1</f>
        <v>0</v>
      </c>
      <c r="B406" s="1020">
        <v>406</v>
      </c>
      <c r="C406" s="1461" t="s">
        <v>2344</v>
      </c>
    </row>
    <row r="407" spans="1:3">
      <c r="A407" s="1021">
        <f>Estate!J22</f>
        <v>0</v>
      </c>
      <c r="B407" s="1020">
        <v>407</v>
      </c>
      <c r="C407" s="1461" t="s">
        <v>2140</v>
      </c>
    </row>
    <row r="408" spans="1:3">
      <c r="A408" s="1459">
        <f>IF(A407=0,1,VLOOKUP(A407,Estate!$O$10:$R$13,4,FALSE))-1</f>
        <v>0</v>
      </c>
      <c r="B408" s="1020">
        <v>408</v>
      </c>
      <c r="C408" s="1461" t="s">
        <v>2345</v>
      </c>
    </row>
    <row r="409" spans="1:3">
      <c r="A409" s="1021">
        <f>Estate!K22</f>
        <v>0</v>
      </c>
      <c r="B409" s="1020">
        <v>409</v>
      </c>
      <c r="C409" s="1461" t="s">
        <v>2141</v>
      </c>
    </row>
    <row r="410" spans="1:3">
      <c r="A410" s="1459">
        <f>IF(A409=0,1,VLOOKUP(A409,Estate!$O$10:$R$13,4,FALSE))-1</f>
        <v>0</v>
      </c>
      <c r="B410" s="1020">
        <v>410</v>
      </c>
      <c r="C410" s="1461" t="s">
        <v>2346</v>
      </c>
    </row>
    <row r="411" spans="1:3">
      <c r="A411" s="1021">
        <f>Estate!L22</f>
        <v>0</v>
      </c>
      <c r="B411" s="1020">
        <v>411</v>
      </c>
      <c r="C411" s="1461" t="s">
        <v>2142</v>
      </c>
    </row>
    <row r="412" spans="1:3">
      <c r="A412" s="1459">
        <f>IF(A411=0,1,VLOOKUP(A411,Estate!$O$10:$R$13,4,FALSE))-1</f>
        <v>0</v>
      </c>
      <c r="B412" s="1020">
        <v>412</v>
      </c>
      <c r="C412" s="1461" t="s">
        <v>2347</v>
      </c>
    </row>
    <row r="413" spans="1:3">
      <c r="A413" s="1021">
        <f>Estate!I23</f>
        <v>0</v>
      </c>
      <c r="B413" s="1020">
        <v>413</v>
      </c>
      <c r="C413" s="1461" t="s">
        <v>2143</v>
      </c>
    </row>
    <row r="414" spans="1:3">
      <c r="A414" s="1459">
        <f>IF(A413=0,1,VLOOKUP(A413,Estate!$O$10:$R$13,4,FALSE))-1</f>
        <v>0</v>
      </c>
      <c r="B414" s="1020">
        <v>414</v>
      </c>
      <c r="C414" s="1461" t="s">
        <v>2348</v>
      </c>
    </row>
    <row r="415" spans="1:3">
      <c r="A415" s="1021">
        <f>Estate!J23</f>
        <v>0</v>
      </c>
      <c r="B415" s="1020">
        <v>415</v>
      </c>
      <c r="C415" s="1461" t="s">
        <v>2144</v>
      </c>
    </row>
    <row r="416" spans="1:3">
      <c r="A416" s="1459">
        <f>IF(A415=0,1,VLOOKUP(A415,Estate!$O$10:$R$13,4,FALSE))-1</f>
        <v>0</v>
      </c>
      <c r="B416" s="1020">
        <v>416</v>
      </c>
      <c r="C416" s="1461" t="s">
        <v>2349</v>
      </c>
    </row>
    <row r="417" spans="1:9">
      <c r="A417" s="1021">
        <f>Estate!K23</f>
        <v>0</v>
      </c>
      <c r="B417" s="1020">
        <v>417</v>
      </c>
      <c r="C417" s="1461" t="s">
        <v>2145</v>
      </c>
    </row>
    <row r="418" spans="1:9">
      <c r="A418" s="1459">
        <f>IF(A417=0,1,VLOOKUP(A417,Estate!$O$10:$R$13,4,FALSE))-1</f>
        <v>0</v>
      </c>
      <c r="B418" s="1020">
        <v>418</v>
      </c>
      <c r="C418" s="1461" t="s">
        <v>2350</v>
      </c>
    </row>
    <row r="419" spans="1:9">
      <c r="A419" s="1021">
        <f>Estate!L23</f>
        <v>0</v>
      </c>
      <c r="B419" s="1020">
        <v>419</v>
      </c>
      <c r="C419" s="1461" t="s">
        <v>2146</v>
      </c>
    </row>
    <row r="420" spans="1:9">
      <c r="A420" s="1459">
        <f>IF(A419=0,1,VLOOKUP(A419,Estate!$O$10:$R$13,4,FALSE))-1</f>
        <v>0</v>
      </c>
      <c r="B420" s="1020">
        <v>420</v>
      </c>
      <c r="C420" s="1461" t="s">
        <v>2351</v>
      </c>
    </row>
    <row r="421" spans="1:9">
      <c r="A421" s="1021">
        <f>Estate!I24</f>
        <v>0</v>
      </c>
      <c r="B421" s="1020">
        <v>421</v>
      </c>
      <c r="C421" s="1461" t="s">
        <v>2147</v>
      </c>
      <c r="D421" s="1456"/>
      <c r="E421" s="1456"/>
      <c r="F421" s="1456"/>
      <c r="G421" s="1456"/>
      <c r="H421" s="1456"/>
      <c r="I421" s="1456"/>
    </row>
    <row r="422" spans="1:9">
      <c r="A422" s="1459">
        <f>IF(A421=0,1,VLOOKUP(A421,Estate!$O$10:$R$13,4,FALSE))-1</f>
        <v>0</v>
      </c>
      <c r="B422" s="1020">
        <v>422</v>
      </c>
      <c r="C422" s="1461" t="s">
        <v>2336</v>
      </c>
    </row>
    <row r="423" spans="1:9">
      <c r="A423" s="1021">
        <f>Estate!J24</f>
        <v>0</v>
      </c>
      <c r="B423" s="1020">
        <v>423</v>
      </c>
      <c r="C423" s="1461" t="s">
        <v>2148</v>
      </c>
    </row>
    <row r="424" spans="1:9">
      <c r="A424" s="1459">
        <f>IF(A423=0,1,VLOOKUP(A423,Estate!$O$10:$R$13,4,FALSE))-1</f>
        <v>0</v>
      </c>
      <c r="B424" s="1020">
        <v>424</v>
      </c>
      <c r="C424" s="1461" t="s">
        <v>2337</v>
      </c>
    </row>
    <row r="425" spans="1:9">
      <c r="A425" s="1021">
        <f>Estate!K24</f>
        <v>0</v>
      </c>
      <c r="B425" s="1020">
        <v>425</v>
      </c>
      <c r="C425" s="1461" t="s">
        <v>2149</v>
      </c>
    </row>
    <row r="426" spans="1:9">
      <c r="A426" s="1459">
        <f>IF(A425=0,1,VLOOKUP(A425,Estate!$O$10:$R$13,4,FALSE))-1</f>
        <v>0</v>
      </c>
      <c r="B426" s="1020">
        <v>426</v>
      </c>
      <c r="C426" s="1461" t="s">
        <v>2338</v>
      </c>
    </row>
    <row r="427" spans="1:9">
      <c r="A427" s="1021">
        <f>Estate!L24</f>
        <v>0</v>
      </c>
      <c r="B427" s="1020">
        <v>427</v>
      </c>
      <c r="C427" s="1461" t="s">
        <v>2150</v>
      </c>
    </row>
    <row r="428" spans="1:9">
      <c r="A428" s="1459">
        <f>IF(A427=0,1,VLOOKUP(A427,Estate!$O$10:$R$13,4,FALSE))-1</f>
        <v>0</v>
      </c>
      <c r="B428" s="1020">
        <v>428</v>
      </c>
      <c r="C428" s="1461" t="s">
        <v>2339</v>
      </c>
    </row>
    <row r="429" spans="1:9">
      <c r="A429" s="1021">
        <f>Estate!I25</f>
        <v>0</v>
      </c>
      <c r="B429" s="1020">
        <v>429</v>
      </c>
      <c r="C429" s="1461" t="s">
        <v>2151</v>
      </c>
    </row>
    <row r="430" spans="1:9">
      <c r="A430" s="1459">
        <f>IF(A429=0,1,VLOOKUP(A429,Estate!$O$10:$R$13,4,FALSE))-1</f>
        <v>0</v>
      </c>
      <c r="B430" s="1020">
        <v>430</v>
      </c>
      <c r="C430" s="1461" t="s">
        <v>2340</v>
      </c>
    </row>
    <row r="431" spans="1:9">
      <c r="A431" s="1021">
        <f>Estate!J25</f>
        <v>0</v>
      </c>
      <c r="B431" s="1020">
        <v>431</v>
      </c>
      <c r="C431" s="1461" t="s">
        <v>2152</v>
      </c>
    </row>
    <row r="432" spans="1:9">
      <c r="A432" s="1459">
        <f>IF(A431=0,1,VLOOKUP(A431,Estate!$O$10:$R$13,4,FALSE))-1</f>
        <v>0</v>
      </c>
      <c r="B432" s="1020">
        <v>432</v>
      </c>
      <c r="C432" s="1461" t="s">
        <v>2341</v>
      </c>
    </row>
    <row r="433" spans="1:8">
      <c r="A433" s="1021">
        <f>Estate!K25</f>
        <v>0</v>
      </c>
      <c r="B433" s="1020">
        <v>433</v>
      </c>
      <c r="C433" s="1461" t="s">
        <v>2153</v>
      </c>
    </row>
    <row r="434" spans="1:8">
      <c r="A434" s="1459">
        <f>IF(A433=0,1,VLOOKUP(A433,Estate!$O$10:$R$13,4,FALSE))-1</f>
        <v>0</v>
      </c>
      <c r="B434" s="1020">
        <v>434</v>
      </c>
      <c r="C434" s="1461" t="s">
        <v>2342</v>
      </c>
    </row>
    <row r="435" spans="1:8">
      <c r="A435" s="1021">
        <f>Estate!L25</f>
        <v>0</v>
      </c>
      <c r="B435" s="1020">
        <v>435</v>
      </c>
      <c r="C435" s="1461" t="s">
        <v>2154</v>
      </c>
    </row>
    <row r="436" spans="1:8">
      <c r="A436" s="1459">
        <f>IF(A435=0,1,VLOOKUP(A435,Estate!$O$10:$R$13,4,FALSE))-1</f>
        <v>0</v>
      </c>
      <c r="B436" s="1020">
        <v>436</v>
      </c>
      <c r="C436" s="1461" t="s">
        <v>2343</v>
      </c>
    </row>
    <row r="437" spans="1:8">
      <c r="A437" s="1021">
        <f>Estate!I35</f>
        <v>0</v>
      </c>
      <c r="B437" s="1020">
        <v>437</v>
      </c>
      <c r="C437" s="1461" t="s">
        <v>2155</v>
      </c>
      <c r="D437" s="1456"/>
      <c r="E437" s="1456"/>
      <c r="F437" s="1456"/>
      <c r="G437" s="1456"/>
      <c r="H437" s="1456"/>
    </row>
    <row r="438" spans="1:8">
      <c r="A438" s="1459">
        <f>IF(A437=0,1,VLOOKUP(A437,Estate!$O$10:$R$13,4,FALSE))-1</f>
        <v>0</v>
      </c>
      <c r="B438" s="1020">
        <v>438</v>
      </c>
      <c r="C438" s="1461" t="s">
        <v>2332</v>
      </c>
    </row>
    <row r="439" spans="1:8">
      <c r="A439" s="1021">
        <f>Estate!J35</f>
        <v>0</v>
      </c>
      <c r="B439" s="1020">
        <v>439</v>
      </c>
      <c r="C439" s="1461" t="s">
        <v>2156</v>
      </c>
    </row>
    <row r="440" spans="1:8">
      <c r="A440" s="1459">
        <f>IF(A439=0,1,VLOOKUP(A439,Estate!$O$10:$R$13,4,FALSE))-1</f>
        <v>0</v>
      </c>
      <c r="B440" s="1020">
        <v>440</v>
      </c>
      <c r="C440" s="1461" t="s">
        <v>2333</v>
      </c>
    </row>
    <row r="441" spans="1:8">
      <c r="A441" s="1021">
        <f>Estate!K35</f>
        <v>0</v>
      </c>
      <c r="B441" s="1020">
        <v>441</v>
      </c>
      <c r="C441" s="1461" t="s">
        <v>2157</v>
      </c>
    </row>
    <row r="442" spans="1:8">
      <c r="A442" s="1459">
        <f>IF(A441=0,1,VLOOKUP(A441,Estate!$O$10:$R$13,4,FALSE))-1</f>
        <v>0</v>
      </c>
      <c r="B442" s="1020">
        <v>442</v>
      </c>
      <c r="C442" s="1461" t="s">
        <v>2334</v>
      </c>
    </row>
    <row r="443" spans="1:8">
      <c r="A443" s="1021">
        <f>Estate!L35</f>
        <v>0</v>
      </c>
      <c r="B443" s="1020">
        <v>443</v>
      </c>
      <c r="C443" s="1461" t="s">
        <v>2158</v>
      </c>
    </row>
    <row r="444" spans="1:8">
      <c r="A444" s="1459">
        <f>IF(A443=0,1,VLOOKUP(A443,Estate!$O$10:$R$13,4,FALSE))-1</f>
        <v>0</v>
      </c>
      <c r="B444" s="1020">
        <v>444</v>
      </c>
      <c r="C444" s="1461" t="s">
        <v>2335</v>
      </c>
    </row>
    <row r="445" spans="1:8">
      <c r="A445" s="1021">
        <f>Estate!B43</f>
        <v>0</v>
      </c>
      <c r="B445" s="1020">
        <v>445</v>
      </c>
      <c r="C445" s="1461" t="s">
        <v>2159</v>
      </c>
    </row>
    <row r="446" spans="1:8">
      <c r="A446" s="1459">
        <f>IF(A445=0,1,VLOOKUP(A445,Estate!$O$10:$R$13,4,FALSE))-1</f>
        <v>0</v>
      </c>
      <c r="B446" s="1020">
        <v>446</v>
      </c>
      <c r="C446" s="1461" t="s">
        <v>2160</v>
      </c>
    </row>
    <row r="447" spans="1:8">
      <c r="A447" s="1459">
        <f>IF(A446=0,1,VLOOKUP(A446,Estate!$O$10:$R$13,4,FALSE))-1</f>
        <v>0</v>
      </c>
      <c r="B447" s="1020">
        <v>447</v>
      </c>
      <c r="C447" s="1461" t="s">
        <v>2329</v>
      </c>
    </row>
    <row r="448" spans="1:8">
      <c r="A448" s="1021">
        <f>Estate!J47</f>
        <v>0</v>
      </c>
      <c r="B448" s="1020">
        <v>448</v>
      </c>
      <c r="C448" s="1461" t="s">
        <v>2161</v>
      </c>
    </row>
    <row r="449" spans="1:3">
      <c r="A449" s="1459">
        <f>IF(A448=0,1,VLOOKUP(A448,Estate!$O$10:$R$13,4,FALSE))-1</f>
        <v>0</v>
      </c>
      <c r="B449" s="1020">
        <v>449</v>
      </c>
      <c r="C449" s="1461" t="s">
        <v>2330</v>
      </c>
    </row>
    <row r="450" spans="1:3">
      <c r="A450" s="1021">
        <f>Estate!K47</f>
        <v>0</v>
      </c>
      <c r="B450" s="1020">
        <v>450</v>
      </c>
      <c r="C450" s="1461" t="s">
        <v>2162</v>
      </c>
    </row>
    <row r="451" spans="1:3">
      <c r="A451" s="1459">
        <f>IF(A450=0,1,VLOOKUP(A450,Estate!$O$10:$R$13,4,FALSE))-1</f>
        <v>0</v>
      </c>
      <c r="B451" s="1020">
        <v>451</v>
      </c>
      <c r="C451" s="1461" t="s">
        <v>2331</v>
      </c>
    </row>
    <row r="452" spans="1:3">
      <c r="A452" s="1021">
        <f>Estate!L47</f>
        <v>0</v>
      </c>
      <c r="B452" s="1020">
        <v>452</v>
      </c>
      <c r="C452" s="1461" t="s">
        <v>2163</v>
      </c>
    </row>
    <row r="453" spans="1:3">
      <c r="A453" s="1459">
        <f>IF(A452=0,1,VLOOKUP(A452,Estate!$O$10:$R$13,4,FALSE))-1</f>
        <v>0</v>
      </c>
      <c r="B453" s="1020">
        <v>453</v>
      </c>
      <c r="C453" s="1461" t="s">
        <v>2328</v>
      </c>
    </row>
    <row r="454" spans="1:3">
      <c r="A454" s="1021">
        <f>Estate!I48</f>
        <v>0</v>
      </c>
      <c r="B454" s="1020">
        <v>454</v>
      </c>
      <c r="C454" s="1461" t="s">
        <v>2164</v>
      </c>
    </row>
    <row r="455" spans="1:3">
      <c r="A455" s="1459">
        <f>IF(A454=0,1,VLOOKUP(A454,Estate!$O$10:$R$13,4,FALSE))-1</f>
        <v>0</v>
      </c>
      <c r="B455" s="1020">
        <v>455</v>
      </c>
      <c r="C455" s="1461" t="s">
        <v>2327</v>
      </c>
    </row>
    <row r="456" spans="1:3">
      <c r="A456" s="1021">
        <f>Estate!J48</f>
        <v>0</v>
      </c>
      <c r="B456" s="1020">
        <v>456</v>
      </c>
      <c r="C456" s="1461" t="s">
        <v>2165</v>
      </c>
    </row>
    <row r="457" spans="1:3">
      <c r="A457" s="1459">
        <f>IF(A456=0,1,VLOOKUP(A456,Estate!$O$10:$R$13,4,FALSE))-1</f>
        <v>0</v>
      </c>
      <c r="B457" s="1020">
        <v>457</v>
      </c>
      <c r="C457" s="1461" t="s">
        <v>2326</v>
      </c>
    </row>
    <row r="458" spans="1:3">
      <c r="A458" s="1021">
        <f>Estate!K48</f>
        <v>0</v>
      </c>
      <c r="B458" s="1020">
        <v>458</v>
      </c>
      <c r="C458" s="1461" t="s">
        <v>2166</v>
      </c>
    </row>
    <row r="459" spans="1:3">
      <c r="A459" s="1459">
        <f>IF(A458=0,1,VLOOKUP(A458,Estate!$O$10:$R$13,4,FALSE))-1</f>
        <v>0</v>
      </c>
      <c r="B459" s="1020">
        <v>459</v>
      </c>
      <c r="C459" s="1461" t="s">
        <v>2325</v>
      </c>
    </row>
    <row r="460" spans="1:3">
      <c r="A460" s="1021">
        <f>Estate!L48</f>
        <v>0</v>
      </c>
      <c r="B460" s="1020">
        <v>460</v>
      </c>
      <c r="C460" s="1461" t="s">
        <v>2167</v>
      </c>
    </row>
    <row r="461" spans="1:3">
      <c r="A461" s="1459">
        <f>IF(A460=0,1,VLOOKUP(A460,Estate!$O$10:$R$13,4,FALSE))-1</f>
        <v>0</v>
      </c>
      <c r="B461" s="1020">
        <v>461</v>
      </c>
      <c r="C461" s="1461" t="s">
        <v>2324</v>
      </c>
    </row>
    <row r="462" spans="1:3">
      <c r="A462" s="1021" t="str">
        <f>Estate!I52</f>
        <v>no</v>
      </c>
      <c r="B462" s="1020">
        <v>462</v>
      </c>
      <c r="C462" s="1461" t="s">
        <v>2168</v>
      </c>
    </row>
    <row r="463" spans="1:3">
      <c r="A463" s="1459">
        <f>IF(A462=0,1,VLOOKUP(A462,Estate!$O$10:$R$13,4,FALSE))-1</f>
        <v>2</v>
      </c>
      <c r="B463" s="1020">
        <v>463</v>
      </c>
      <c r="C463" s="1461" t="s">
        <v>2323</v>
      </c>
    </row>
    <row r="464" spans="1:3">
      <c r="A464" s="1021" t="str">
        <f>Estate!J52</f>
        <v>no</v>
      </c>
      <c r="B464" s="1020">
        <v>464</v>
      </c>
      <c r="C464" s="1461" t="s">
        <v>2169</v>
      </c>
    </row>
    <row r="465" spans="1:8">
      <c r="A465" s="1459">
        <f>IF(A464=0,1,VLOOKUP(A464,Estate!$O$10:$R$13,4,FALSE))-1</f>
        <v>2</v>
      </c>
      <c r="B465" s="1020">
        <v>465</v>
      </c>
      <c r="C465" s="1461" t="s">
        <v>2322</v>
      </c>
    </row>
    <row r="466" spans="1:8">
      <c r="A466" s="1021" t="str">
        <f>Estate!K52</f>
        <v>no</v>
      </c>
      <c r="B466" s="1020">
        <v>466</v>
      </c>
      <c r="C466" s="1461" t="s">
        <v>2170</v>
      </c>
    </row>
    <row r="467" spans="1:8">
      <c r="A467" s="1459">
        <f>IF(A466=0,1,VLOOKUP(A466,Estate!$O$10:$R$13,4,FALSE))-1</f>
        <v>2</v>
      </c>
      <c r="B467" s="1020">
        <v>467</v>
      </c>
      <c r="C467" s="1461" t="s">
        <v>2321</v>
      </c>
    </row>
    <row r="468" spans="1:8">
      <c r="A468" s="1021" t="str">
        <f>Estate!L52</f>
        <v>no</v>
      </c>
      <c r="B468" s="1020">
        <v>468</v>
      </c>
      <c r="C468" s="1461" t="s">
        <v>2171</v>
      </c>
    </row>
    <row r="469" spans="1:8">
      <c r="A469" s="1023">
        <f>IF(A468=0,1,VLOOKUP(A468,Estate!$O$10:$R$13,4,FALSE))-1</f>
        <v>2</v>
      </c>
      <c r="B469" s="1465">
        <v>469</v>
      </c>
      <c r="C469" s="1462" t="s">
        <v>2320</v>
      </c>
      <c r="D469" s="1024"/>
      <c r="E469" s="1024"/>
      <c r="F469" s="1024"/>
      <c r="G469" s="1024"/>
      <c r="H469" s="1024"/>
    </row>
    <row r="470" spans="1:8">
      <c r="A470" s="1021">
        <f>'Visione d''insieme'!F30</f>
        <v>0</v>
      </c>
      <c r="B470" s="1020">
        <v>470</v>
      </c>
      <c r="C470" s="1461" t="s">
        <v>2173</v>
      </c>
    </row>
    <row r="471" spans="1:8">
      <c r="A471" s="1021">
        <f>'Visione d''insieme'!H30</f>
        <v>0</v>
      </c>
      <c r="B471" s="1020">
        <v>471</v>
      </c>
      <c r="C471" s="1461" t="s">
        <v>2179</v>
      </c>
    </row>
    <row r="472" spans="1:8">
      <c r="A472" s="1026" t="str">
        <f>'Visione d''insieme'!K30</f>
        <v>no</v>
      </c>
      <c r="B472" s="1020">
        <v>472</v>
      </c>
      <c r="C472" s="1461" t="s">
        <v>2174</v>
      </c>
    </row>
    <row r="473" spans="1:8">
      <c r="A473" s="1459">
        <f>IF(A472=0,1,VLOOKUP(A472,Estate!$O$10:$R$13,4,FALSE))-1</f>
        <v>2</v>
      </c>
      <c r="B473" s="1020">
        <v>473</v>
      </c>
      <c r="C473" s="1461" t="s">
        <v>2356</v>
      </c>
    </row>
    <row r="474" spans="1:8">
      <c r="A474" s="1021" t="str">
        <f>'Visione d''insieme'!F31</f>
        <v>Nessuna esigenza</v>
      </c>
      <c r="B474" s="1020">
        <v>474</v>
      </c>
      <c r="C474" s="1461" t="s">
        <v>2175</v>
      </c>
    </row>
    <row r="475" spans="1:8">
      <c r="A475" s="1021">
        <f>'Visione d''insieme'!H31</f>
        <v>0</v>
      </c>
      <c r="B475" s="1020">
        <v>475</v>
      </c>
      <c r="C475" s="1461" t="s">
        <v>2176</v>
      </c>
    </row>
    <row r="476" spans="1:8">
      <c r="A476" s="1021">
        <f>'Visione d''insieme'!F37</f>
        <v>0</v>
      </c>
      <c r="B476" s="1020">
        <v>476</v>
      </c>
      <c r="C476" s="1461" t="s">
        <v>2177</v>
      </c>
    </row>
    <row r="477" spans="1:8">
      <c r="A477" s="1021">
        <f>'Visione d''insieme'!H37</f>
        <v>0</v>
      </c>
      <c r="B477" s="1020">
        <v>477</v>
      </c>
      <c r="C477" s="1461" t="s">
        <v>2178</v>
      </c>
    </row>
    <row r="478" spans="1:8">
      <c r="A478" s="1021">
        <f>'Visione d''insieme'!K37</f>
        <v>0</v>
      </c>
      <c r="B478" s="1020">
        <v>478</v>
      </c>
      <c r="C478" s="1461" t="s">
        <v>2180</v>
      </c>
    </row>
    <row r="479" spans="1:8">
      <c r="A479" s="1459">
        <f>IF(A478=0,1,VLOOKUP(A478,Estate!$O$10:$R$13,4,FALSE))-1</f>
        <v>0</v>
      </c>
      <c r="B479" s="1020">
        <v>479</v>
      </c>
      <c r="C479" s="1461" t="s">
        <v>2357</v>
      </c>
    </row>
    <row r="480" spans="1:8">
      <c r="A480" s="1021">
        <f>'Visione d''insieme'!F38</f>
        <v>0</v>
      </c>
      <c r="B480" s="1020">
        <v>480</v>
      </c>
      <c r="C480" s="1461" t="s">
        <v>2181</v>
      </c>
    </row>
    <row r="481" spans="1:8">
      <c r="A481" s="1021">
        <f>'Visione d''insieme'!H38</f>
        <v>0</v>
      </c>
      <c r="B481" s="1020">
        <v>481</v>
      </c>
      <c r="C481" s="1461" t="s">
        <v>2182</v>
      </c>
    </row>
    <row r="482" spans="1:8">
      <c r="A482" s="1021" t="str">
        <f>'Visione d''insieme'!K38</f>
        <v>no</v>
      </c>
      <c r="B482" s="1020">
        <v>482</v>
      </c>
      <c r="C482" s="1461" t="s">
        <v>2183</v>
      </c>
    </row>
    <row r="483" spans="1:8">
      <c r="A483" s="1459">
        <f>IF(A482=0,1,VLOOKUP(A482,Estate!$O$10:$R$13,4,FALSE))-1</f>
        <v>2</v>
      </c>
      <c r="B483" s="1020">
        <v>483</v>
      </c>
      <c r="C483" s="1461" t="s">
        <v>2358</v>
      </c>
    </row>
    <row r="484" spans="1:8">
      <c r="A484" s="1021">
        <f>'Visione d''insieme'!F39</f>
        <v>0</v>
      </c>
      <c r="B484" s="1020">
        <v>484</v>
      </c>
      <c r="C484" s="1461" t="s">
        <v>2184</v>
      </c>
    </row>
    <row r="485" spans="1:8">
      <c r="A485" s="1021">
        <f>'Visione d''insieme'!H39</f>
        <v>0</v>
      </c>
      <c r="B485" s="1020">
        <v>485</v>
      </c>
      <c r="C485" s="1461" t="s">
        <v>2185</v>
      </c>
    </row>
    <row r="486" spans="1:8">
      <c r="A486" s="1021" t="str">
        <f>'Visione d''insieme'!K39</f>
        <v/>
      </c>
      <c r="B486" s="1020">
        <v>486</v>
      </c>
      <c r="C486" s="1461" t="s">
        <v>2186</v>
      </c>
    </row>
    <row r="487" spans="1:8">
      <c r="A487" s="1023" t="e">
        <f>IF(A486=0,1,VLOOKUP(A486,Estate!$O$10:$R$13,4,FALSE))-1</f>
        <v>#N/A</v>
      </c>
      <c r="B487" s="1465">
        <v>487</v>
      </c>
      <c r="C487" s="1462" t="s">
        <v>2359</v>
      </c>
      <c r="D487" s="1024"/>
      <c r="E487" s="1024"/>
      <c r="F487" s="1024"/>
      <c r="G487" s="1024"/>
      <c r="H487" s="1024"/>
    </row>
    <row r="488" spans="1:8">
      <c r="A488" s="1021">
        <f>Dati!C51</f>
        <v>0</v>
      </c>
      <c r="B488" s="1020">
        <v>488</v>
      </c>
      <c r="C488" s="1012" t="s">
        <v>2187</v>
      </c>
    </row>
    <row r="489" spans="1:8">
      <c r="A489" s="1021">
        <f>Dati!C55</f>
        <v>0</v>
      </c>
      <c r="B489" s="1020">
        <v>489</v>
      </c>
      <c r="C489" s="1012" t="s">
        <v>2189</v>
      </c>
    </row>
    <row r="490" spans="1:8">
      <c r="A490" s="1021">
        <f>Dati!C57</f>
        <v>0</v>
      </c>
      <c r="B490" s="1020">
        <v>490</v>
      </c>
      <c r="C490" s="1012" t="s">
        <v>2192</v>
      </c>
    </row>
    <row r="491" spans="1:8">
      <c r="A491" s="1021">
        <f>Dati!G51</f>
        <v>0</v>
      </c>
      <c r="B491" s="1020">
        <v>491</v>
      </c>
      <c r="C491" s="1012" t="s">
        <v>2188</v>
      </c>
    </row>
    <row r="492" spans="1:8">
      <c r="A492" s="1021">
        <f>Dati!G55</f>
        <v>0</v>
      </c>
      <c r="B492" s="1020">
        <v>492</v>
      </c>
      <c r="C492" s="1012" t="s">
        <v>2190</v>
      </c>
    </row>
    <row r="493" spans="1:8">
      <c r="A493" s="1021">
        <f>Dati!G57</f>
        <v>0</v>
      </c>
      <c r="B493" s="1020">
        <v>493</v>
      </c>
      <c r="C493" s="1012" t="s">
        <v>2191</v>
      </c>
    </row>
    <row r="494" spans="1:8">
      <c r="A494" s="1021">
        <f>Dati!D60</f>
        <v>0</v>
      </c>
      <c r="B494" s="1020">
        <v>494</v>
      </c>
      <c r="C494" s="1012" t="s">
        <v>2193</v>
      </c>
    </row>
    <row r="495" spans="1:8">
      <c r="A495" s="1459">
        <f>IF(A494=0,1,VLOOKUP(A494,Estate!$O$10:$R$13,4,FALSE))-1</f>
        <v>0</v>
      </c>
      <c r="B495" s="1020">
        <v>495</v>
      </c>
      <c r="C495" s="1012" t="s">
        <v>2360</v>
      </c>
    </row>
    <row r="496" spans="1:8">
      <c r="A496" s="1023">
        <f>Dati!G60</f>
        <v>0</v>
      </c>
      <c r="B496" s="1465">
        <v>496</v>
      </c>
      <c r="C496" s="1463" t="s">
        <v>2194</v>
      </c>
      <c r="D496" s="1024"/>
      <c r="E496" s="1024"/>
      <c r="F496" s="1024"/>
      <c r="G496" s="1024"/>
      <c r="H496" s="1024"/>
    </row>
    <row r="497" spans="1:3">
      <c r="A497" s="1021">
        <f>Verifica!AH45</f>
        <v>0</v>
      </c>
      <c r="B497" s="1021">
        <v>497</v>
      </c>
      <c r="C497" s="1012" t="s">
        <v>2379</v>
      </c>
    </row>
    <row r="498" spans="1:3">
      <c r="A498" s="1021">
        <f>MINERGIE!F41</f>
        <v>0</v>
      </c>
      <c r="B498" s="1021">
        <v>498</v>
      </c>
      <c r="C498" s="1461" t="s">
        <v>2617</v>
      </c>
    </row>
    <row r="499" spans="1:3">
      <c r="A499" s="1459">
        <f>IF(A498=0,1,VLOOKUP(A498,Estate!$O$10:$R$13,4,FALSE))-1</f>
        <v>0</v>
      </c>
      <c r="B499" s="1021">
        <v>499</v>
      </c>
      <c r="C499" s="1461" t="s">
        <v>2618</v>
      </c>
    </row>
    <row r="500" spans="1:3">
      <c r="A500" s="1021">
        <f>MINERGIE!G41</f>
        <v>0</v>
      </c>
      <c r="B500" s="1021">
        <v>500</v>
      </c>
      <c r="C500" s="1461" t="s">
        <v>2619</v>
      </c>
    </row>
    <row r="501" spans="1:3">
      <c r="A501" s="1459">
        <f>IF(A500=0,1,VLOOKUP(A500,Estate!$O$10:$R$13,4,FALSE))-1</f>
        <v>0</v>
      </c>
      <c r="B501" s="1021">
        <v>501</v>
      </c>
      <c r="C501" s="1461" t="s">
        <v>2620</v>
      </c>
    </row>
    <row r="502" spans="1:3">
      <c r="A502" s="1021">
        <f>MINERGIE!H41</f>
        <v>0</v>
      </c>
      <c r="B502" s="1021">
        <v>502</v>
      </c>
      <c r="C502" s="1461" t="s">
        <v>2621</v>
      </c>
    </row>
    <row r="503" spans="1:3">
      <c r="A503" s="1459">
        <f>IF(A502=0,1,VLOOKUP(A502,Estate!$O$10:$R$13,4,FALSE))-1</f>
        <v>0</v>
      </c>
      <c r="B503" s="1021">
        <v>503</v>
      </c>
      <c r="C503" s="1461" t="s">
        <v>2622</v>
      </c>
    </row>
    <row r="504" spans="1:3">
      <c r="A504" s="1021">
        <f>MINERGIE!I41</f>
        <v>0</v>
      </c>
      <c r="B504" s="1021">
        <v>504</v>
      </c>
      <c r="C504" s="1461" t="s">
        <v>2623</v>
      </c>
    </row>
    <row r="505" spans="1:3">
      <c r="A505" s="1459">
        <f>IF(A504=0,1,VLOOKUP(A504,Estate!$O$10:$R$13,4,FALSE))-1</f>
        <v>0</v>
      </c>
      <c r="B505" s="1021">
        <v>505</v>
      </c>
      <c r="C505" s="1461" t="s">
        <v>2624</v>
      </c>
    </row>
    <row r="506" spans="1:3">
      <c r="A506" s="1021">
        <f>Dati!F19+Dati!G19+Dati!H19+Dati!I19</f>
        <v>0</v>
      </c>
      <c r="B506" s="1021">
        <v>506</v>
      </c>
      <c r="C506" s="1461" t="s">
        <v>2625</v>
      </c>
    </row>
    <row r="507" spans="1:3">
      <c r="A507" s="1021" t="str">
        <f>'Visione d''insieme'!K41</f>
        <v>no</v>
      </c>
      <c r="B507" s="1021">
        <v>507</v>
      </c>
      <c r="C507" s="1461" t="s">
        <v>2631</v>
      </c>
    </row>
    <row r="508" spans="1:3">
      <c r="A508" s="1459">
        <f>IF(A507=0,1,VLOOKUP(A507,Estate!$O$10:$R$13,4,FALSE))-1</f>
        <v>2</v>
      </c>
      <c r="B508" s="1021">
        <v>508</v>
      </c>
      <c r="C508" s="1461" t="s">
        <v>2632</v>
      </c>
    </row>
    <row r="509" spans="1:3">
      <c r="A509" s="1021">
        <f>MINERGIE!S15</f>
        <v>0</v>
      </c>
      <c r="B509" s="1021">
        <v>509</v>
      </c>
      <c r="C509" s="1461" t="s">
        <v>2638</v>
      </c>
    </row>
    <row r="510" spans="1:3">
      <c r="A510" s="1021">
        <f>'Visione d''insieme'!K48</f>
        <v>0</v>
      </c>
      <c r="B510" s="1021">
        <v>510</v>
      </c>
      <c r="C510" s="1461" t="s">
        <v>2639</v>
      </c>
    </row>
    <row r="511" spans="1:3">
      <c r="A511" s="1021">
        <f>'Visione d''insieme'!K52</f>
        <v>0</v>
      </c>
      <c r="B511" s="1021">
        <v>511</v>
      </c>
      <c r="C511" s="1461" t="s">
        <v>2640</v>
      </c>
    </row>
    <row r="512" spans="1:3">
      <c r="A512" s="1021">
        <f>'Visione d''insieme'!K54</f>
        <v>0</v>
      </c>
      <c r="B512" s="1021">
        <v>512</v>
      </c>
      <c r="C512" s="1461" t="s">
        <v>2641</v>
      </c>
    </row>
    <row r="513" spans="1:3">
      <c r="A513" s="1021">
        <f>'Visione d''insieme'!K56</f>
        <v>0</v>
      </c>
      <c r="B513" s="1021">
        <v>513</v>
      </c>
      <c r="C513" s="1461" t="s">
        <v>2642</v>
      </c>
    </row>
    <row r="514" spans="1:3">
      <c r="A514" s="1021">
        <f>'Visione d''insieme'!K58</f>
        <v>0</v>
      </c>
      <c r="B514" s="1021">
        <v>514</v>
      </c>
      <c r="C514" s="1461" t="s">
        <v>2643</v>
      </c>
    </row>
    <row r="515" spans="1:3">
      <c r="A515" s="1021">
        <f>'Visione d''insieme'!K60</f>
        <v>0</v>
      </c>
      <c r="B515" s="1021">
        <v>515</v>
      </c>
      <c r="C515" s="1461" t="s">
        <v>2644</v>
      </c>
    </row>
    <row r="516" spans="1:3">
      <c r="A516" s="1021">
        <f>'Visione d''insieme'!K62</f>
        <v>0</v>
      </c>
      <c r="B516" s="1021">
        <v>516</v>
      </c>
      <c r="C516" s="1461" t="s">
        <v>2645</v>
      </c>
    </row>
    <row r="517" spans="1:3">
      <c r="A517" s="1021">
        <f>Verifica!L39</f>
        <v>0</v>
      </c>
      <c r="B517" s="1021">
        <v>517</v>
      </c>
      <c r="C517" s="1461" t="s">
        <v>2646</v>
      </c>
    </row>
    <row r="518" spans="1:3">
      <c r="A518" s="1021">
        <f>Verifica!L40</f>
        <v>0</v>
      </c>
      <c r="B518" s="1021">
        <v>518</v>
      </c>
      <c r="C518" s="1461" t="s">
        <v>2647</v>
      </c>
    </row>
    <row r="519" spans="1:3">
      <c r="A519" s="1021">
        <f>Verifica!I47</f>
        <v>0</v>
      </c>
      <c r="B519" s="1021">
        <v>519</v>
      </c>
      <c r="C519" s="1461" t="s">
        <v>2653</v>
      </c>
    </row>
    <row r="520" spans="1:3">
      <c r="A520" s="1021">
        <f>Verifica!I48</f>
        <v>0</v>
      </c>
      <c r="B520" s="1021">
        <v>520</v>
      </c>
      <c r="C520" s="1461" t="s">
        <v>2654</v>
      </c>
    </row>
    <row r="521" spans="1:3">
      <c r="A521" s="1021">
        <f>Verifica!I49</f>
        <v>0</v>
      </c>
      <c r="B521" s="1021">
        <v>521</v>
      </c>
      <c r="C521" s="1461" t="s">
        <v>2655</v>
      </c>
    </row>
    <row r="522" spans="1:3">
      <c r="A522" s="1021">
        <f>Verifica!I50</f>
        <v>0</v>
      </c>
      <c r="B522" s="1021">
        <v>522</v>
      </c>
      <c r="C522" s="1461" t="s">
        <v>2656</v>
      </c>
    </row>
    <row r="523" spans="1:3">
      <c r="A523" s="1021">
        <f>Verifica!I51</f>
        <v>0</v>
      </c>
      <c r="B523" s="1021">
        <v>523</v>
      </c>
      <c r="C523" s="1461" t="s">
        <v>2657</v>
      </c>
    </row>
    <row r="524" spans="1:3">
      <c r="A524" s="1021">
        <f>Verifica!J47</f>
        <v>0</v>
      </c>
      <c r="B524" s="1021">
        <v>524</v>
      </c>
      <c r="C524" s="1461" t="s">
        <v>2658</v>
      </c>
    </row>
    <row r="525" spans="1:3">
      <c r="A525" s="1021">
        <f>Verifica!J48</f>
        <v>0</v>
      </c>
      <c r="B525" s="1021">
        <v>525</v>
      </c>
      <c r="C525" s="1461" t="s">
        <v>2662</v>
      </c>
    </row>
    <row r="526" spans="1:3">
      <c r="A526" s="1021">
        <f>Verifica!J49</f>
        <v>0</v>
      </c>
      <c r="B526" s="1021">
        <v>526</v>
      </c>
      <c r="C526" s="1461" t="s">
        <v>2661</v>
      </c>
    </row>
    <row r="527" spans="1:3">
      <c r="A527" s="1021">
        <f>Verifica!J50</f>
        <v>0</v>
      </c>
      <c r="B527" s="1021">
        <v>527</v>
      </c>
      <c r="C527" s="1461" t="s">
        <v>2660</v>
      </c>
    </row>
    <row r="528" spans="1:3">
      <c r="A528" s="1021">
        <f>Verifica!J51</f>
        <v>0</v>
      </c>
      <c r="B528" s="1021">
        <v>528</v>
      </c>
      <c r="C528" s="1461" t="s">
        <v>2659</v>
      </c>
    </row>
    <row r="529" spans="1:3">
      <c r="A529" s="1021">
        <f>Verifica!I52</f>
        <v>0</v>
      </c>
      <c r="B529" s="1021">
        <v>529</v>
      </c>
      <c r="C529" s="1461" t="s">
        <v>2663</v>
      </c>
    </row>
    <row r="530" spans="1:3">
      <c r="A530" s="1021">
        <f>Verifica!I53</f>
        <v>0</v>
      </c>
      <c r="B530" s="1021">
        <v>530</v>
      </c>
      <c r="C530" s="1461" t="s">
        <v>2664</v>
      </c>
    </row>
    <row r="531" spans="1:3">
      <c r="A531" s="1021">
        <f>'Visione d''insieme'!F42</f>
        <v>0</v>
      </c>
      <c r="B531" s="1021">
        <v>531</v>
      </c>
      <c r="C531" s="1461" t="s">
        <v>2722</v>
      </c>
    </row>
    <row r="532" spans="1:3">
      <c r="A532" s="1021">
        <f>'Visione d''insieme'!H42</f>
        <v>0</v>
      </c>
      <c r="B532" s="1021">
        <v>532</v>
      </c>
      <c r="C532" s="1461" t="s">
        <v>2723</v>
      </c>
    </row>
    <row r="533" spans="1:3">
      <c r="A533" s="1021" t="str">
        <f>'Visione d''insieme'!K42</f>
        <v>si</v>
      </c>
      <c r="B533" s="1021">
        <v>533</v>
      </c>
      <c r="C533" s="1461" t="s">
        <v>2724</v>
      </c>
    </row>
    <row r="534" spans="1:3">
      <c r="A534" s="1459">
        <f>IF(A533=0,1,VLOOKUP(A533,Estate!$O$10:$R$13,4,FALSE))-1</f>
        <v>1</v>
      </c>
      <c r="B534" s="1021">
        <v>534</v>
      </c>
      <c r="C534" s="1461" t="s">
        <v>2725</v>
      </c>
    </row>
    <row r="535" spans="1:3">
      <c r="A535" s="1021" t="str">
        <f>'Visione d''insieme'!F43</f>
        <v/>
      </c>
      <c r="B535" s="1021">
        <v>535</v>
      </c>
      <c r="C535" s="1461" t="s">
        <v>2726</v>
      </c>
    </row>
    <row r="536" spans="1:3">
      <c r="A536" s="1021" t="str">
        <f>'Visione d''insieme'!H43</f>
        <v/>
      </c>
      <c r="B536" s="1021">
        <v>536</v>
      </c>
      <c r="C536" s="1461" t="s">
        <v>2727</v>
      </c>
    </row>
    <row r="537" spans="1:3">
      <c r="A537" s="1021" t="e">
        <f>'Visione d''insieme'!K43</f>
        <v>#VALUE!</v>
      </c>
      <c r="B537" s="1021">
        <v>537</v>
      </c>
      <c r="C537" s="1461" t="s">
        <v>2728</v>
      </c>
    </row>
    <row r="538" spans="1:3">
      <c r="A538" s="1459" t="e">
        <f>IF(OR(A537="",A537=0),1,VLOOKUP(A537,Estate!$O$10:$R$13,4,FALSE))-1</f>
        <v>#VALUE!</v>
      </c>
      <c r="B538" s="1021">
        <v>538</v>
      </c>
      <c r="C538" s="1461" t="s">
        <v>2729</v>
      </c>
    </row>
    <row r="539" spans="1:3">
      <c r="A539" s="1026">
        <f>MINERGIE!F17</f>
        <v>0</v>
      </c>
      <c r="B539" s="1021">
        <v>539</v>
      </c>
      <c r="C539" s="1461" t="s">
        <v>2770</v>
      </c>
    </row>
    <row r="540" spans="1:3">
      <c r="A540" s="1026">
        <f>MINERGIE!G17</f>
        <v>0</v>
      </c>
      <c r="B540" s="1021">
        <v>540</v>
      </c>
      <c r="C540" s="1461" t="s">
        <v>2771</v>
      </c>
    </row>
    <row r="541" spans="1:3">
      <c r="A541" s="1026">
        <f>MINERGIE!H17</f>
        <v>0</v>
      </c>
      <c r="B541" s="1021">
        <v>541</v>
      </c>
      <c r="C541" s="1461" t="s">
        <v>2772</v>
      </c>
    </row>
    <row r="542" spans="1:3">
      <c r="A542" s="1026">
        <f>MINERGIE!I17</f>
        <v>0</v>
      </c>
      <c r="B542" s="1021">
        <v>542</v>
      </c>
      <c r="C542" s="1461" t="s">
        <v>2773</v>
      </c>
    </row>
    <row r="543" spans="1:3">
      <c r="A543" s="1021">
        <f>MINERGIE!F45</f>
        <v>0</v>
      </c>
      <c r="B543" s="1021">
        <v>543</v>
      </c>
      <c r="C543" s="1461" t="s">
        <v>2857</v>
      </c>
    </row>
    <row r="544" spans="1:3">
      <c r="A544" s="1021">
        <f>IF(A543=0,1,VLOOKUP(A543,MINERGIE!$N$11:$P$13,3,FALSE))-1</f>
        <v>0</v>
      </c>
      <c r="B544" s="1021">
        <v>544</v>
      </c>
      <c r="C544" s="1461" t="s">
        <v>2861</v>
      </c>
    </row>
    <row r="545" spans="1:3">
      <c r="A545" s="1021">
        <f>MINERGIE!G45</f>
        <v>0</v>
      </c>
      <c r="B545" s="1021">
        <v>545</v>
      </c>
      <c r="C545" s="1461" t="s">
        <v>2858</v>
      </c>
    </row>
    <row r="546" spans="1:3">
      <c r="A546" s="1021">
        <f>IF(A545=0,1,VLOOKUP(A545,MINERGIE!$N$11:$P$13,3,FALSE))-1</f>
        <v>0</v>
      </c>
      <c r="B546" s="1021">
        <v>546</v>
      </c>
      <c r="C546" s="1461" t="s">
        <v>2862</v>
      </c>
    </row>
    <row r="547" spans="1:3">
      <c r="A547" s="1021">
        <f>MINERGIE!H45</f>
        <v>0</v>
      </c>
      <c r="B547" s="1021">
        <v>547</v>
      </c>
      <c r="C547" s="1461" t="s">
        <v>2859</v>
      </c>
    </row>
    <row r="548" spans="1:3">
      <c r="A548" s="1021">
        <f>IF(A547=0,1,VLOOKUP(A547,MINERGIE!$N$11:$P$13,3,FALSE))-1</f>
        <v>0</v>
      </c>
      <c r="B548" s="1021">
        <v>548</v>
      </c>
      <c r="C548" s="1461" t="s">
        <v>2863</v>
      </c>
    </row>
    <row r="549" spans="1:3">
      <c r="A549" s="1021">
        <f>MINERGIE!I45</f>
        <v>0</v>
      </c>
      <c r="B549" s="1021">
        <v>549</v>
      </c>
      <c r="C549" s="1461" t="s">
        <v>2860</v>
      </c>
    </row>
    <row r="550" spans="1:3">
      <c r="A550" s="1021">
        <f>IF(A549=0,1,VLOOKUP(A549,MINERGIE!$N$11:$P$13,3,FALSE))-1</f>
        <v>0</v>
      </c>
      <c r="B550" s="1021">
        <v>550</v>
      </c>
      <c r="C550" s="1461" t="s">
        <v>2864</v>
      </c>
    </row>
    <row r="551" spans="1:3">
      <c r="A551" s="1021">
        <f>MINERGIE!O56</f>
        <v>0</v>
      </c>
      <c r="B551" s="1021">
        <v>551</v>
      </c>
      <c r="C551" s="1461" t="s">
        <v>2865</v>
      </c>
    </row>
    <row r="552" spans="1:3">
      <c r="A552" s="1021">
        <f>MINERGIE!P56</f>
        <v>0</v>
      </c>
      <c r="B552" s="1021">
        <v>552</v>
      </c>
      <c r="C552" s="1461" t="s">
        <v>2866</v>
      </c>
    </row>
    <row r="553" spans="1:3">
      <c r="A553" s="1021">
        <f>MINERGIE!Q56</f>
        <v>0</v>
      </c>
      <c r="B553" s="1021">
        <v>553</v>
      </c>
      <c r="C553" s="1461" t="s">
        <v>2867</v>
      </c>
    </row>
    <row r="554" spans="1:3">
      <c r="A554" s="1021">
        <f>MINERGIE!R56</f>
        <v>0</v>
      </c>
      <c r="B554" s="1021">
        <v>554</v>
      </c>
      <c r="C554" s="1461" t="s">
        <v>2868</v>
      </c>
    </row>
    <row r="555" spans="1:3">
      <c r="A555" s="1021">
        <f>MINERGIE!S56</f>
        <v>0</v>
      </c>
      <c r="B555" s="1021">
        <v>555</v>
      </c>
      <c r="C555" s="1461" t="s">
        <v>2869</v>
      </c>
    </row>
    <row r="556" spans="1:3">
      <c r="A556" s="1021">
        <f>MINERGIE!O100</f>
        <v>0</v>
      </c>
      <c r="B556" s="1021">
        <v>556</v>
      </c>
      <c r="C556" s="1461" t="s">
        <v>2870</v>
      </c>
    </row>
    <row r="557" spans="1:3">
      <c r="A557" s="1021">
        <f>MINERGIE!P100</f>
        <v>0</v>
      </c>
      <c r="B557" s="1021">
        <v>557</v>
      </c>
      <c r="C557" s="1461" t="s">
        <v>2871</v>
      </c>
    </row>
    <row r="558" spans="1:3">
      <c r="A558" s="1021">
        <f>MINERGIE!Q100</f>
        <v>0</v>
      </c>
      <c r="B558" s="1021">
        <v>558</v>
      </c>
      <c r="C558" s="1461" t="s">
        <v>2872</v>
      </c>
    </row>
    <row r="559" spans="1:3">
      <c r="A559" s="1021">
        <f>MINERGIE!R100</f>
        <v>0</v>
      </c>
      <c r="B559" s="1021">
        <v>559</v>
      </c>
      <c r="C559" s="1461" t="s">
        <v>2873</v>
      </c>
    </row>
    <row r="560" spans="1:3">
      <c r="A560" s="1021">
        <f>MINERGIE!S100</f>
        <v>0</v>
      </c>
      <c r="B560" s="1021">
        <v>560</v>
      </c>
      <c r="C560" s="1461" t="s">
        <v>2874</v>
      </c>
    </row>
    <row r="561" spans="1:3">
      <c r="A561" s="1021">
        <f>MINERGIE!O94</f>
        <v>0</v>
      </c>
      <c r="B561" s="1021">
        <v>561</v>
      </c>
      <c r="C561" s="1461" t="s">
        <v>2875</v>
      </c>
    </row>
    <row r="562" spans="1:3">
      <c r="A562" s="1021">
        <f>MINERGIE!P94</f>
        <v>0</v>
      </c>
      <c r="B562" s="1021">
        <v>562</v>
      </c>
      <c r="C562" s="1461" t="s">
        <v>2876</v>
      </c>
    </row>
    <row r="563" spans="1:3">
      <c r="A563" s="1021">
        <f>MINERGIE!Q94</f>
        <v>0</v>
      </c>
      <c r="B563" s="1021">
        <v>563</v>
      </c>
      <c r="C563" s="1461" t="s">
        <v>2877</v>
      </c>
    </row>
    <row r="564" spans="1:3">
      <c r="A564" s="1021">
        <f>MINERGIE!R94</f>
        <v>0</v>
      </c>
      <c r="B564" s="1021">
        <v>564</v>
      </c>
      <c r="C564" s="1461" t="s">
        <v>2878</v>
      </c>
    </row>
    <row r="565" spans="1:3">
      <c r="A565" s="1021">
        <f>MINERGIE!S94</f>
        <v>0</v>
      </c>
      <c r="B565" s="1021">
        <v>565</v>
      </c>
      <c r="C565" s="1461" t="s">
        <v>2879</v>
      </c>
    </row>
    <row r="566" spans="1:3">
      <c r="A566" s="1021">
        <f>MINERGIE!O68</f>
        <v>0</v>
      </c>
      <c r="B566" s="1021">
        <v>566</v>
      </c>
      <c r="C566" s="1461" t="s">
        <v>2880</v>
      </c>
    </row>
    <row r="567" spans="1:3">
      <c r="A567" s="1021">
        <f>MINERGIE!P68</f>
        <v>0</v>
      </c>
      <c r="B567" s="1021">
        <v>567</v>
      </c>
      <c r="C567" s="1461" t="s">
        <v>2881</v>
      </c>
    </row>
    <row r="568" spans="1:3">
      <c r="A568" s="1021">
        <f>MINERGIE!Q68</f>
        <v>0</v>
      </c>
      <c r="B568" s="1021">
        <v>568</v>
      </c>
      <c r="C568" s="1461" t="s">
        <v>2882</v>
      </c>
    </row>
    <row r="569" spans="1:3">
      <c r="A569" s="1021">
        <f>MINERGIE!R68</f>
        <v>0</v>
      </c>
      <c r="B569" s="1021">
        <v>569</v>
      </c>
      <c r="C569" s="1461" t="s">
        <v>2883</v>
      </c>
    </row>
    <row r="570" spans="1:3">
      <c r="A570" s="1021">
        <f>MINERGIE!S68</f>
        <v>0</v>
      </c>
      <c r="B570" s="1021">
        <v>570</v>
      </c>
      <c r="C570" s="1461" t="s">
        <v>2884</v>
      </c>
    </row>
    <row r="571" spans="1:3">
      <c r="A571" s="1021">
        <f>MINERGIE!O59</f>
        <v>0</v>
      </c>
      <c r="B571" s="1021">
        <v>571</v>
      </c>
      <c r="C571" s="1461" t="s">
        <v>2885</v>
      </c>
    </row>
    <row r="572" spans="1:3">
      <c r="A572" s="1021">
        <f>MINERGIE!P59</f>
        <v>0</v>
      </c>
      <c r="B572" s="1021">
        <v>572</v>
      </c>
      <c r="C572" s="1461" t="s">
        <v>2886</v>
      </c>
    </row>
    <row r="573" spans="1:3">
      <c r="A573" s="1021">
        <f>MINERGIE!Q59</f>
        <v>0</v>
      </c>
      <c r="B573" s="1021">
        <v>573</v>
      </c>
      <c r="C573" s="1461" t="s">
        <v>2887</v>
      </c>
    </row>
    <row r="574" spans="1:3">
      <c r="A574" s="1021">
        <f>MINERGIE!R59</f>
        <v>0</v>
      </c>
      <c r="B574" s="1021">
        <v>574</v>
      </c>
      <c r="C574" s="1461" t="s">
        <v>2888</v>
      </c>
    </row>
    <row r="575" spans="1:3">
      <c r="A575" s="1021">
        <f>MINERGIE!S59</f>
        <v>0</v>
      </c>
      <c r="B575" s="1021">
        <v>575</v>
      </c>
      <c r="C575" s="1461" t="s">
        <v>2889</v>
      </c>
    </row>
    <row r="576" spans="1:3">
      <c r="A576" s="1021">
        <f>MINERGIE!O44</f>
        <v>0</v>
      </c>
      <c r="B576" s="1021">
        <v>576</v>
      </c>
      <c r="C576" s="1461" t="s">
        <v>2890</v>
      </c>
    </row>
    <row r="577" spans="1:3">
      <c r="A577" s="1021">
        <f>MINERGIE!P44</f>
        <v>0</v>
      </c>
      <c r="B577" s="1021">
        <v>577</v>
      </c>
      <c r="C577" s="1461" t="s">
        <v>2891</v>
      </c>
    </row>
    <row r="578" spans="1:3">
      <c r="A578" s="1021">
        <f>MINERGIE!Q44</f>
        <v>0</v>
      </c>
      <c r="B578" s="1021">
        <v>578</v>
      </c>
      <c r="C578" s="1461" t="s">
        <v>2892</v>
      </c>
    </row>
    <row r="579" spans="1:3">
      <c r="A579" s="1021">
        <f>MINERGIE!R44</f>
        <v>0</v>
      </c>
      <c r="B579" s="1021">
        <v>579</v>
      </c>
      <c r="C579" s="1461" t="s">
        <v>2893</v>
      </c>
    </row>
    <row r="580" spans="1:3">
      <c r="A580" s="1021">
        <f>MINERGIE!S44</f>
        <v>0</v>
      </c>
      <c r="B580" s="1021">
        <v>580</v>
      </c>
      <c r="C580" s="1461" t="s">
        <v>2894</v>
      </c>
    </row>
    <row r="581" spans="1:3">
      <c r="A581" s="1026">
        <f>MINERGIE!O15</f>
        <v>0</v>
      </c>
      <c r="B581" s="1021">
        <v>581</v>
      </c>
      <c r="C581" s="1461" t="s">
        <v>2895</v>
      </c>
    </row>
    <row r="582" spans="1:3">
      <c r="A582" s="1026">
        <f>MINERGIE!P15</f>
        <v>0</v>
      </c>
      <c r="B582" s="1021">
        <v>582</v>
      </c>
      <c r="C582" s="1461" t="s">
        <v>2896</v>
      </c>
    </row>
    <row r="583" spans="1:3">
      <c r="A583" s="1026">
        <f>MINERGIE!Q15</f>
        <v>0</v>
      </c>
      <c r="B583" s="1021">
        <v>583</v>
      </c>
      <c r="C583" s="1461" t="s">
        <v>2897</v>
      </c>
    </row>
    <row r="584" spans="1:3">
      <c r="A584" s="1026">
        <f>MINERGIE!R15</f>
        <v>0</v>
      </c>
      <c r="B584" s="1021">
        <v>584</v>
      </c>
      <c r="C584" s="1461" t="s">
        <v>2898</v>
      </c>
    </row>
    <row r="585" spans="1:3">
      <c r="A585" s="1021">
        <f>MINERGIE!S15</f>
        <v>0</v>
      </c>
      <c r="B585" s="1021">
        <v>585</v>
      </c>
      <c r="C585" s="1461" t="s">
        <v>2899</v>
      </c>
    </row>
    <row r="586" spans="1:3">
      <c r="A586" s="1026">
        <f>MINERGIE!O19</f>
        <v>0</v>
      </c>
      <c r="B586" s="1021">
        <v>586</v>
      </c>
      <c r="C586" s="1461" t="s">
        <v>2900</v>
      </c>
    </row>
    <row r="587" spans="1:3">
      <c r="A587" s="1026">
        <f>MINERGIE!P19</f>
        <v>0</v>
      </c>
      <c r="B587" s="1021">
        <v>587</v>
      </c>
      <c r="C587" s="1461" t="s">
        <v>2901</v>
      </c>
    </row>
    <row r="588" spans="1:3">
      <c r="A588" s="1026">
        <f>MINERGIE!Q19</f>
        <v>0</v>
      </c>
      <c r="B588" s="1021">
        <v>588</v>
      </c>
      <c r="C588" s="1461" t="s">
        <v>2902</v>
      </c>
    </row>
    <row r="589" spans="1:3">
      <c r="A589" s="1026">
        <f>MINERGIE!R19</f>
        <v>0</v>
      </c>
      <c r="B589" s="1021">
        <v>589</v>
      </c>
      <c r="C589" s="1461" t="s">
        <v>2903</v>
      </c>
    </row>
    <row r="590" spans="1:3">
      <c r="A590" s="1021">
        <f>MINERGIE!S19</f>
        <v>0</v>
      </c>
      <c r="B590" s="1021">
        <v>590</v>
      </c>
      <c r="C590" s="1461" t="s">
        <v>2904</v>
      </c>
    </row>
    <row r="591" spans="1:3">
      <c r="A591" s="1021">
        <f>MINERGIE!O103</f>
        <v>0</v>
      </c>
      <c r="B591" s="1021">
        <v>591</v>
      </c>
      <c r="C591" s="1461" t="s">
        <v>2905</v>
      </c>
    </row>
    <row r="592" spans="1:3">
      <c r="A592" s="1021">
        <f>MINERGIE!P103</f>
        <v>0</v>
      </c>
      <c r="B592" s="1021">
        <v>592</v>
      </c>
      <c r="C592" s="1461" t="s">
        <v>2906</v>
      </c>
    </row>
    <row r="593" spans="1:3">
      <c r="A593" s="1021">
        <f>MINERGIE!Q103</f>
        <v>0</v>
      </c>
      <c r="B593" s="1021">
        <v>593</v>
      </c>
      <c r="C593" s="1461" t="s">
        <v>2907</v>
      </c>
    </row>
    <row r="594" spans="1:3">
      <c r="A594" s="1021">
        <f>MINERGIE!R103</f>
        <v>0</v>
      </c>
      <c r="B594" s="1021">
        <v>594</v>
      </c>
      <c r="C594" s="1461" t="s">
        <v>2908</v>
      </c>
    </row>
    <row r="595" spans="1:3">
      <c r="A595" s="1021">
        <f>MINERGIE!S103</f>
        <v>0</v>
      </c>
      <c r="B595" s="1021">
        <v>595</v>
      </c>
      <c r="C595" s="1461" t="s">
        <v>2909</v>
      </c>
    </row>
    <row r="596" spans="1:3">
      <c r="A596" s="1021">
        <f>MINERGIE!O104</f>
        <v>0</v>
      </c>
      <c r="B596" s="1021">
        <v>596</v>
      </c>
      <c r="C596" s="1461" t="s">
        <v>2910</v>
      </c>
    </row>
    <row r="597" spans="1:3">
      <c r="A597" s="1021">
        <f>MINERGIE!P104</f>
        <v>0</v>
      </c>
      <c r="B597" s="1021">
        <v>597</v>
      </c>
      <c r="C597" s="1461" t="s">
        <v>2911</v>
      </c>
    </row>
    <row r="598" spans="1:3">
      <c r="A598" s="1021">
        <f>MINERGIE!Q104</f>
        <v>0</v>
      </c>
      <c r="B598" s="1021">
        <v>598</v>
      </c>
      <c r="C598" s="1461" t="s">
        <v>2912</v>
      </c>
    </row>
    <row r="599" spans="1:3">
      <c r="A599" s="1021">
        <f>MINERGIE!R104</f>
        <v>0</v>
      </c>
      <c r="B599" s="1021">
        <v>599</v>
      </c>
      <c r="C599" s="1461" t="s">
        <v>2913</v>
      </c>
    </row>
    <row r="600" spans="1:3">
      <c r="A600" s="1021">
        <f>MINERGIE!S104</f>
        <v>0</v>
      </c>
      <c r="B600" s="1021">
        <v>600</v>
      </c>
      <c r="C600" s="1461" t="s">
        <v>2914</v>
      </c>
    </row>
    <row r="601" spans="1:3">
      <c r="A601" s="1021">
        <f>MINERGIE!H56</f>
        <v>0</v>
      </c>
      <c r="B601" s="1021">
        <v>601</v>
      </c>
      <c r="C601" s="1461" t="s">
        <v>2824</v>
      </c>
    </row>
    <row r="602" spans="1:3">
      <c r="A602" s="1021">
        <f>MINERGIE!J56</f>
        <v>0</v>
      </c>
      <c r="B602" s="1021">
        <v>602</v>
      </c>
      <c r="C602" s="1461" t="s">
        <v>2825</v>
      </c>
    </row>
    <row r="603" spans="1:3">
      <c r="A603" s="1021">
        <f>MINERGIE!Z36</f>
        <v>0</v>
      </c>
      <c r="B603" s="1021">
        <v>603</v>
      </c>
      <c r="C603" s="1461" t="s">
        <v>3480</v>
      </c>
    </row>
  </sheetData>
  <sheetProtection password="C616" sheet="1" objects="1" scenarios="1"/>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workbookViewId="0"/>
  </sheetViews>
  <sheetFormatPr baseColWidth="10" defaultColWidth="11.44140625" defaultRowHeight="13.2"/>
  <cols>
    <col min="1" max="1" width="39.44140625" style="629" customWidth="1"/>
    <col min="2" max="11" width="11.44140625" style="629"/>
    <col min="12" max="18" width="11.44140625" style="629" hidden="1" customWidth="1"/>
    <col min="19" max="16384" width="11.44140625" style="629"/>
  </cols>
  <sheetData>
    <row r="1" spans="1:18" ht="21" customHeight="1">
      <c r="A1" s="1764" t="str">
        <f>Uebersetzung!D489</f>
        <v>Trasferire nel tool di calcolo PVopti</v>
      </c>
    </row>
    <row r="2" spans="1:18" ht="15" customHeight="1"/>
    <row r="3" spans="1:18" ht="15" customHeight="1" thickBot="1">
      <c r="C3" s="1765" t="str">
        <f>Uebersetzung!D490</f>
        <v>P.F: copiare i campi gialli e trasferire il contenuto in PVopti</v>
      </c>
      <c r="L3" s="161">
        <v>1</v>
      </c>
    </row>
    <row r="4" spans="1:18" ht="15" customHeight="1">
      <c r="A4" s="629" t="str">
        <f>Uebersetzung!D491</f>
        <v>N.° MOP: /nome progetto: / indirizzo edificio</v>
      </c>
      <c r="C4" s="1756" t="str">
        <f>IF(Projekt3&lt;&gt;"",Projekt3,"")</f>
        <v/>
      </c>
      <c r="D4" s="1752" t="str">
        <f>IF(Dati!C7&lt;&gt;"",Dati!C7,"")</f>
        <v/>
      </c>
      <c r="E4" s="1752"/>
      <c r="F4" s="1752"/>
      <c r="G4" s="1752" t="str">
        <f>IF(Dati!C8&lt;&gt;"",Dati!C8,"")</f>
        <v/>
      </c>
      <c r="H4" s="1752"/>
      <c r="I4" s="1743"/>
      <c r="L4" s="161">
        <v>2</v>
      </c>
      <c r="M4" s="629" t="s">
        <v>203</v>
      </c>
      <c r="P4" s="629" t="s">
        <v>332</v>
      </c>
      <c r="Q4" s="629" t="s">
        <v>1561</v>
      </c>
      <c r="R4" s="629" t="s">
        <v>3193</v>
      </c>
    </row>
    <row r="5" spans="1:18" ht="15" customHeight="1">
      <c r="A5" s="629" t="str">
        <f>Uebersetzung!D492</f>
        <v>mapp. N.°: / stazione climatica / indirizzo edificio</v>
      </c>
      <c r="C5" s="1744" t="str">
        <f>IF(Projekt2&lt;&gt;"",Projekt2,"")</f>
        <v/>
      </c>
      <c r="D5" s="1753" t="str">
        <f>IF(Dati!I14&lt;&gt;"",Dati!I14,"")</f>
        <v/>
      </c>
      <c r="E5" s="1753"/>
      <c r="F5" s="1753"/>
      <c r="G5" s="1753" t="str">
        <f>IF(Dati!F13&lt;&gt;"",Dati!F13,"")</f>
        <v/>
      </c>
      <c r="H5" s="1753"/>
      <c r="I5" s="1745"/>
      <c r="L5" s="161">
        <v>3</v>
      </c>
      <c r="M5" s="629" t="s">
        <v>472</v>
      </c>
      <c r="P5" s="629" t="s">
        <v>333</v>
      </c>
      <c r="Q5" s="629" t="s">
        <v>1562</v>
      </c>
      <c r="R5" s="629" t="s">
        <v>3194</v>
      </c>
    </row>
    <row r="6" spans="1:18" ht="15" customHeight="1">
      <c r="C6" s="1744"/>
      <c r="D6" s="1746"/>
      <c r="E6" s="1746"/>
      <c r="F6" s="1746"/>
      <c r="G6" s="1746"/>
      <c r="H6" s="1746"/>
      <c r="I6" s="1747"/>
      <c r="L6" s="161">
        <v>4</v>
      </c>
      <c r="M6" s="629" t="s">
        <v>473</v>
      </c>
      <c r="P6" s="629" t="s">
        <v>1</v>
      </c>
      <c r="Q6" s="629" t="s">
        <v>1563</v>
      </c>
      <c r="R6" s="629" t="s">
        <v>3195</v>
      </c>
    </row>
    <row r="7" spans="1:18" ht="15" customHeight="1">
      <c r="C7" s="1744"/>
      <c r="D7" s="1754"/>
      <c r="E7" s="1754"/>
      <c r="F7" s="1754"/>
      <c r="G7" s="1754"/>
      <c r="H7" s="1754"/>
      <c r="I7" s="1755"/>
      <c r="L7" s="161">
        <v>5</v>
      </c>
      <c r="M7" s="629" t="s">
        <v>204</v>
      </c>
      <c r="P7" s="629" t="s">
        <v>340</v>
      </c>
      <c r="Q7" s="629" t="s">
        <v>1564</v>
      </c>
      <c r="R7" s="629" t="s">
        <v>3196</v>
      </c>
    </row>
    <row r="8" spans="1:18" ht="15" customHeight="1">
      <c r="A8" s="1636" t="str">
        <f>Uebersetzung!D493</f>
        <v>Produzione di  calore</v>
      </c>
      <c r="C8" s="1744"/>
      <c r="D8" s="1746"/>
      <c r="E8" s="1746"/>
      <c r="F8" s="1746"/>
      <c r="G8" s="1746"/>
      <c r="H8" s="1746"/>
      <c r="I8" s="1747"/>
      <c r="L8" s="161">
        <v>6</v>
      </c>
      <c r="M8" s="629" t="s">
        <v>474</v>
      </c>
      <c r="P8" s="629" t="s">
        <v>237</v>
      </c>
      <c r="Q8" s="629" t="s">
        <v>1565</v>
      </c>
      <c r="R8" s="629" t="s">
        <v>3197</v>
      </c>
    </row>
    <row r="9" spans="1:18" ht="15" customHeight="1">
      <c r="A9" s="629" t="str">
        <f>Uebersetzung!D494</f>
        <v>Prod. A</v>
      </c>
      <c r="B9" s="1767"/>
      <c r="C9" s="1766" t="str">
        <f>IF(Verifica!M8&gt;1,INDEX($L$3:$M$50,Verifica!M8,2),"")</f>
        <v/>
      </c>
      <c r="D9" s="1754">
        <f>IF(Verifica!J8&gt;0,Verifica!J8/100,0)</f>
        <v>0</v>
      </c>
      <c r="E9" s="1754">
        <f>IF(Verifica!L8&gt;0,Verifica!L8/100,0)</f>
        <v>0</v>
      </c>
      <c r="F9" s="1754">
        <f>IF(AND(WirkungsgradA&gt;0,Verifica!S8=1),WirkungsgradA,0)</f>
        <v>0</v>
      </c>
      <c r="G9" s="1754">
        <f>IF(AND(WirkungsgradA&gt;0,qw&gt;0,Verifica!T8=1),WirkungsgradA,0)</f>
        <v>0</v>
      </c>
      <c r="H9" s="1754">
        <f>IF(Verifica!AD8,IF(Verifica!G9&gt;0,Verifica!G9,0),0)</f>
        <v>0</v>
      </c>
      <c r="I9" s="1755">
        <f>IF(Verifica!AD8,IF(AND(Verifica!G9&gt;0,qw&gt;0),Verifica!G9,0),0)</f>
        <v>0</v>
      </c>
      <c r="L9" s="161">
        <v>7</v>
      </c>
      <c r="M9" s="629" t="s">
        <v>475</v>
      </c>
      <c r="P9" s="629" t="s">
        <v>836</v>
      </c>
      <c r="Q9" s="629" t="s">
        <v>836</v>
      </c>
      <c r="R9" s="629" t="s">
        <v>3198</v>
      </c>
    </row>
    <row r="10" spans="1:18" ht="15" customHeight="1">
      <c r="A10" s="629" t="str">
        <f>Uebersetzung!D495</f>
        <v>Prod. B</v>
      </c>
      <c r="C10" s="1766" t="str">
        <f>IF(Verifica!M12&gt;1,INDEX($L$3:$M$50,Verifica!M12,2),"")</f>
        <v/>
      </c>
      <c r="D10" s="1754">
        <f>IF(Verifica!J12&gt;0,Verifica!J12/100,0)</f>
        <v>0</v>
      </c>
      <c r="E10" s="1754">
        <f>IF(Verifica!L12&gt;0,Verifica!L12/100,0)</f>
        <v>0</v>
      </c>
      <c r="F10" s="1754">
        <f>IF(AND(WirkungsgradB&gt;0,Verifica!S12=1),WirkungsgradB,0)</f>
        <v>0</v>
      </c>
      <c r="G10" s="1754">
        <f>IF(AND(WirkungsgradB&gt;0,qw&gt;0,Verifica!T12=1),WirkungsgradB,0)</f>
        <v>0</v>
      </c>
      <c r="H10" s="1754">
        <f>IF(Verifica!AD12,IF(Verifica!G13&gt;0,Verifica!G13,0),0)</f>
        <v>0</v>
      </c>
      <c r="I10" s="1755">
        <f>IF(Verifica!AD12,IF(AND(Verifica!G13&gt;0,qw&gt;0),Verifica!G13,0),0)</f>
        <v>0</v>
      </c>
      <c r="L10" s="161">
        <v>8</v>
      </c>
      <c r="M10" s="629" t="s">
        <v>205</v>
      </c>
      <c r="P10" s="629" t="s">
        <v>837</v>
      </c>
      <c r="Q10" s="629" t="s">
        <v>1566</v>
      </c>
      <c r="R10" s="629" t="s">
        <v>3199</v>
      </c>
    </row>
    <row r="11" spans="1:18" ht="15" customHeight="1">
      <c r="A11" s="629" t="str">
        <f>Uebersetzung!D496</f>
        <v>Prod. C</v>
      </c>
      <c r="C11" s="1766" t="str">
        <f>IF(Verifica!M16&gt;1,INDEX($L$3:$M$50,Verifica!M16,2),"")</f>
        <v/>
      </c>
      <c r="D11" s="1754">
        <f>IF(Verifica!J16&gt;0,Verifica!J16/100,0)</f>
        <v>0</v>
      </c>
      <c r="E11" s="1754">
        <f>IF(Verifica!L16&gt;0,Verifica!L16/100,0)</f>
        <v>0</v>
      </c>
      <c r="F11" s="1754">
        <f>IF(AND(WirkungsgradC&gt;0,Verifica!S16=1),WirkungsgradC,0)</f>
        <v>0</v>
      </c>
      <c r="G11" s="1754">
        <f>IF(AND(WirkungsgradC&gt;0,qw&gt;0,Verifica!T16=1),WirkungsgradC,0)</f>
        <v>0</v>
      </c>
      <c r="H11" s="1754">
        <f>IF(Verifica!AD16,IF(Verifica!G17&gt;0,Verifica!G17,0),0)</f>
        <v>0</v>
      </c>
      <c r="I11" s="1755">
        <f>IF(Verifica!AD16,IF(AND(Verifica!G17&gt;0,qw&gt;0),Verifica!G17,0),0)</f>
        <v>0</v>
      </c>
      <c r="L11" s="161">
        <v>9</v>
      </c>
      <c r="M11" s="629" t="s">
        <v>318</v>
      </c>
      <c r="P11" s="629" t="s">
        <v>238</v>
      </c>
      <c r="Q11" s="629" t="s">
        <v>1567</v>
      </c>
      <c r="R11" s="629" t="s">
        <v>3200</v>
      </c>
    </row>
    <row r="12" spans="1:18" ht="15" customHeight="1">
      <c r="A12" s="629" t="str">
        <f>Uebersetzung!D497</f>
        <v>Prod. D</v>
      </c>
      <c r="C12" s="1766" t="str">
        <f>IF(Verifica!M20&gt;1,INDEX($L$3:$M$50,Verifica!M20,2),"")</f>
        <v/>
      </c>
      <c r="D12" s="1754">
        <f>IF(Verifica!J20&gt;0,Verifica!J20/100,0)</f>
        <v>0</v>
      </c>
      <c r="E12" s="1754">
        <f>IF(Verifica!L20&gt;0,Verifica!L20/100,0)</f>
        <v>0</v>
      </c>
      <c r="F12" s="1754">
        <f>IF(AND(WirkungsgradD&gt;0,Verifica!S20=1),WirkungsgradD,0)</f>
        <v>0</v>
      </c>
      <c r="G12" s="1754">
        <f>IF(AND(WirkungsgradD&gt;0,qw&gt;0,Verifica!T20=1),WirkungsgradD,0)</f>
        <v>0</v>
      </c>
      <c r="H12" s="1754">
        <f>IF(Verifica!AD20,IF(Verifica!G21&gt;0,Verifica!G21,0),0)</f>
        <v>0</v>
      </c>
      <c r="I12" s="1755">
        <f>IF(Verifica!AD20,IF(AND(Verifica!G21&gt;0,qw&gt;0),Verifica!G21,0),0)</f>
        <v>0</v>
      </c>
      <c r="L12" s="161">
        <v>10</v>
      </c>
      <c r="M12" s="629" t="s">
        <v>22</v>
      </c>
      <c r="P12" s="629" t="s">
        <v>492</v>
      </c>
      <c r="Q12" s="629" t="s">
        <v>492</v>
      </c>
      <c r="R12" s="629" t="s">
        <v>3201</v>
      </c>
    </row>
    <row r="13" spans="1:18" ht="15" customHeight="1">
      <c r="C13" s="1766" t="str">
        <f>IF(Verifica!B24&lt;&gt;"",Verifica!B24,"")</f>
        <v/>
      </c>
      <c r="D13" s="1754" t="str">
        <f>IF(Verifica!J24&gt;0,Verifica!J24/100,"")</f>
        <v/>
      </c>
      <c r="E13" s="1754" t="str">
        <f>IF(Verifica!L24&gt;0,Verifica!L24/100,"")</f>
        <v/>
      </c>
      <c r="F13" s="1754"/>
      <c r="G13" s="1754"/>
      <c r="H13" s="1746"/>
      <c r="I13" s="1747"/>
      <c r="L13" s="161">
        <v>11</v>
      </c>
      <c r="M13" s="629" t="s">
        <v>1241</v>
      </c>
      <c r="P13" s="629" t="s">
        <v>239</v>
      </c>
      <c r="Q13" s="629" t="s">
        <v>1568</v>
      </c>
      <c r="R13" s="629" t="s">
        <v>3202</v>
      </c>
    </row>
    <row r="14" spans="1:18" ht="15" customHeight="1">
      <c r="A14" s="629" t="str">
        <f>Uebersetzung!D498</f>
        <v>Capacità disponibile (kWh)</v>
      </c>
      <c r="B14" s="629" t="s">
        <v>673</v>
      </c>
      <c r="C14" s="1757" t="str">
        <f>IF(MINERGIE!H56&gt;0,MINERGIE!H56,"")</f>
        <v/>
      </c>
      <c r="D14" s="1746"/>
      <c r="E14" s="1746"/>
      <c r="F14" s="1746"/>
      <c r="G14" s="1746"/>
      <c r="H14" s="1746"/>
      <c r="I14" s="1747"/>
      <c r="L14" s="161">
        <v>12</v>
      </c>
      <c r="M14" s="629" t="s">
        <v>186</v>
      </c>
      <c r="P14" s="629" t="s">
        <v>240</v>
      </c>
      <c r="Q14" s="629" t="s">
        <v>1569</v>
      </c>
      <c r="R14" s="629" t="s">
        <v>3203</v>
      </c>
    </row>
    <row r="15" spans="1:18" ht="15" customHeight="1">
      <c r="C15" s="1744"/>
      <c r="D15" s="1746"/>
      <c r="E15" s="1746"/>
      <c r="F15" s="1746"/>
      <c r="G15" s="1746"/>
      <c r="H15" s="1746"/>
      <c r="I15" s="1747"/>
      <c r="L15" s="161">
        <v>13</v>
      </c>
      <c r="M15" s="629" t="s">
        <v>45</v>
      </c>
    </row>
    <row r="16" spans="1:18" ht="15" customHeight="1">
      <c r="A16" s="1636" t="str">
        <f>Uebersetzung!D499</f>
        <v>Zona</v>
      </c>
      <c r="C16" s="1748">
        <v>1</v>
      </c>
      <c r="D16" s="1749">
        <v>2</v>
      </c>
      <c r="E16" s="1749">
        <v>3</v>
      </c>
      <c r="F16" s="1749">
        <v>4</v>
      </c>
      <c r="G16" s="1746"/>
      <c r="H16" s="1746"/>
      <c r="I16" s="1747"/>
      <c r="L16" s="161">
        <v>14</v>
      </c>
      <c r="M16" s="629" t="s">
        <v>145</v>
      </c>
    </row>
    <row r="17" spans="1:13" ht="15" customHeight="1">
      <c r="A17" s="629" t="str">
        <f>Uebersetzung!D500</f>
        <v>Categoria edificio</v>
      </c>
      <c r="B17" s="629" t="s">
        <v>3171</v>
      </c>
      <c r="C17" s="1757" t="str">
        <f>IF(Dati!F16&lt;&gt;"",INDEX(P3:R15,Kategorie1,Uebersetzung!$A$1),"")</f>
        <v/>
      </c>
      <c r="D17" s="1754" t="str">
        <f>IF(Dati!G16&lt;&gt;"",INDEX(P3:R15,Kategorie2,Uebersetzung!$A$1),"")</f>
        <v/>
      </c>
      <c r="E17" s="1754" t="str">
        <f>IF(Dati!H16&lt;&gt;"",INDEX(P3:R15,Kategorie3,Uebersetzung!$A$1),"")</f>
        <v/>
      </c>
      <c r="F17" s="1754" t="str">
        <f>IF(Dati!I16&lt;&gt;"",INDEX(P3:R15,Kategorie4,Uebersetzung!$A$1),"")</f>
        <v/>
      </c>
      <c r="G17" s="1746"/>
      <c r="H17" s="1746"/>
      <c r="I17" s="1747"/>
      <c r="L17" s="161">
        <v>15</v>
      </c>
      <c r="M17" s="629" t="s">
        <v>384</v>
      </c>
    </row>
    <row r="18" spans="1:13" ht="15" customHeight="1">
      <c r="A18" s="629" t="str">
        <f>Uebersetzung!D501</f>
        <v>Superficie di riferimento energetico AE (m2)</v>
      </c>
      <c r="C18" s="1757">
        <f>IF(Dati!F19&lt;&gt;"",Dati!F19,0)</f>
        <v>0</v>
      </c>
      <c r="D18" s="1754">
        <f>IF(Dati!G19&lt;&gt;"",Dati!G19,0)</f>
        <v>0</v>
      </c>
      <c r="E18" s="1754">
        <f>IF(Dati!H19&lt;&gt;"",Dati!H19,0)</f>
        <v>0</v>
      </c>
      <c r="F18" s="1754">
        <f>IF(Dati!I19&lt;&gt;"",Dati!I19,0)</f>
        <v>0</v>
      </c>
      <c r="G18" s="1746"/>
      <c r="H18" s="1746"/>
      <c r="I18" s="1747"/>
      <c r="L18" s="161">
        <v>16</v>
      </c>
      <c r="M18" s="629" t="s">
        <v>460</v>
      </c>
    </row>
    <row r="19" spans="1:13" ht="15" customHeight="1">
      <c r="A19" s="629" t="str">
        <f>Uebersetzung!D502</f>
        <v>Costruzione nuova</v>
      </c>
      <c r="C19" s="1757" t="str">
        <f>IF(Dati!F21&lt;&gt;"",IF(Neubau1=2,1,IF(Neubau1=3,0,"")),"")</f>
        <v/>
      </c>
      <c r="D19" s="1754" t="str">
        <f>IF(Dati!G21&lt;&gt;"",IF(Neubau2=2,1,IF(Neubau2=3,0,"")),"")</f>
        <v/>
      </c>
      <c r="E19" s="1754" t="str">
        <f>IF(Dati!H21&lt;&gt;"",IF(Neubau3=2,1,IF(Neubau3=3,0,"")),"")</f>
        <v/>
      </c>
      <c r="F19" s="1754" t="str">
        <f>IF(Dati!I21&lt;&gt;"",IF(Neubau4=2,1,IF(Neubau4=3,0,"")),"")</f>
        <v/>
      </c>
      <c r="G19" s="1746"/>
      <c r="H19" s="1746"/>
      <c r="I19" s="1747"/>
      <c r="L19" s="161">
        <v>17</v>
      </c>
      <c r="M19" s="629" t="s">
        <v>476</v>
      </c>
    </row>
    <row r="20" spans="1:13" ht="15" customHeight="1">
      <c r="A20" s="629" t="str">
        <f>Uebersetzung!D503</f>
        <v>Valore calcolato acqua calda</v>
      </c>
      <c r="B20" s="629" t="s">
        <v>525</v>
      </c>
      <c r="C20" s="1758">
        <f>IF(MINERGIE!F17&lt;&gt;0,MINERGIE!F17,0)</f>
        <v>0</v>
      </c>
      <c r="D20" s="1759">
        <f>IF(MINERGIE!G17&lt;&gt;0,MINERGIE!G17,0)</f>
        <v>0</v>
      </c>
      <c r="E20" s="1759">
        <f>IF(MINERGIE!H17&lt;&gt;0,MINERGIE!H17,0)</f>
        <v>0</v>
      </c>
      <c r="F20" s="1759">
        <f>IF(MINERGIE!I17&lt;&gt;0,MINERGIE!I17,0)</f>
        <v>0</v>
      </c>
      <c r="G20" s="1746"/>
      <c r="H20" s="1746"/>
      <c r="I20" s="1747"/>
      <c r="L20" s="161">
        <v>18</v>
      </c>
      <c r="M20" s="629" t="s">
        <v>477</v>
      </c>
    </row>
    <row r="21" spans="1:13" ht="15" customHeight="1">
      <c r="A21" s="629">
        <f>Uebersetzung!D504</f>
        <v>0</v>
      </c>
      <c r="C21" s="1744"/>
      <c r="D21" s="1746"/>
      <c r="E21" s="1746"/>
      <c r="F21" s="1746"/>
      <c r="G21" s="1746"/>
      <c r="H21" s="1746"/>
      <c r="I21" s="1747"/>
      <c r="L21" s="161">
        <v>19</v>
      </c>
      <c r="M21" s="629" t="s">
        <v>148</v>
      </c>
    </row>
    <row r="22" spans="1:13" ht="15" customHeight="1">
      <c r="A22" s="629" t="str">
        <f>Uebersetzung!D505</f>
        <v>Freddo climatizzazione</v>
      </c>
      <c r="B22" s="629" t="s">
        <v>525</v>
      </c>
      <c r="C22" s="1758">
        <f>IF(Verifica!G40&lt;&gt;0,Verifica!G40,0)</f>
        <v>0</v>
      </c>
      <c r="D22" s="1759">
        <f>IF(Verifica!H40&lt;&gt;0,Verifica!H40,0)</f>
        <v>0</v>
      </c>
      <c r="E22" s="1759">
        <f>IF(Verifica!I40&lt;&gt;0,Verifica!I40,0)</f>
        <v>0</v>
      </c>
      <c r="F22" s="1759">
        <f>IF(Verifica!J40&lt;&gt;0,Verifica!J40,0)</f>
        <v>0</v>
      </c>
      <c r="G22" s="1746"/>
      <c r="H22" s="1746"/>
      <c r="I22" s="1747"/>
      <c r="L22" s="161">
        <v>20</v>
      </c>
      <c r="M22" s="629" t="s">
        <v>149</v>
      </c>
    </row>
    <row r="23" spans="1:13" ht="15" customHeight="1">
      <c r="A23" s="629" t="str">
        <f>Uebersetzung!D506</f>
        <v>Ventilazione</v>
      </c>
      <c r="B23" s="629" t="s">
        <v>525</v>
      </c>
      <c r="C23" s="1758">
        <f>IF(Verifica!G39&lt;&gt;0,Verifica!G39,0)</f>
        <v>0</v>
      </c>
      <c r="D23" s="1759">
        <f>IF(Verifica!H39&lt;&gt;0,Verifica!H39,0)</f>
        <v>0</v>
      </c>
      <c r="E23" s="1759">
        <f>IF(Verifica!I39&lt;&gt;0,Verifica!I39,0)</f>
        <v>0</v>
      </c>
      <c r="F23" s="1759">
        <f>IF(Verifica!J39&lt;&gt;0,Verifica!J39,0)</f>
        <v>0</v>
      </c>
      <c r="G23" s="1746"/>
      <c r="H23" s="1746"/>
      <c r="I23" s="1747"/>
      <c r="L23" s="161">
        <v>21</v>
      </c>
      <c r="M23" s="629" t="s">
        <v>150</v>
      </c>
    </row>
    <row r="24" spans="1:13" ht="15" customHeight="1">
      <c r="A24" s="629" t="str">
        <f>Uebersetzung!D507</f>
        <v>Numero di unità abitative</v>
      </c>
      <c r="C24" s="1757">
        <f>IF(AND(MINERGIE!O25&gt;0,wohnen1),MINERGIE!O25,0)</f>
        <v>0</v>
      </c>
      <c r="D24" s="1754">
        <f>IF(AND(MINERGIE!P25&gt;0,wohnen2),MINERGIE!P25,0)</f>
        <v>0</v>
      </c>
      <c r="E24" s="1754">
        <f>IF(AND(MINERGIE!Q25&gt;0,wohnen3),MINERGIE!Q25,0)</f>
        <v>0</v>
      </c>
      <c r="F24" s="1754">
        <f>IF(AND(MINERGIE!R25&gt;0,wohnen4),MINERGIE!R25,0)</f>
        <v>0</v>
      </c>
      <c r="G24" s="1746"/>
      <c r="H24" s="1746"/>
      <c r="I24" s="1747"/>
      <c r="L24" s="161">
        <v>22</v>
      </c>
      <c r="M24" s="629" t="s">
        <v>151</v>
      </c>
    </row>
    <row r="25" spans="1:13" ht="15" customHeight="1">
      <c r="A25" s="629" t="str">
        <f>Uebersetzung!D508</f>
        <v>Fabbisogno ascensore</v>
      </c>
      <c r="B25" s="629" t="s">
        <v>525</v>
      </c>
      <c r="C25" s="1768">
        <f>IF(AND(Dati!F19&gt;0,MINERGIE!O33&gt;0),MINERGIE!O33/Dati!F19,0)</f>
        <v>0</v>
      </c>
      <c r="D25" s="1769">
        <f>IF(AND(Dati!G19&gt;0,MINERGIE!P33&gt;0),MINERGIE!P33/Dati!G19,0)</f>
        <v>0</v>
      </c>
      <c r="E25" s="1769">
        <f>IF(AND(Dati!H19&gt;0,MINERGIE!Q33&gt;0),MINERGIE!Q33/Dati!H19,0)</f>
        <v>0</v>
      </c>
      <c r="F25" s="1769">
        <f>IF(AND(Dati!I19&gt;0,MINERGIE!R33&gt;0),MINERGIE!R33/Dati!I19,0)</f>
        <v>0</v>
      </c>
      <c r="G25" s="1746"/>
      <c r="H25" s="1746"/>
      <c r="I25" s="1747"/>
      <c r="L25" s="161">
        <v>23</v>
      </c>
      <c r="M25" s="629" t="s">
        <v>146</v>
      </c>
    </row>
    <row r="26" spans="1:13" ht="15" customHeight="1">
      <c r="A26" s="629" t="str">
        <f>Uebersetzung!D509</f>
        <v>Fabbisogno nastri riscaldanti</v>
      </c>
      <c r="B26" s="629" t="s">
        <v>525</v>
      </c>
      <c r="C26" s="1757">
        <v>0</v>
      </c>
      <c r="D26" s="1754">
        <v>0</v>
      </c>
      <c r="E26" s="1754">
        <v>0</v>
      </c>
      <c r="F26" s="1754">
        <v>0</v>
      </c>
      <c r="G26" s="1746"/>
      <c r="H26" s="1746"/>
      <c r="I26" s="1747"/>
      <c r="L26" s="161">
        <v>24</v>
      </c>
      <c r="M26" s="629" t="s">
        <v>152</v>
      </c>
    </row>
    <row r="27" spans="1:13" ht="15" customHeight="1">
      <c r="A27" s="629" t="str">
        <f>Uebersetzung!D510</f>
        <v>Riduzione lavastoviglie</v>
      </c>
      <c r="B27" s="629" t="s">
        <v>2690</v>
      </c>
      <c r="C27" s="1757">
        <f>1-MINERGIE!O34</f>
        <v>1</v>
      </c>
      <c r="D27" s="1754">
        <f>IF(D$18&lt;&gt;"",1-MINERGIE!P34,1)</f>
        <v>1</v>
      </c>
      <c r="E27" s="1754">
        <f>IF(E$18&lt;&gt;"",1-MINERGIE!Q34,1)</f>
        <v>1</v>
      </c>
      <c r="F27" s="1754">
        <f>IF(F$18&lt;&gt;"",1-MINERGIE!R34,1)</f>
        <v>1</v>
      </c>
      <c r="G27" s="1746"/>
      <c r="H27" s="1746"/>
      <c r="I27" s="1747"/>
      <c r="L27" s="161">
        <v>25</v>
      </c>
      <c r="M27" s="629" t="s">
        <v>521</v>
      </c>
    </row>
    <row r="28" spans="1:13" ht="15" customHeight="1">
      <c r="A28" s="629" t="str">
        <f>Uebersetzung!D511</f>
        <v>Riduzione congelatore e frigorifero</v>
      </c>
      <c r="B28" s="629" t="s">
        <v>2690</v>
      </c>
      <c r="C28" s="1757">
        <f>1-MINERGIE!O35</f>
        <v>1</v>
      </c>
      <c r="D28" s="1754">
        <f>IF(D$18&lt;&gt;"",1-MINERGIE!P35,1)</f>
        <v>1</v>
      </c>
      <c r="E28" s="1754">
        <f>IF(E$18&lt;&gt;"",1-MINERGIE!Q35,1)</f>
        <v>1</v>
      </c>
      <c r="F28" s="1754">
        <f>IF(F$18&lt;&gt;"",1-MINERGIE!R35,1)</f>
        <v>1</v>
      </c>
      <c r="G28" s="1746"/>
      <c r="H28" s="1746"/>
      <c r="I28" s="1747"/>
      <c r="L28" s="161">
        <v>26</v>
      </c>
      <c r="M28" s="629" t="s">
        <v>522</v>
      </c>
    </row>
    <row r="29" spans="1:13" ht="15" customHeight="1">
      <c r="A29" s="629" t="str">
        <f>Uebersetzung!D512</f>
        <v>Riduzione macchina da lavare</v>
      </c>
      <c r="B29" s="629" t="s">
        <v>2690</v>
      </c>
      <c r="C29" s="1757">
        <f>1-MINERGIE!O36</f>
        <v>1</v>
      </c>
      <c r="D29" s="1754">
        <f>IF(D$18&lt;&gt;"",1-MINERGIE!P36,1)</f>
        <v>1</v>
      </c>
      <c r="E29" s="1754">
        <f>IF(E$18&lt;&gt;"",1-MINERGIE!Q36,1)</f>
        <v>1</v>
      </c>
      <c r="F29" s="1754">
        <f>IF(F$18&lt;&gt;"",1-MINERGIE!R36,1)</f>
        <v>1</v>
      </c>
      <c r="G29" s="1746"/>
      <c r="H29" s="1746"/>
      <c r="I29" s="1747"/>
      <c r="L29" s="161">
        <v>27</v>
      </c>
      <c r="M29" s="629" t="s">
        <v>261</v>
      </c>
    </row>
    <row r="30" spans="1:13" ht="15" customHeight="1">
      <c r="A30" s="629" t="str">
        <f>Uebersetzung!D513</f>
        <v>Riduzione asciugatrice</v>
      </c>
      <c r="B30" s="629" t="s">
        <v>2690</v>
      </c>
      <c r="C30" s="1757">
        <f>1-MINERGIE!O37</f>
        <v>1</v>
      </c>
      <c r="D30" s="1754">
        <f>IF(D$18&lt;&gt;"",1-MINERGIE!P37,1)</f>
        <v>1</v>
      </c>
      <c r="E30" s="1754">
        <f>IF(E$18&lt;&gt;"",1-MINERGIE!Q37,1)</f>
        <v>1</v>
      </c>
      <c r="F30" s="1754">
        <f>IF(F$18&lt;&gt;"",1-MINERGIE!R37,1)</f>
        <v>1</v>
      </c>
      <c r="G30" s="1746"/>
      <c r="H30" s="1746"/>
      <c r="I30" s="1747"/>
      <c r="L30" s="161">
        <v>28</v>
      </c>
      <c r="M30" s="629" t="s">
        <v>438</v>
      </c>
    </row>
    <row r="31" spans="1:13" ht="15" customHeight="1">
      <c r="A31" s="629" t="str">
        <f>Uebersetzung!D514</f>
        <v>Riduzione piano di cottura a induzione</v>
      </c>
      <c r="B31" s="629" t="s">
        <v>2690</v>
      </c>
      <c r="C31" s="1757">
        <f>1-MINERGIE!O38</f>
        <v>1</v>
      </c>
      <c r="D31" s="1754">
        <f>IF(D$18&lt;&gt;"",1-MINERGIE!P38,1)</f>
        <v>1</v>
      </c>
      <c r="E31" s="1754">
        <f>IF(E$18&lt;&gt;"",1-MINERGIE!Q38,1)</f>
        <v>1</v>
      </c>
      <c r="F31" s="1754">
        <f>IF(F$18&lt;&gt;"",1-MINERGIE!R38,1)</f>
        <v>1</v>
      </c>
      <c r="G31" s="1746"/>
      <c r="H31" s="1746"/>
      <c r="I31" s="1747"/>
      <c r="L31" s="161">
        <v>29</v>
      </c>
      <c r="M31" s="629" t="s">
        <v>259</v>
      </c>
    </row>
    <row r="32" spans="1:13" ht="15" customHeight="1">
      <c r="A32" s="629" t="str">
        <f>Uebersetzung!D515</f>
        <v xml:space="preserve">Riduzione illuminazione abitazione </v>
      </c>
      <c r="B32" s="629" t="s">
        <v>2690</v>
      </c>
      <c r="C32" s="1757">
        <f>1-MINERGIE!O39</f>
        <v>1</v>
      </c>
      <c r="D32" s="1754">
        <f>IF(D$18&lt;&gt;"",1-MINERGIE!P39,1)</f>
        <v>1</v>
      </c>
      <c r="E32" s="1754">
        <f>IF(E$18&lt;&gt;"",1-MINERGIE!Q39,1)</f>
        <v>1</v>
      </c>
      <c r="F32" s="1754">
        <f>IF(F$18&lt;&gt;"",1-MINERGIE!R39,1)</f>
        <v>1</v>
      </c>
      <c r="G32" s="1746"/>
      <c r="H32" s="1746"/>
      <c r="I32" s="1747"/>
      <c r="L32" s="161">
        <v>30</v>
      </c>
      <c r="M32" s="629" t="s">
        <v>260</v>
      </c>
    </row>
    <row r="33" spans="1:13" ht="15" customHeight="1">
      <c r="A33" s="629" t="str">
        <f>Uebersetzung!D516</f>
        <v>Riduzione illuminazione generale</v>
      </c>
      <c r="B33" s="629" t="s">
        <v>2690</v>
      </c>
      <c r="C33" s="1757">
        <f>1-MINERGIE!O40</f>
        <v>1</v>
      </c>
      <c r="D33" s="1754">
        <f>IF(D$18&lt;&gt;"",1-MINERGIE!P40,1)</f>
        <v>1</v>
      </c>
      <c r="E33" s="1754">
        <f>IF(E$18&lt;&gt;"",1-MINERGIE!Q40,1)</f>
        <v>1</v>
      </c>
      <c r="F33" s="1754">
        <f>IF(F$18&lt;&gt;"",1-MINERGIE!R40,1)</f>
        <v>1</v>
      </c>
      <c r="G33" s="1746"/>
      <c r="H33" s="1746"/>
      <c r="I33" s="1747"/>
      <c r="L33" s="161">
        <v>31</v>
      </c>
      <c r="M33" s="629" t="s">
        <v>322</v>
      </c>
    </row>
    <row r="34" spans="1:13" ht="15" customHeight="1">
      <c r="A34" s="629" t="str">
        <f>Uebersetzung!D517</f>
        <v>Riduzione apparecchiature d’esercizio</v>
      </c>
      <c r="B34" s="629" t="s">
        <v>2690</v>
      </c>
      <c r="C34" s="1757">
        <f>1-MINERGIE!O41</f>
        <v>1</v>
      </c>
      <c r="D34" s="1754">
        <f>IF(D$18&lt;&gt;"",1-MINERGIE!P41,1)</f>
        <v>1</v>
      </c>
      <c r="E34" s="1754">
        <f>IF(E$18&lt;&gt;"",1-MINERGIE!Q41,1)</f>
        <v>1</v>
      </c>
      <c r="F34" s="1754">
        <f>IF(F$18&lt;&gt;"",1-MINERGIE!R41,1)</f>
        <v>1</v>
      </c>
      <c r="G34" s="1746"/>
      <c r="H34" s="1746"/>
      <c r="I34" s="1747"/>
      <c r="L34" s="161">
        <v>32</v>
      </c>
      <c r="M34" s="629" t="s">
        <v>523</v>
      </c>
    </row>
    <row r="35" spans="1:13" ht="15" customHeight="1">
      <c r="A35" s="629" t="str">
        <f>Uebersetzung!D518</f>
        <v>Fabbisogno illuminazione ed. funzionale, valore calcolo</v>
      </c>
      <c r="B35" s="629" t="s">
        <v>525</v>
      </c>
      <c r="C35" s="1760">
        <f>IF(AND(MINERGIE!F50&gt;0,wohnen1=FALSE),MINERGIE!F50,0)</f>
        <v>0</v>
      </c>
      <c r="D35" s="1761">
        <f>IF(AND(MINERGIE!G50&gt;0,wohnen2=FALSE),MINERGIE!G50,0)</f>
        <v>0</v>
      </c>
      <c r="E35" s="1761">
        <f>IF(AND(MINERGIE!H50&gt;0,wohnen3=FALSE),MINERGIE!H50,0)</f>
        <v>0</v>
      </c>
      <c r="F35" s="1761">
        <f>IF(AND(MINERGIE!I50&gt;0,wohnen4=FALSE),MINERGIE!I50,0)</f>
        <v>0</v>
      </c>
      <c r="G35" s="1746"/>
      <c r="H35" s="1746"/>
      <c r="I35" s="1747"/>
      <c r="L35" s="161">
        <v>33</v>
      </c>
      <c r="M35" s="629" t="s">
        <v>524</v>
      </c>
    </row>
    <row r="36" spans="1:13" ht="15" customHeight="1">
      <c r="A36" s="629" t="str">
        <f>Uebersetzung!D519</f>
        <v>Fabbisogno apparecchi ed. funzionale, valore calcolo</v>
      </c>
      <c r="B36" s="629" t="s">
        <v>525</v>
      </c>
      <c r="C36" s="1760">
        <f>IF(AND(MINERGIE!O59&gt;0,wohnen1=FALSE),MINERGIE!O59/2,0)</f>
        <v>0</v>
      </c>
      <c r="D36" s="1761">
        <f>IF(AND(MINERGIE!P59&gt;0,wohnen2=FALSE),MINERGIE!P59/2,0)</f>
        <v>0</v>
      </c>
      <c r="E36" s="1761">
        <f>IF(AND(MINERGIE!Q59&gt;0,wohnen3=FALSE),MINERGIE!Q59/2,0)</f>
        <v>0</v>
      </c>
      <c r="F36" s="1761">
        <f>IF(AND(MINERGIE!R59&gt;0,wohnen4=FALSE),MINERGIE!R59/2,0)</f>
        <v>0</v>
      </c>
      <c r="G36" s="1746"/>
      <c r="H36" s="1746"/>
      <c r="I36" s="1747"/>
      <c r="L36" s="161">
        <v>34</v>
      </c>
      <c r="M36" s="629" t="s">
        <v>2747</v>
      </c>
    </row>
    <row r="37" spans="1:13" ht="15" customHeight="1" thickBot="1">
      <c r="A37" s="629" t="str">
        <f>Uebersetzung!D520</f>
        <v>Fabbisogno IMP ed. funzionale, valore calcolo</v>
      </c>
      <c r="B37" s="629" t="s">
        <v>525</v>
      </c>
      <c r="C37" s="1762">
        <f>IF(AND(MINERGIE!O68&gt;0,wohnen1=FALSE),MINERGIE!O68/2,0)</f>
        <v>0</v>
      </c>
      <c r="D37" s="1763">
        <f>IF(AND(MINERGIE!P68&gt;0,wohnen2=FALSE),MINERGIE!P68/2,0)</f>
        <v>0</v>
      </c>
      <c r="E37" s="1763">
        <f>IF(AND(MINERGIE!Q68&gt;0,wohnen3=FALSE),MINERGIE!Q68/2,0)</f>
        <v>0</v>
      </c>
      <c r="F37" s="1763">
        <f>IF(AND(MINERGIE!R68&gt;0,wohnen4=FALSE),MINERGIE!R68/2,0)</f>
        <v>0</v>
      </c>
      <c r="G37" s="1750"/>
      <c r="H37" s="1750"/>
      <c r="I37" s="1751"/>
      <c r="L37" s="161">
        <v>35</v>
      </c>
      <c r="M37" s="629" t="s">
        <v>320</v>
      </c>
    </row>
    <row r="38" spans="1:13" ht="15" customHeight="1">
      <c r="L38" s="161">
        <v>36</v>
      </c>
      <c r="M38" s="629" t="s">
        <v>686</v>
      </c>
    </row>
    <row r="39" spans="1:13">
      <c r="L39" s="161">
        <v>37</v>
      </c>
      <c r="M39" s="629" t="s">
        <v>375</v>
      </c>
    </row>
    <row r="40" spans="1:13">
      <c r="L40" s="161">
        <v>38</v>
      </c>
      <c r="M40" s="629" t="s">
        <v>376</v>
      </c>
    </row>
    <row r="41" spans="1:13">
      <c r="L41" s="161">
        <v>39</v>
      </c>
      <c r="M41" s="629" t="s">
        <v>39</v>
      </c>
    </row>
    <row r="42" spans="1:13">
      <c r="L42" s="161">
        <v>40</v>
      </c>
      <c r="M42" s="629" t="s">
        <v>377</v>
      </c>
    </row>
    <row r="43" spans="1:13">
      <c r="L43" s="161">
        <v>41</v>
      </c>
      <c r="M43" s="629" t="s">
        <v>378</v>
      </c>
    </row>
    <row r="44" spans="1:13">
      <c r="L44" s="161">
        <v>42</v>
      </c>
      <c r="M44" s="629" t="s">
        <v>357</v>
      </c>
    </row>
    <row r="45" spans="1:13">
      <c r="L45" s="161">
        <v>43</v>
      </c>
      <c r="M45" s="629" t="s">
        <v>498</v>
      </c>
    </row>
    <row r="46" spans="1:13">
      <c r="L46" s="161">
        <v>44</v>
      </c>
      <c r="M46" s="629" t="s">
        <v>1235</v>
      </c>
    </row>
    <row r="47" spans="1:13">
      <c r="L47" s="161">
        <v>45</v>
      </c>
      <c r="M47" s="629" t="s">
        <v>1237</v>
      </c>
    </row>
    <row r="48" spans="1:13">
      <c r="L48" s="161">
        <v>46</v>
      </c>
      <c r="M48" s="629" t="s">
        <v>1236</v>
      </c>
    </row>
    <row r="49" spans="12:13">
      <c r="L49" s="161">
        <v>47</v>
      </c>
      <c r="M49" s="629" t="str">
        <f>Standardwerte!T152</f>
        <v>Pompa di calore a gas, solo riscaldamento</v>
      </c>
    </row>
    <row r="50" spans="12:13">
      <c r="L50" s="161">
        <v>48</v>
      </c>
      <c r="M50" s="629" t="str">
        <f>Standardwerte!T153</f>
        <v>Pompa di calore a gas, solo acqua calda</v>
      </c>
    </row>
    <row r="51" spans="12:13">
      <c r="L51" s="161"/>
    </row>
  </sheetData>
  <sheetProtection password="C616"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359</vt:i4>
      </vt:variant>
    </vt:vector>
  </HeadingPairs>
  <TitlesOfParts>
    <vt:vector size="369" baseType="lpstr">
      <vt:lpstr>Dati</vt:lpstr>
      <vt:lpstr>MINERGIE</vt:lpstr>
      <vt:lpstr>Estate</vt:lpstr>
      <vt:lpstr>Verifica</vt:lpstr>
      <vt:lpstr>Visione d'insieme</vt:lpstr>
      <vt:lpstr>Standardwerte</vt:lpstr>
      <vt:lpstr>Uebersetzung</vt:lpstr>
      <vt:lpstr>MOP</vt:lpstr>
      <vt:lpstr>PVopti</vt:lpstr>
      <vt:lpstr>Log</vt:lpstr>
      <vt:lpstr>_a0</vt:lpstr>
      <vt:lpstr>_a0WP</vt:lpstr>
      <vt:lpstr>_a10</vt:lpstr>
      <vt:lpstr>_a10WP</vt:lpstr>
      <vt:lpstr>_a5</vt:lpstr>
      <vt:lpstr>_a5WP</vt:lpstr>
      <vt:lpstr>_b0</vt:lpstr>
      <vt:lpstr>_b0WP</vt:lpstr>
      <vt:lpstr>_b10</vt:lpstr>
      <vt:lpstr>_b10WP</vt:lpstr>
      <vt:lpstr>_b5</vt:lpstr>
      <vt:lpstr>_b5WP</vt:lpstr>
      <vt:lpstr>_EBF1</vt:lpstr>
      <vt:lpstr>_EBF2</vt:lpstr>
      <vt:lpstr>_EBF3</vt:lpstr>
      <vt:lpstr>_EBF4</vt:lpstr>
      <vt:lpstr>_gew1</vt:lpstr>
      <vt:lpstr>_gew2</vt:lpstr>
      <vt:lpstr>_gew3</vt:lpstr>
      <vt:lpstr>_gew4</vt:lpstr>
      <vt:lpstr>_gew5</vt:lpstr>
      <vt:lpstr>_LER1</vt:lpstr>
      <vt:lpstr>_LER2</vt:lpstr>
      <vt:lpstr>_LER3</vt:lpstr>
      <vt:lpstr>_LER4</vt:lpstr>
      <vt:lpstr>_neu1</vt:lpstr>
      <vt:lpstr>_neu2</vt:lpstr>
      <vt:lpstr>_neu3</vt:lpstr>
      <vt:lpstr>_neu4</vt:lpstr>
      <vt:lpstr>_Neubau</vt:lpstr>
      <vt:lpstr>_nL1</vt:lpstr>
      <vt:lpstr>_nL2</vt:lpstr>
      <vt:lpstr>_nL3</vt:lpstr>
      <vt:lpstr>_nL4</vt:lpstr>
      <vt:lpstr>_nL50</vt:lpstr>
      <vt:lpstr>_Qe1</vt:lpstr>
      <vt:lpstr>_Qe2</vt:lpstr>
      <vt:lpstr>_Qe3</vt:lpstr>
      <vt:lpstr>_Qe4</vt:lpstr>
      <vt:lpstr>_Qel1</vt:lpstr>
      <vt:lpstr>_Qel2</vt:lpstr>
      <vt:lpstr>_Qel3</vt:lpstr>
      <vt:lpstr>_Qel4</vt:lpstr>
      <vt:lpstr>_qh1</vt:lpstr>
      <vt:lpstr>_qh2</vt:lpstr>
      <vt:lpstr>_qh3</vt:lpstr>
      <vt:lpstr>_qh4</vt:lpstr>
      <vt:lpstr>_qhs1</vt:lpstr>
      <vt:lpstr>_qhs2</vt:lpstr>
      <vt:lpstr>_qhs3</vt:lpstr>
      <vt:lpstr>_qhs4</vt:lpstr>
      <vt:lpstr>_qw1</vt:lpstr>
      <vt:lpstr>_qw2</vt:lpstr>
      <vt:lpstr>_qw3</vt:lpstr>
      <vt:lpstr>_qw4</vt:lpstr>
      <vt:lpstr>_typ1</vt:lpstr>
      <vt:lpstr>_typ2</vt:lpstr>
      <vt:lpstr>_typ3</vt:lpstr>
      <vt:lpstr>_typ4</vt:lpstr>
      <vt:lpstr>_vo</vt:lpstr>
      <vt:lpstr>_Vth1</vt:lpstr>
      <vt:lpstr>_Vth2</vt:lpstr>
      <vt:lpstr>_Vth3</vt:lpstr>
      <vt:lpstr>_Vth4</vt:lpstr>
      <vt:lpstr>_WRG1</vt:lpstr>
      <vt:lpstr>_WRG2</vt:lpstr>
      <vt:lpstr>_WRG3</vt:lpstr>
      <vt:lpstr>_WRG4</vt:lpstr>
      <vt:lpstr>_WW1</vt:lpstr>
      <vt:lpstr>_WW2</vt:lpstr>
      <vt:lpstr>_WW3</vt:lpstr>
      <vt:lpstr>_WW4</vt:lpstr>
      <vt:lpstr>_x0</vt:lpstr>
      <vt:lpstr>_x0WP</vt:lpstr>
      <vt:lpstr>_x10</vt:lpstr>
      <vt:lpstr>_x10WP</vt:lpstr>
      <vt:lpstr>_x5</vt:lpstr>
      <vt:lpstr>_x5WP</vt:lpstr>
      <vt:lpstr>abgabe1</vt:lpstr>
      <vt:lpstr>abgabe2</vt:lpstr>
      <vt:lpstr>abgabe3</vt:lpstr>
      <vt:lpstr>abgabe4</vt:lpstr>
      <vt:lpstr>AbluftWP</vt:lpstr>
      <vt:lpstr>ACDC1</vt:lpstr>
      <vt:lpstr>ACDC2</vt:lpstr>
      <vt:lpstr>ACDC3</vt:lpstr>
      <vt:lpstr>ACDC4</vt:lpstr>
      <vt:lpstr>AEBF</vt:lpstr>
      <vt:lpstr>AEBF1</vt:lpstr>
      <vt:lpstr>AEBF2</vt:lpstr>
      <vt:lpstr>AEBF3</vt:lpstr>
      <vt:lpstr>AEBF4</vt:lpstr>
      <vt:lpstr>Anetto_AEBF1</vt:lpstr>
      <vt:lpstr>Anetto_AEBF2</vt:lpstr>
      <vt:lpstr>Anetto_AEBF3</vt:lpstr>
      <vt:lpstr>Anetto_AEBF4</vt:lpstr>
      <vt:lpstr>Anteil_WP</vt:lpstr>
      <vt:lpstr>auswahl1</vt:lpstr>
      <vt:lpstr>auswahl2</vt:lpstr>
      <vt:lpstr>auswahl3</vt:lpstr>
      <vt:lpstr>auswahl4</vt:lpstr>
      <vt:lpstr>auswahl5</vt:lpstr>
      <vt:lpstr>auswahl6</vt:lpstr>
      <vt:lpstr>auswahl7</vt:lpstr>
      <vt:lpstr>auswahl8</vt:lpstr>
      <vt:lpstr>auswahl9</vt:lpstr>
      <vt:lpstr>BadMisch</vt:lpstr>
      <vt:lpstr>beta</vt:lpstr>
      <vt:lpstr>beta1</vt:lpstr>
      <vt:lpstr>beta2</vt:lpstr>
      <vt:lpstr>beta3</vt:lpstr>
      <vt:lpstr>beta4</vt:lpstr>
      <vt:lpstr>BioSolar</vt:lpstr>
      <vt:lpstr>Bueronutzung</vt:lpstr>
      <vt:lpstr>C_Bat</vt:lpstr>
      <vt:lpstr>DeckungsgradHeizung</vt:lpstr>
      <vt:lpstr>DeckungsgradWW</vt:lpstr>
      <vt:lpstr>Dati!Druckbereich</vt:lpstr>
      <vt:lpstr>Estate!Druckbereich</vt:lpstr>
      <vt:lpstr>MINERGIE!Druckbereich</vt:lpstr>
      <vt:lpstr>Standardwerte!Druckbereich</vt:lpstr>
      <vt:lpstr>Verifica!Druckbereich</vt:lpstr>
      <vt:lpstr>'Visione d''insieme'!Druckbereich</vt:lpstr>
      <vt:lpstr>e_1</vt:lpstr>
      <vt:lpstr>e_2</vt:lpstr>
      <vt:lpstr>e_3</vt:lpstr>
      <vt:lpstr>e_4</vt:lpstr>
      <vt:lpstr>E_Qk</vt:lpstr>
      <vt:lpstr>E_Qk1</vt:lpstr>
      <vt:lpstr>E_Qk11</vt:lpstr>
      <vt:lpstr>E_Qk2</vt:lpstr>
      <vt:lpstr>E_Qk22</vt:lpstr>
      <vt:lpstr>E_Qk3</vt:lpstr>
      <vt:lpstr>E_Qk33</vt:lpstr>
      <vt:lpstr>E_Qk4</vt:lpstr>
      <vt:lpstr>E_Qk44</vt:lpstr>
      <vt:lpstr>EBF</vt:lpstr>
      <vt:lpstr>EBF_MUKEN</vt:lpstr>
      <vt:lpstr>EBFo</vt:lpstr>
      <vt:lpstr>EBFo1</vt:lpstr>
      <vt:lpstr>EBFo2</vt:lpstr>
      <vt:lpstr>EBFo3</vt:lpstr>
      <vt:lpstr>EBFo4</vt:lpstr>
      <vt:lpstr>ECAC1</vt:lpstr>
      <vt:lpstr>ECAC2</vt:lpstr>
      <vt:lpstr>ECAC3</vt:lpstr>
      <vt:lpstr>ECAC4</vt:lpstr>
      <vt:lpstr>EFH</vt:lpstr>
      <vt:lpstr>Einheit</vt:lpstr>
      <vt:lpstr>Einheiten</vt:lpstr>
      <vt:lpstr>Einwirkseiten1</vt:lpstr>
      <vt:lpstr>Einwirkseiten2</vt:lpstr>
      <vt:lpstr>Einwirkseiten3</vt:lpstr>
      <vt:lpstr>Einwirkseiten4</vt:lpstr>
      <vt:lpstr>einzel1</vt:lpstr>
      <vt:lpstr>Einzelanwendung</vt:lpstr>
      <vt:lpstr>EndenergieA</vt:lpstr>
      <vt:lpstr>EndenergieB</vt:lpstr>
      <vt:lpstr>EndenergieC</vt:lpstr>
      <vt:lpstr>EndenergieD</vt:lpstr>
      <vt:lpstr>EndenergieE</vt:lpstr>
      <vt:lpstr>Erzeugung</vt:lpstr>
      <vt:lpstr>f_fr_PV</vt:lpstr>
      <vt:lpstr>F_s1</vt:lpstr>
      <vt:lpstr>F_s2</vt:lpstr>
      <vt:lpstr>F_s3</vt:lpstr>
      <vt:lpstr>F_s4</vt:lpstr>
      <vt:lpstr>Fehler_Neuzertifizierung</vt:lpstr>
      <vt:lpstr>Fehler1</vt:lpstr>
      <vt:lpstr>Fehler2</vt:lpstr>
      <vt:lpstr>Fehler3</vt:lpstr>
      <vt:lpstr>FehlerLüftung1</vt:lpstr>
      <vt:lpstr>FehlerLüftung2</vt:lpstr>
      <vt:lpstr>FehlerLüftung3</vt:lpstr>
      <vt:lpstr>Gebäudekategorie</vt:lpstr>
      <vt:lpstr>Gebuehr</vt:lpstr>
      <vt:lpstr>Grau</vt:lpstr>
      <vt:lpstr>Grau_Grenz</vt:lpstr>
      <vt:lpstr>GrenzwertMINERGIE</vt:lpstr>
      <vt:lpstr>hlicht1</vt:lpstr>
      <vt:lpstr>hlicht2</vt:lpstr>
      <vt:lpstr>hlicht3</vt:lpstr>
      <vt:lpstr>hlicht4</vt:lpstr>
      <vt:lpstr>Hoehe</vt:lpstr>
      <vt:lpstr>Industrienutzung</vt:lpstr>
      <vt:lpstr>JaNein</vt:lpstr>
      <vt:lpstr>Kanton</vt:lpstr>
      <vt:lpstr>Kanton1</vt:lpstr>
      <vt:lpstr>Kategorie1</vt:lpstr>
      <vt:lpstr>Kategorie2</vt:lpstr>
      <vt:lpstr>Kategorie3</vt:lpstr>
      <vt:lpstr>Kategorie4</vt:lpstr>
      <vt:lpstr>Kleinanlagen1</vt:lpstr>
      <vt:lpstr>Kleinanlagen2</vt:lpstr>
      <vt:lpstr>Kleinanlagen3</vt:lpstr>
      <vt:lpstr>Kleinanlagen4</vt:lpstr>
      <vt:lpstr>Klima</vt:lpstr>
      <vt:lpstr>klima1</vt:lpstr>
      <vt:lpstr>klima2</vt:lpstr>
      <vt:lpstr>klima3</vt:lpstr>
      <vt:lpstr>klima4</vt:lpstr>
      <vt:lpstr>Klimastation</vt:lpstr>
      <vt:lpstr>Komfort1</vt:lpstr>
      <vt:lpstr>Komfort2</vt:lpstr>
      <vt:lpstr>Komfort3</vt:lpstr>
      <vt:lpstr>Komfort4</vt:lpstr>
      <vt:lpstr>Kompensation_PV</vt:lpstr>
      <vt:lpstr>LER_Reduktion1</vt:lpstr>
      <vt:lpstr>LER_Reduktion2</vt:lpstr>
      <vt:lpstr>LER_Reduktion3</vt:lpstr>
      <vt:lpstr>LER_Reduktion4</vt:lpstr>
      <vt:lpstr>LER_Text0</vt:lpstr>
      <vt:lpstr>LER_Text1</vt:lpstr>
      <vt:lpstr>LER_Text2</vt:lpstr>
      <vt:lpstr>LER_Text3</vt:lpstr>
      <vt:lpstr>LER_Text4</vt:lpstr>
      <vt:lpstr>LER_Text5</vt:lpstr>
      <vt:lpstr>LER_Text6</vt:lpstr>
      <vt:lpstr>LER_Text7</vt:lpstr>
      <vt:lpstr>Luftheizung</vt:lpstr>
      <vt:lpstr>Lüftung1</vt:lpstr>
      <vt:lpstr>Lüftung2</vt:lpstr>
      <vt:lpstr>Lüftung3</vt:lpstr>
      <vt:lpstr>Lüftung4</vt:lpstr>
      <vt:lpstr>Lüftungstyp</vt:lpstr>
      <vt:lpstr>mehr1</vt:lpstr>
      <vt:lpstr>Mehrfachanwendung</vt:lpstr>
      <vt:lpstr>Mieter1</vt:lpstr>
      <vt:lpstr>Mieter2</vt:lpstr>
      <vt:lpstr>Mieter3</vt:lpstr>
      <vt:lpstr>Mieter4</vt:lpstr>
      <vt:lpstr>mineco</vt:lpstr>
      <vt:lpstr>MINERGIE_Wert</vt:lpstr>
      <vt:lpstr>minergiea</vt:lpstr>
      <vt:lpstr>minergiep</vt:lpstr>
      <vt:lpstr>MUKEN</vt:lpstr>
      <vt:lpstr>Nachweistyp</vt:lpstr>
      <vt:lpstr>Nachzertifizierung</vt:lpstr>
      <vt:lpstr>Neubau</vt:lpstr>
      <vt:lpstr>Neubau1</vt:lpstr>
      <vt:lpstr>Neubau2</vt:lpstr>
      <vt:lpstr>Neubau3</vt:lpstr>
      <vt:lpstr>Neubau4</vt:lpstr>
      <vt:lpstr>nL50_1</vt:lpstr>
      <vt:lpstr>nL50_2</vt:lpstr>
      <vt:lpstr>nL50_3</vt:lpstr>
      <vt:lpstr>nL50_4</vt:lpstr>
      <vt:lpstr>nurBadnutzung</vt:lpstr>
      <vt:lpstr>Nutzung1</vt:lpstr>
      <vt:lpstr>Oekostrom</vt:lpstr>
      <vt:lpstr>Primaer1</vt:lpstr>
      <vt:lpstr>Primaer2</vt:lpstr>
      <vt:lpstr>Primaer3</vt:lpstr>
      <vt:lpstr>Primaer4</vt:lpstr>
      <vt:lpstr>Primaeranf</vt:lpstr>
      <vt:lpstr>Primaeranf1</vt:lpstr>
      <vt:lpstr>Primaeranf2</vt:lpstr>
      <vt:lpstr>Primaeranf3</vt:lpstr>
      <vt:lpstr>Primaeranf4</vt:lpstr>
      <vt:lpstr>Primaeranforderung</vt:lpstr>
      <vt:lpstr>Projekt1</vt:lpstr>
      <vt:lpstr>Projekt2</vt:lpstr>
      <vt:lpstr>Projekt3</vt:lpstr>
      <vt:lpstr>Projekt4</vt:lpstr>
      <vt:lpstr>Qe</vt:lpstr>
      <vt:lpstr>Qe_vollständig</vt:lpstr>
      <vt:lpstr>qh</vt:lpstr>
      <vt:lpstr>qh_vollständig</vt:lpstr>
      <vt:lpstr>qhmax</vt:lpstr>
      <vt:lpstr>qhmax1</vt:lpstr>
      <vt:lpstr>qhmax2</vt:lpstr>
      <vt:lpstr>qhmax3</vt:lpstr>
      <vt:lpstr>qhmax4</vt:lpstr>
      <vt:lpstr>qhs</vt:lpstr>
      <vt:lpstr>qhs_vollständig</vt:lpstr>
      <vt:lpstr>qw</vt:lpstr>
      <vt:lpstr>Raum1</vt:lpstr>
      <vt:lpstr>Raum2</vt:lpstr>
      <vt:lpstr>Raum3</vt:lpstr>
      <vt:lpstr>Raum4</vt:lpstr>
      <vt:lpstr>Reduktion</vt:lpstr>
      <vt:lpstr>REFH</vt:lpstr>
      <vt:lpstr>Schulnutzung</vt:lpstr>
      <vt:lpstr>Standardlüftung</vt:lpstr>
      <vt:lpstr>Standardlüftung1</vt:lpstr>
      <vt:lpstr>Standardlüftung2</vt:lpstr>
      <vt:lpstr>Standardlüftung3</vt:lpstr>
      <vt:lpstr>Standardlüftung4</vt:lpstr>
      <vt:lpstr>StrombedarfE</vt:lpstr>
      <vt:lpstr>Thetaea</vt:lpstr>
      <vt:lpstr>THG_andere</vt:lpstr>
      <vt:lpstr>THG_PV</vt:lpstr>
      <vt:lpstr>THG_Strom</vt:lpstr>
      <vt:lpstr>VEBFo1</vt:lpstr>
      <vt:lpstr>VEBFo2</vt:lpstr>
      <vt:lpstr>VEBFo3</vt:lpstr>
      <vt:lpstr>VEBFo4</vt:lpstr>
      <vt:lpstr>Verkaufsnutzung</vt:lpstr>
      <vt:lpstr>vo</vt:lpstr>
      <vt:lpstr>VSup1</vt:lpstr>
      <vt:lpstr>VSup2</vt:lpstr>
      <vt:lpstr>VSup3</vt:lpstr>
      <vt:lpstr>VSup4</vt:lpstr>
      <vt:lpstr>Vth</vt:lpstr>
      <vt:lpstr>vx</vt:lpstr>
      <vt:lpstr>WaermebedarfA</vt:lpstr>
      <vt:lpstr>WaermebedarfB</vt:lpstr>
      <vt:lpstr>WaermebedarfC</vt:lpstr>
      <vt:lpstr>WaermebedarfD</vt:lpstr>
      <vt:lpstr>WaermebedarfE</vt:lpstr>
      <vt:lpstr>Waermepumpe</vt:lpstr>
      <vt:lpstr>Warmwasser</vt:lpstr>
      <vt:lpstr>WirkungsgradA</vt:lpstr>
      <vt:lpstr>WirkungsgradB</vt:lpstr>
      <vt:lpstr>WirkungsgradC</vt:lpstr>
      <vt:lpstr>WirkungsgradD</vt:lpstr>
      <vt:lpstr>wkk</vt:lpstr>
      <vt:lpstr>wohnen1</vt:lpstr>
      <vt:lpstr>wohnen2</vt:lpstr>
      <vt:lpstr>wohnen3</vt:lpstr>
      <vt:lpstr>wohnen4</vt:lpstr>
      <vt:lpstr>wohnnutzung</vt:lpstr>
      <vt:lpstr>wohnstrom</vt:lpstr>
      <vt:lpstr>Wohnstrommodell</vt:lpstr>
      <vt:lpstr>WRG</vt:lpstr>
      <vt:lpstr>WRG_1</vt:lpstr>
      <vt:lpstr>WRG_2</vt:lpstr>
      <vt:lpstr>WRG_3</vt:lpstr>
      <vt:lpstr>WRG_4</vt:lpstr>
      <vt:lpstr>WRG0</vt:lpstr>
      <vt:lpstr>WRGtyp1</vt:lpstr>
      <vt:lpstr>WRGtyp2</vt:lpstr>
      <vt:lpstr>WRGtyp3</vt:lpstr>
      <vt:lpstr>WRGtyp4</vt:lpstr>
      <vt:lpstr>ww_1</vt:lpstr>
      <vt:lpstr>ww_2</vt:lpstr>
      <vt:lpstr>ww_3</vt:lpstr>
      <vt:lpstr>ww_4</vt:lpstr>
      <vt:lpstr>ww_erneuerbar</vt:lpstr>
      <vt:lpstr>WWBonus</vt:lpstr>
      <vt:lpstr>WWBonus1</vt:lpstr>
      <vt:lpstr>WWBonus2</vt:lpstr>
      <vt:lpstr>WWBonus3</vt:lpstr>
      <vt:lpstr>WWBonus4</vt:lpstr>
      <vt:lpstr>WWMIN1</vt:lpstr>
      <vt:lpstr>WWMIN2</vt:lpstr>
      <vt:lpstr>WWMIN3</vt:lpstr>
      <vt:lpstr>WWMIN4</vt:lpstr>
      <vt:lpstr>WWSoll</vt:lpstr>
      <vt:lpstr>Zertifikat1</vt:lpstr>
      <vt:lpstr>Zertifikat2</vt:lpstr>
      <vt:lpstr>Zertifikat3</vt:lpstr>
      <vt:lpstr>Zertifikat4</vt:lpstr>
      <vt:lpstr>Zone1</vt:lpstr>
      <vt:lpstr>Zone2</vt:lpstr>
      <vt:lpstr>Zone3</vt:lpstr>
      <vt:lpstr>Zone4</vt:lpstr>
      <vt:lpstr>Zonen</vt:lpstr>
      <vt:lpstr>Zonen_vollständig</vt:lpstr>
    </vt:vector>
  </TitlesOfParts>
  <Manager>Christoph Gmür / Christian Stünzi / Arthur Huber</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EN 101b, V2.02</dc:title>
  <dc:subject>Rechnerischer Nachweis EN101b / MINERGIE-Nachweis</dc:subject>
  <dc:creator>ENDK / MINERGIE</dc:creator>
  <dc:description>Entwicklungsstand MINERGIE 30. Jan 2018. _x000d_
Anpassungen gemäss Reglement 2018</dc:description>
  <cp:lastModifiedBy>Christian Stünzi</cp:lastModifiedBy>
  <cp:lastPrinted>2017-12-01T20:08:06Z</cp:lastPrinted>
  <dcterms:created xsi:type="dcterms:W3CDTF">1998-04-16T12:19:12Z</dcterms:created>
  <dcterms:modified xsi:type="dcterms:W3CDTF">2018-02-01T17:46:10Z</dcterms:modified>
  <cp:category>Energienachweis MUKEN 2014 / MINERGIE-Nachweis 2018</cp:category>
</cp:coreProperties>
</file>